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comments2.xml" ContentType="application/vnd.openxmlformats-officedocument.spreadsheetml.comments+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comments3.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W:\WPDOCS\Stormwater\Compliance\NPDES Phase II\Reporting\Year 22 (2024)\"/>
    </mc:Choice>
  </mc:AlternateContent>
  <xr:revisionPtr revIDLastSave="0" documentId="13_ncr:1_{A243BD79-3817-489B-9EE2-66D1953F4659}" xr6:coauthVersionLast="47" xr6:coauthVersionMax="47" xr10:uidLastSave="{00000000-0000-0000-0000-000000000000}"/>
  <bookViews>
    <workbookView xWindow="-120" yWindow="-120" windowWidth="29040" windowHeight="15720" tabRatio="832" activeTab="10" xr2:uid="{00000000-000D-0000-FFFF-FFFF00000000}"/>
  </bookViews>
  <sheets>
    <sheet name="Instructions" sheetId="11" r:id="rId1"/>
    <sheet name="BMP P Tracking Table" sheetId="1" r:id="rId2"/>
    <sheet name="Planned_STPs_for_summary_sheets" sheetId="28" state="hidden" r:id="rId3"/>
    <sheet name="Total Pivot Summaries" sheetId="12" state="hidden" r:id="rId4"/>
    <sheet name="Completed Pivot Summaries" sheetId="15" state="hidden" r:id="rId5"/>
    <sheet name="Design Pivot Summaries" sheetId="14" state="hidden" r:id="rId6"/>
    <sheet name="PCP Summary Table Village" sheetId="31" state="hidden" r:id="rId7"/>
    <sheet name="PCP Summary Table Town" sheetId="30" state="hidden" r:id="rId8"/>
    <sheet name="PCP Summary Table" sheetId="16" state="hidden" r:id="rId9"/>
    <sheet name="PCP Summary Chart" sheetId="17" state="hidden" r:id="rId10"/>
    <sheet name="Maintenance Only - 2023" sheetId="10" r:id="rId11"/>
    <sheet name="Town incorp detail" sheetId="13" r:id="rId12"/>
    <sheet name="Performance Curves" sheetId="8" r:id="rId13"/>
    <sheet name="Loading Rates" sheetId="9" state="hidden" r:id="rId14"/>
    <sheet name="BMP Definitions" sheetId="3" state="hidden" r:id="rId15"/>
    <sheet name="Dropdowns" sheetId="2" r:id="rId16"/>
  </sheets>
  <definedNames>
    <definedName name="_xlnm._FilterDatabase" localSheetId="1" hidden="1">'BMP P Tracking Table'!$A$2:$BR$461</definedName>
  </definedNames>
  <calcPr calcId="191029"/>
  <pivotCaches>
    <pivotCache cacheId="0" r:id="rId17"/>
    <pivotCache cacheId="1" r:id="rId1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B99" i="1" l="1"/>
  <c r="X20" i="1"/>
  <c r="AC20" i="1" s="1"/>
  <c r="X135" i="1"/>
  <c r="A14" i="30"/>
  <c r="A15" i="30"/>
  <c r="A13" i="30"/>
  <c r="A12" i="30"/>
  <c r="G13" i="30"/>
  <c r="F13" i="30"/>
  <c r="E13" i="30"/>
  <c r="H13" i="30"/>
  <c r="M29" i="2" l="1"/>
  <c r="M30" i="2"/>
  <c r="M31" i="2"/>
  <c r="M32" i="2"/>
  <c r="M33" i="2"/>
  <c r="M34" i="2"/>
  <c r="M35" i="2"/>
  <c r="M36" i="2"/>
  <c r="M37" i="2"/>
  <c r="M38" i="2"/>
  <c r="M39" i="2"/>
  <c r="M40" i="2"/>
  <c r="M41" i="2"/>
  <c r="X140" i="1"/>
  <c r="BI141" i="1"/>
  <c r="BI142" i="1"/>
  <c r="E27" i="31"/>
  <c r="H27" i="31"/>
  <c r="F27" i="31"/>
  <c r="G27" i="31"/>
  <c r="A21" i="30" l="1"/>
  <c r="E11" i="30"/>
  <c r="E5" i="31"/>
  <c r="E8" i="30"/>
  <c r="A8" i="30" l="1"/>
  <c r="A9" i="30"/>
  <c r="A10" i="30"/>
  <c r="A11" i="30"/>
  <c r="A7" i="30"/>
  <c r="A6" i="30"/>
  <c r="A33" i="30"/>
  <c r="A32" i="30"/>
  <c r="A30" i="30"/>
  <c r="A28" i="30"/>
  <c r="A29" i="30"/>
  <c r="A27" i="30"/>
  <c r="A26" i="31"/>
  <c r="A27" i="31"/>
  <c r="A25" i="31"/>
  <c r="BI140" i="1"/>
  <c r="A23" i="31"/>
  <c r="H23" i="31"/>
  <c r="E30" i="30"/>
  <c r="F18" i="30"/>
  <c r="H21" i="30"/>
  <c r="H28" i="30"/>
  <c r="F29" i="30"/>
  <c r="F15" i="30"/>
  <c r="E29" i="30"/>
  <c r="H25" i="31"/>
  <c r="G27" i="30"/>
  <c r="E15" i="30"/>
  <c r="H15" i="30"/>
  <c r="H32" i="30"/>
  <c r="F26" i="31"/>
  <c r="C10" i="16"/>
  <c r="G33" i="30"/>
  <c r="E27" i="30"/>
  <c r="E20" i="30"/>
  <c r="G26" i="31"/>
  <c r="F27" i="30"/>
  <c r="E32" i="30"/>
  <c r="G23" i="31"/>
  <c r="E19" i="30"/>
  <c r="G32" i="30"/>
  <c r="G19" i="30"/>
  <c r="E33" i="30"/>
  <c r="G30" i="30"/>
  <c r="E26" i="31"/>
  <c r="G14" i="30"/>
  <c r="F30" i="30"/>
  <c r="H14" i="30"/>
  <c r="F17" i="30"/>
  <c r="G15" i="30"/>
  <c r="H19" i="30"/>
  <c r="H17" i="30"/>
  <c r="F33" i="30"/>
  <c r="F25" i="31"/>
  <c r="H20" i="30"/>
  <c r="G18" i="30"/>
  <c r="E18" i="30"/>
  <c r="F20" i="30"/>
  <c r="F23" i="31"/>
  <c r="H29" i="30"/>
  <c r="E25" i="31"/>
  <c r="E28" i="30"/>
  <c r="E14" i="30"/>
  <c r="G20" i="30"/>
  <c r="F32" i="30"/>
  <c r="G21" i="30"/>
  <c r="G25" i="31"/>
  <c r="E23" i="31"/>
  <c r="F14" i="30"/>
  <c r="E6" i="31"/>
  <c r="H18" i="30"/>
  <c r="F28" i="30"/>
  <c r="G17" i="30"/>
  <c r="H33" i="30"/>
  <c r="G28" i="30"/>
  <c r="F19" i="30"/>
  <c r="H26" i="31"/>
  <c r="H27" i="30"/>
  <c r="F21" i="30"/>
  <c r="E17" i="30"/>
  <c r="E21" i="30"/>
  <c r="H30" i="30"/>
  <c r="G29" i="30"/>
  <c r="E31" i="30" l="1"/>
  <c r="F31" i="30"/>
  <c r="G31" i="30"/>
  <c r="H31" i="30"/>
  <c r="I31" i="30" s="1"/>
  <c r="F35" i="30"/>
  <c r="G35" i="30"/>
  <c r="H35" i="30"/>
  <c r="I35" i="30" s="1"/>
  <c r="E35" i="30"/>
  <c r="I17" i="30"/>
  <c r="I18" i="30"/>
  <c r="I19" i="30"/>
  <c r="I20" i="30"/>
  <c r="I21" i="30"/>
  <c r="I32" i="30"/>
  <c r="I33" i="30"/>
  <c r="I30" i="30"/>
  <c r="I27" i="30"/>
  <c r="I28" i="30"/>
  <c r="I29" i="30"/>
  <c r="F28" i="31"/>
  <c r="G28" i="31"/>
  <c r="H28" i="31"/>
  <c r="I28" i="31" s="1"/>
  <c r="E28" i="31"/>
  <c r="E22" i="30"/>
  <c r="F22" i="30"/>
  <c r="G22" i="30"/>
  <c r="H22" i="30"/>
  <c r="I22" i="30" s="1"/>
  <c r="H24" i="31"/>
  <c r="I24" i="31" s="1"/>
  <c r="I23" i="31"/>
  <c r="I25" i="31"/>
  <c r="E24" i="31"/>
  <c r="I26" i="31"/>
  <c r="F24" i="31"/>
  <c r="G24" i="31"/>
  <c r="I27" i="31"/>
  <c r="I13" i="30"/>
  <c r="I14" i="30"/>
  <c r="I15" i="30"/>
  <c r="I6" i="30"/>
  <c r="I5" i="30"/>
  <c r="A18" i="30"/>
  <c r="A19" i="30"/>
  <c r="A20" i="30"/>
  <c r="A17" i="30"/>
  <c r="A5" i="30"/>
  <c r="E11" i="31"/>
  <c r="H7" i="30"/>
  <c r="G9" i="30"/>
  <c r="G14" i="31"/>
  <c r="F7" i="31"/>
  <c r="E12" i="31"/>
  <c r="F8" i="31"/>
  <c r="G8" i="31"/>
  <c r="H15" i="31"/>
  <c r="H9" i="31"/>
  <c r="G12" i="30"/>
  <c r="F10" i="30"/>
  <c r="F6" i="31"/>
  <c r="G13" i="31"/>
  <c r="G5" i="31"/>
  <c r="H13" i="31"/>
  <c r="G7" i="30"/>
  <c r="F12" i="30"/>
  <c r="F13" i="31"/>
  <c r="G10" i="30"/>
  <c r="F11" i="31"/>
  <c r="E12" i="30"/>
  <c r="F7" i="30"/>
  <c r="G9" i="31"/>
  <c r="H11" i="30"/>
  <c r="E13" i="31"/>
  <c r="F9" i="30"/>
  <c r="G12" i="31"/>
  <c r="H7" i="31"/>
  <c r="H10" i="30"/>
  <c r="F14" i="31"/>
  <c r="G8" i="30"/>
  <c r="G15" i="31"/>
  <c r="H9" i="30"/>
  <c r="E15" i="31"/>
  <c r="H12" i="31"/>
  <c r="H8" i="30"/>
  <c r="E14" i="31"/>
  <c r="G7" i="31"/>
  <c r="F9" i="31"/>
  <c r="F15" i="31"/>
  <c r="G6" i="31"/>
  <c r="E9" i="31"/>
  <c r="H8" i="31"/>
  <c r="E7" i="31"/>
  <c r="E7" i="30"/>
  <c r="E9" i="30"/>
  <c r="G11" i="30"/>
  <c r="H6" i="31"/>
  <c r="H12" i="30"/>
  <c r="H14" i="31"/>
  <c r="E10" i="30"/>
  <c r="E8" i="31"/>
  <c r="H11" i="31"/>
  <c r="F12" i="31"/>
  <c r="G11" i="31"/>
  <c r="H16" i="30" l="1"/>
  <c r="I16" i="30" s="1"/>
  <c r="G10" i="31"/>
  <c r="I6" i="31"/>
  <c r="E10" i="31"/>
  <c r="I7" i="31"/>
  <c r="I8" i="31"/>
  <c r="I9" i="31"/>
  <c r="E16" i="30"/>
  <c r="F16" i="30"/>
  <c r="G16" i="30"/>
  <c r="I12" i="30"/>
  <c r="I11" i="30"/>
  <c r="I9" i="30"/>
  <c r="I8" i="30"/>
  <c r="I10" i="30"/>
  <c r="I7" i="30"/>
  <c r="E16" i="31"/>
  <c r="G16" i="31"/>
  <c r="I11" i="31"/>
  <c r="H16" i="31"/>
  <c r="I16" i="31" s="1"/>
  <c r="F16" i="31"/>
  <c r="I15" i="31"/>
  <c r="I13" i="31"/>
  <c r="I14" i="31"/>
  <c r="I12" i="31"/>
  <c r="A5" i="31"/>
  <c r="A6" i="31"/>
  <c r="A7" i="31"/>
  <c r="A8" i="31"/>
  <c r="A9" i="31"/>
  <c r="A12" i="31"/>
  <c r="A13" i="31"/>
  <c r="A14" i="31"/>
  <c r="A15" i="31"/>
  <c r="A11" i="31"/>
  <c r="H5" i="31"/>
  <c r="F10" i="31" l="1"/>
  <c r="H10" i="31"/>
  <c r="I10" i="31" s="1"/>
  <c r="I5" i="31"/>
  <c r="BJ142" i="1"/>
  <c r="BJ141" i="1"/>
  <c r="BJ140" i="1"/>
  <c r="AB24" i="1"/>
  <c r="B6" i="16"/>
  <c r="K21" i="1" l="1"/>
  <c r="K22" i="1"/>
  <c r="E7" i="17" l="1"/>
  <c r="E11" i="17"/>
  <c r="BT76" i="1" l="1"/>
  <c r="BT136" i="1"/>
  <c r="BT112" i="1"/>
  <c r="BT104" i="1"/>
  <c r="BT79" i="1"/>
  <c r="BR139" i="1"/>
  <c r="BR138" i="1"/>
  <c r="BR137" i="1"/>
  <c r="BR136" i="1"/>
  <c r="BR135" i="1"/>
  <c r="BR132" i="1"/>
  <c r="BR130" i="1"/>
  <c r="BR129" i="1"/>
  <c r="BR128" i="1"/>
  <c r="BR127" i="1"/>
  <c r="BR126" i="1"/>
  <c r="BR125" i="1"/>
  <c r="BR124" i="1"/>
  <c r="BR123" i="1"/>
  <c r="BR122" i="1"/>
  <c r="BR121" i="1"/>
  <c r="BR120" i="1"/>
  <c r="BR119" i="1"/>
  <c r="BR118" i="1"/>
  <c r="BR117" i="1"/>
  <c r="BR116" i="1"/>
  <c r="BR115" i="1"/>
  <c r="BR114" i="1"/>
  <c r="BR113" i="1"/>
  <c r="BR112" i="1"/>
  <c r="BR111" i="1"/>
  <c r="BR110" i="1"/>
  <c r="BR109" i="1"/>
  <c r="BR108" i="1"/>
  <c r="BR107" i="1"/>
  <c r="BR106" i="1"/>
  <c r="BR105" i="1"/>
  <c r="BR104" i="1"/>
  <c r="BR103" i="1"/>
  <c r="BR101" i="1"/>
  <c r="BR100" i="1"/>
  <c r="BR99" i="1"/>
  <c r="BR98" i="1"/>
  <c r="BR97" i="1"/>
  <c r="BR96" i="1"/>
  <c r="BR95" i="1"/>
  <c r="BR94" i="1"/>
  <c r="BR93" i="1"/>
  <c r="BR92" i="1"/>
  <c r="BR91" i="1"/>
  <c r="BR90" i="1"/>
  <c r="BR89" i="1"/>
  <c r="BR88" i="1"/>
  <c r="BR87" i="1"/>
  <c r="BR86" i="1"/>
  <c r="BR85" i="1"/>
  <c r="BR84" i="1"/>
  <c r="BR83" i="1"/>
  <c r="BR82" i="1"/>
  <c r="BR81" i="1"/>
  <c r="BR80" i="1"/>
  <c r="BR79" i="1"/>
  <c r="BR78" i="1"/>
  <c r="BR76" i="1"/>
  <c r="BQ76" i="1"/>
  <c r="BS76" i="1" s="1"/>
  <c r="BQ139" i="1"/>
  <c r="BS139" i="1" s="1"/>
  <c r="BQ138" i="1"/>
  <c r="BS138" i="1" s="1"/>
  <c r="BQ137" i="1"/>
  <c r="BS137" i="1" s="1"/>
  <c r="BQ136" i="1"/>
  <c r="BS136" i="1" s="1"/>
  <c r="BQ135" i="1"/>
  <c r="BS135" i="1" s="1"/>
  <c r="BQ132" i="1"/>
  <c r="BS132" i="1" s="1"/>
  <c r="BQ130" i="1"/>
  <c r="BS130" i="1" s="1"/>
  <c r="BQ129" i="1"/>
  <c r="BS129" i="1" s="1"/>
  <c r="BQ128" i="1"/>
  <c r="BS128" i="1" s="1"/>
  <c r="BQ127" i="1"/>
  <c r="BS127" i="1" s="1"/>
  <c r="BQ126" i="1"/>
  <c r="BS126" i="1" s="1"/>
  <c r="BQ125" i="1"/>
  <c r="BS125" i="1" s="1"/>
  <c r="BQ124" i="1"/>
  <c r="BS124" i="1" s="1"/>
  <c r="BQ123" i="1"/>
  <c r="BS123" i="1" s="1"/>
  <c r="BQ122" i="1"/>
  <c r="BS122" i="1" s="1"/>
  <c r="BQ121" i="1"/>
  <c r="BS121" i="1" s="1"/>
  <c r="BQ120" i="1"/>
  <c r="BS120" i="1" s="1"/>
  <c r="BQ119" i="1"/>
  <c r="BS119" i="1" s="1"/>
  <c r="BQ118" i="1"/>
  <c r="BS118" i="1" s="1"/>
  <c r="BQ117" i="1"/>
  <c r="BS117" i="1" s="1"/>
  <c r="BQ116" i="1"/>
  <c r="BS116" i="1" s="1"/>
  <c r="BQ115" i="1"/>
  <c r="BS115" i="1" s="1"/>
  <c r="BQ114" i="1"/>
  <c r="BS114" i="1" s="1"/>
  <c r="BQ113" i="1"/>
  <c r="BS113" i="1" s="1"/>
  <c r="BQ112" i="1"/>
  <c r="BS112" i="1" s="1"/>
  <c r="BQ111" i="1"/>
  <c r="BS111" i="1" s="1"/>
  <c r="BQ110" i="1"/>
  <c r="BS110" i="1" s="1"/>
  <c r="BQ109" i="1"/>
  <c r="BS109" i="1" s="1"/>
  <c r="BQ108" i="1"/>
  <c r="BS108" i="1" s="1"/>
  <c r="BQ107" i="1"/>
  <c r="BS107" i="1" s="1"/>
  <c r="BQ106" i="1"/>
  <c r="BS106" i="1" s="1"/>
  <c r="BQ105" i="1"/>
  <c r="BS105" i="1" s="1"/>
  <c r="BQ104" i="1"/>
  <c r="BS104" i="1" s="1"/>
  <c r="BQ103" i="1"/>
  <c r="BS103" i="1" s="1"/>
  <c r="BQ101" i="1"/>
  <c r="BS101" i="1" s="1"/>
  <c r="BQ100" i="1"/>
  <c r="BS100" i="1" s="1"/>
  <c r="BQ99" i="1"/>
  <c r="BS99" i="1" s="1"/>
  <c r="BQ98" i="1"/>
  <c r="BS98" i="1" s="1"/>
  <c r="BQ97" i="1"/>
  <c r="BS97" i="1" s="1"/>
  <c r="BQ96" i="1"/>
  <c r="BS96" i="1" s="1"/>
  <c r="BQ95" i="1"/>
  <c r="BS95" i="1" s="1"/>
  <c r="BQ94" i="1"/>
  <c r="BS94" i="1" s="1"/>
  <c r="BQ93" i="1"/>
  <c r="BS93" i="1" s="1"/>
  <c r="BQ92" i="1"/>
  <c r="BS92" i="1" s="1"/>
  <c r="BQ91" i="1"/>
  <c r="BS91" i="1" s="1"/>
  <c r="BQ90" i="1"/>
  <c r="BS90" i="1" s="1"/>
  <c r="BQ89" i="1"/>
  <c r="BS89" i="1" s="1"/>
  <c r="BQ88" i="1"/>
  <c r="BS88" i="1" s="1"/>
  <c r="BQ87" i="1"/>
  <c r="BS87" i="1" s="1"/>
  <c r="BQ86" i="1"/>
  <c r="BS86" i="1" s="1"/>
  <c r="BQ85" i="1"/>
  <c r="BS85" i="1" s="1"/>
  <c r="BQ84" i="1"/>
  <c r="BS84" i="1" s="1"/>
  <c r="BQ83" i="1"/>
  <c r="BS83" i="1" s="1"/>
  <c r="BQ82" i="1"/>
  <c r="BS82" i="1" s="1"/>
  <c r="BQ81" i="1"/>
  <c r="BS81" i="1" s="1"/>
  <c r="BQ80" i="1"/>
  <c r="BS80" i="1" s="1"/>
  <c r="BQ79" i="1"/>
  <c r="BS79" i="1" s="1"/>
  <c r="BQ78" i="1"/>
  <c r="BS78" i="1" s="1"/>
  <c r="AC139" i="1"/>
  <c r="AC138" i="1"/>
  <c r="BJ139" i="1"/>
  <c r="BI139" i="1"/>
  <c r="AC137" i="1"/>
  <c r="BJ461" i="1"/>
  <c r="BI461" i="1"/>
  <c r="BJ138" i="1"/>
  <c r="BI138" i="1"/>
  <c r="AB137" i="1"/>
  <c r="AC136" i="1"/>
  <c r="V136" i="1"/>
  <c r="BI136" i="1"/>
  <c r="BT135" i="1" l="1"/>
  <c r="BJ4" i="1"/>
  <c r="BJ5" i="1"/>
  <c r="BJ6" i="1"/>
  <c r="BJ7" i="1"/>
  <c r="BJ8" i="1"/>
  <c r="BJ9" i="1"/>
  <c r="BJ10" i="1"/>
  <c r="BJ11" i="1"/>
  <c r="BJ12" i="1"/>
  <c r="BJ13" i="1"/>
  <c r="BJ14" i="1"/>
  <c r="BJ15" i="1"/>
  <c r="BJ16" i="1"/>
  <c r="BJ17" i="1"/>
  <c r="BJ18" i="1"/>
  <c r="BJ19" i="1"/>
  <c r="BJ20" i="1"/>
  <c r="BJ21" i="1"/>
  <c r="BJ22" i="1"/>
  <c r="BJ23" i="1"/>
  <c r="BJ24" i="1"/>
  <c r="BJ25" i="1"/>
  <c r="BJ26" i="1"/>
  <c r="BJ27" i="1"/>
  <c r="BJ28" i="1"/>
  <c r="BJ29" i="1"/>
  <c r="BJ30" i="1"/>
  <c r="BJ31" i="1"/>
  <c r="BJ32" i="1"/>
  <c r="BJ33" i="1"/>
  <c r="BJ34" i="1"/>
  <c r="BJ35" i="1"/>
  <c r="BJ36" i="1"/>
  <c r="BJ37" i="1"/>
  <c r="BJ38" i="1"/>
  <c r="BJ39" i="1"/>
  <c r="BJ40" i="1"/>
  <c r="BJ41" i="1"/>
  <c r="BJ42" i="1"/>
  <c r="BJ43" i="1"/>
  <c r="BJ44" i="1"/>
  <c r="BJ45" i="1"/>
  <c r="BJ46" i="1"/>
  <c r="BJ47" i="1"/>
  <c r="BJ48" i="1"/>
  <c r="BJ49" i="1"/>
  <c r="BJ50" i="1"/>
  <c r="BJ51" i="1"/>
  <c r="BJ52" i="1"/>
  <c r="BJ53" i="1"/>
  <c r="BJ54" i="1"/>
  <c r="BJ55" i="1"/>
  <c r="BJ56" i="1"/>
  <c r="BJ57" i="1"/>
  <c r="BJ58" i="1"/>
  <c r="BJ59" i="1"/>
  <c r="BJ60" i="1"/>
  <c r="BJ61" i="1"/>
  <c r="BJ62" i="1"/>
  <c r="BJ63" i="1"/>
  <c r="BJ64" i="1"/>
  <c r="BJ65" i="1"/>
  <c r="BJ66" i="1"/>
  <c r="BJ67" i="1"/>
  <c r="BJ68" i="1"/>
  <c r="BJ69" i="1"/>
  <c r="BJ70" i="1"/>
  <c r="BJ71" i="1"/>
  <c r="BJ72" i="1"/>
  <c r="BJ73" i="1"/>
  <c r="BJ74" i="1"/>
  <c r="BJ75" i="1"/>
  <c r="BJ76" i="1"/>
  <c r="BJ77" i="1"/>
  <c r="BJ78" i="1"/>
  <c r="BJ79" i="1"/>
  <c r="BJ80" i="1"/>
  <c r="BJ81" i="1"/>
  <c r="BJ82" i="1"/>
  <c r="BJ83" i="1"/>
  <c r="BJ84" i="1"/>
  <c r="BJ85" i="1"/>
  <c r="BJ86" i="1"/>
  <c r="BJ87" i="1"/>
  <c r="BJ88" i="1"/>
  <c r="BJ89" i="1"/>
  <c r="BJ90" i="1"/>
  <c r="BJ91" i="1"/>
  <c r="BJ92" i="1"/>
  <c r="BJ93" i="1"/>
  <c r="BJ94" i="1"/>
  <c r="BJ95" i="1"/>
  <c r="BJ96" i="1"/>
  <c r="BJ97" i="1"/>
  <c r="BJ98" i="1"/>
  <c r="BJ99" i="1"/>
  <c r="BJ100" i="1"/>
  <c r="BJ101" i="1"/>
  <c r="BJ102" i="1"/>
  <c r="BJ103" i="1"/>
  <c r="BJ104" i="1"/>
  <c r="BJ105" i="1"/>
  <c r="BJ106" i="1"/>
  <c r="BJ107" i="1"/>
  <c r="BJ108" i="1"/>
  <c r="BJ109" i="1"/>
  <c r="BJ110" i="1"/>
  <c r="BJ111" i="1"/>
  <c r="BJ112" i="1"/>
  <c r="BJ113" i="1"/>
  <c r="BJ114" i="1"/>
  <c r="BJ115" i="1"/>
  <c r="BJ116" i="1"/>
  <c r="BJ117" i="1"/>
  <c r="BJ118" i="1"/>
  <c r="BJ119" i="1"/>
  <c r="BJ120" i="1"/>
  <c r="BJ121" i="1"/>
  <c r="BJ122" i="1"/>
  <c r="BJ123" i="1"/>
  <c r="BJ124" i="1"/>
  <c r="BJ125" i="1"/>
  <c r="BJ126" i="1"/>
  <c r="BJ127" i="1"/>
  <c r="BJ128" i="1"/>
  <c r="BJ129" i="1"/>
  <c r="BJ130" i="1"/>
  <c r="BJ131" i="1"/>
  <c r="BJ132" i="1"/>
  <c r="BJ133" i="1"/>
  <c r="BJ134" i="1"/>
  <c r="BJ135" i="1"/>
  <c r="BJ136" i="1"/>
  <c r="BJ137" i="1"/>
  <c r="BJ3" i="1"/>
  <c r="BI4" i="1"/>
  <c r="BI5" i="1"/>
  <c r="BI6" i="1"/>
  <c r="BI7" i="1"/>
  <c r="BI8" i="1"/>
  <c r="BI9" i="1"/>
  <c r="BI10" i="1"/>
  <c r="BI11" i="1"/>
  <c r="BI12" i="1"/>
  <c r="BI13" i="1"/>
  <c r="BI14" i="1"/>
  <c r="BI15" i="1"/>
  <c r="BI16" i="1"/>
  <c r="BI17" i="1"/>
  <c r="BI18" i="1"/>
  <c r="BI19" i="1"/>
  <c r="BI20" i="1"/>
  <c r="BI21" i="1"/>
  <c r="BI22" i="1"/>
  <c r="BI23" i="1"/>
  <c r="BI24" i="1"/>
  <c r="BI25" i="1"/>
  <c r="BI26" i="1"/>
  <c r="BI27" i="1"/>
  <c r="BI28" i="1"/>
  <c r="BI29" i="1"/>
  <c r="BI30" i="1"/>
  <c r="BI31" i="1"/>
  <c r="BI32" i="1"/>
  <c r="BI33" i="1"/>
  <c r="BI34" i="1"/>
  <c r="BI35" i="1"/>
  <c r="BI36" i="1"/>
  <c r="BI37" i="1"/>
  <c r="BI38" i="1"/>
  <c r="BI39" i="1"/>
  <c r="BI40" i="1"/>
  <c r="BI41" i="1"/>
  <c r="BI42" i="1"/>
  <c r="BI43" i="1"/>
  <c r="BI44" i="1"/>
  <c r="BI45" i="1"/>
  <c r="BI46" i="1"/>
  <c r="BI47" i="1"/>
  <c r="BI48" i="1"/>
  <c r="BI49" i="1"/>
  <c r="BI50" i="1"/>
  <c r="BI51" i="1"/>
  <c r="BI52" i="1"/>
  <c r="BI53" i="1"/>
  <c r="BI54" i="1"/>
  <c r="BI55" i="1"/>
  <c r="BI56" i="1"/>
  <c r="BI57" i="1"/>
  <c r="BI58" i="1"/>
  <c r="BI59" i="1"/>
  <c r="BI60" i="1"/>
  <c r="BI61" i="1"/>
  <c r="BI62" i="1"/>
  <c r="BI63" i="1"/>
  <c r="BI64" i="1"/>
  <c r="BI65" i="1"/>
  <c r="BI66" i="1"/>
  <c r="BI67" i="1"/>
  <c r="BI68" i="1"/>
  <c r="BI69" i="1"/>
  <c r="BI70" i="1"/>
  <c r="BI71" i="1"/>
  <c r="BI72" i="1"/>
  <c r="BI73" i="1"/>
  <c r="BI74" i="1"/>
  <c r="BI75" i="1"/>
  <c r="BI76" i="1"/>
  <c r="BI77" i="1"/>
  <c r="BI78" i="1"/>
  <c r="BI79" i="1"/>
  <c r="BI80" i="1"/>
  <c r="BI81" i="1"/>
  <c r="BI82" i="1"/>
  <c r="BI83" i="1"/>
  <c r="BI84" i="1"/>
  <c r="BI85" i="1"/>
  <c r="BI86" i="1"/>
  <c r="BI87" i="1"/>
  <c r="BI88" i="1"/>
  <c r="BI89" i="1"/>
  <c r="BI90" i="1"/>
  <c r="BI91" i="1"/>
  <c r="BI92" i="1"/>
  <c r="BI93" i="1"/>
  <c r="BI94" i="1"/>
  <c r="BI95" i="1"/>
  <c r="BI96" i="1"/>
  <c r="BI97" i="1"/>
  <c r="BI98" i="1"/>
  <c r="BI99" i="1"/>
  <c r="BI100" i="1"/>
  <c r="BI101" i="1"/>
  <c r="BI102" i="1"/>
  <c r="BI103" i="1"/>
  <c r="BI104" i="1"/>
  <c r="BI105" i="1"/>
  <c r="BI106" i="1"/>
  <c r="BI107" i="1"/>
  <c r="BI108" i="1"/>
  <c r="BI109" i="1"/>
  <c r="BI110" i="1"/>
  <c r="BI111" i="1"/>
  <c r="BI112" i="1"/>
  <c r="BI113" i="1"/>
  <c r="BI114" i="1"/>
  <c r="BI115" i="1"/>
  <c r="BI116" i="1"/>
  <c r="BI117" i="1"/>
  <c r="BI118" i="1"/>
  <c r="BI119" i="1"/>
  <c r="BI120" i="1"/>
  <c r="BI121" i="1"/>
  <c r="BI122" i="1"/>
  <c r="BI123" i="1"/>
  <c r="BI124" i="1"/>
  <c r="BI125" i="1"/>
  <c r="BI126" i="1"/>
  <c r="BI127" i="1"/>
  <c r="BI128" i="1"/>
  <c r="BI129" i="1"/>
  <c r="BI130" i="1"/>
  <c r="BI131" i="1"/>
  <c r="BI132" i="1"/>
  <c r="BI133" i="1"/>
  <c r="BI134" i="1"/>
  <c r="BI135" i="1"/>
  <c r="BI137" i="1"/>
  <c r="BI3" i="1"/>
  <c r="AC134" i="1"/>
  <c r="C46" i="8" l="1"/>
  <c r="D9" i="17"/>
  <c r="E5" i="17"/>
  <c r="E9" i="17"/>
  <c r="D4" i="17" l="1"/>
  <c r="H8" i="15" l="1"/>
  <c r="D8" i="16"/>
  <c r="AB22" i="1"/>
  <c r="AB23" i="1"/>
  <c r="C11" i="16"/>
  <c r="C6" i="16"/>
  <c r="C7" i="16"/>
  <c r="D7" i="17" l="1"/>
  <c r="D11" i="17"/>
  <c r="D5" i="17"/>
  <c r="C12" i="16"/>
  <c r="C8" i="16"/>
  <c r="J39" i="2" l="1"/>
  <c r="K39" i="2" s="1"/>
  <c r="I14" i="2" s="1"/>
  <c r="J40" i="2"/>
  <c r="K40" i="2" s="1"/>
  <c r="I10" i="2" s="1"/>
  <c r="H29" i="2"/>
  <c r="J29" i="2" s="1"/>
  <c r="K29" i="2" s="1"/>
  <c r="I5" i="2" s="1"/>
  <c r="H30" i="2"/>
  <c r="J30" i="2" s="1"/>
  <c r="K30" i="2" s="1"/>
  <c r="I6" i="2" s="1"/>
  <c r="H31" i="2"/>
  <c r="J31" i="2" s="1"/>
  <c r="K31" i="2" s="1"/>
  <c r="I7" i="2" s="1"/>
  <c r="H32" i="2"/>
  <c r="J32" i="2" s="1"/>
  <c r="K32" i="2" s="1"/>
  <c r="I3" i="2" s="1"/>
  <c r="H33" i="2"/>
  <c r="J33" i="2" s="1"/>
  <c r="K33" i="2" s="1"/>
  <c r="I16" i="2" s="1"/>
  <c r="H34" i="2"/>
  <c r="J34" i="2" s="1"/>
  <c r="K34" i="2" s="1"/>
  <c r="I8" i="2" s="1"/>
  <c r="K137" i="1" s="1"/>
  <c r="BT137" i="1" s="1"/>
  <c r="H35" i="2"/>
  <c r="J35" i="2" s="1"/>
  <c r="K35" i="2" s="1"/>
  <c r="I9" i="2" s="1"/>
  <c r="H36" i="2"/>
  <c r="J36" i="2" s="1"/>
  <c r="K36" i="2" s="1"/>
  <c r="I11" i="2" s="1"/>
  <c r="H37" i="2"/>
  <c r="J37" i="2" s="1"/>
  <c r="K37" i="2" s="1"/>
  <c r="I12" i="2" s="1"/>
  <c r="H38" i="2"/>
  <c r="J38" i="2" s="1"/>
  <c r="K38" i="2" s="1"/>
  <c r="I13" i="2" s="1"/>
  <c r="H39" i="2"/>
  <c r="H40" i="2"/>
  <c r="H41" i="2"/>
  <c r="J41" i="2" s="1"/>
  <c r="K41" i="2" s="1"/>
  <c r="I15" i="2" s="1"/>
  <c r="H28" i="2"/>
  <c r="J28" i="2" s="1"/>
  <c r="K28" i="2" s="1"/>
  <c r="K138" i="1" l="1"/>
  <c r="BT138" i="1" s="1"/>
  <c r="K139" i="1"/>
  <c r="BT139" i="1" s="1"/>
  <c r="M28" i="2"/>
  <c r="I4" i="2"/>
  <c r="V132" i="1"/>
  <c r="AC132" i="1" s="1"/>
  <c r="K132" i="1" s="1"/>
  <c r="V83" i="1"/>
  <c r="S132" i="1"/>
  <c r="V109" i="1"/>
  <c r="AC109" i="1" s="1"/>
  <c r="K109" i="1" s="1"/>
  <c r="V119" i="1"/>
  <c r="AC119" i="1" s="1"/>
  <c r="K119" i="1" s="1"/>
  <c r="V118" i="1"/>
  <c r="AC118" i="1" s="1"/>
  <c r="K118" i="1" s="1"/>
  <c r="V117" i="1"/>
  <c r="AC117" i="1" s="1"/>
  <c r="K117" i="1" s="1"/>
  <c r="V116" i="1"/>
  <c r="AC116" i="1" s="1"/>
  <c r="K116" i="1" s="1"/>
  <c r="V115" i="1"/>
  <c r="AC115" i="1" s="1"/>
  <c r="K115" i="1" s="1"/>
  <c r="V114" i="1"/>
  <c r="AC114" i="1" s="1"/>
  <c r="K114" i="1" s="1"/>
  <c r="V113" i="1"/>
  <c r="AC113" i="1" s="1"/>
  <c r="K113" i="1" s="1"/>
  <c r="V111" i="1"/>
  <c r="AC111" i="1" s="1"/>
  <c r="K111" i="1" s="1"/>
  <c r="AC110" i="1"/>
  <c r="K110" i="1" s="1"/>
  <c r="V110" i="1"/>
  <c r="V108" i="1"/>
  <c r="AC108" i="1" s="1"/>
  <c r="K108" i="1" s="1"/>
  <c r="V107" i="1"/>
  <c r="AC107" i="1" s="1"/>
  <c r="K107" i="1" s="1"/>
  <c r="V106" i="1"/>
  <c r="AC106" i="1" s="1"/>
  <c r="K106" i="1" s="1"/>
  <c r="V105" i="1"/>
  <c r="AC105" i="1" s="1"/>
  <c r="K105" i="1" s="1"/>
  <c r="AK104" i="1"/>
  <c r="V121" i="1"/>
  <c r="AC121" i="1" s="1"/>
  <c r="K121" i="1" s="1"/>
  <c r="V127" i="1"/>
  <c r="AC127" i="1" s="1"/>
  <c r="K127" i="1" s="1"/>
  <c r="V125" i="1"/>
  <c r="AC125" i="1" s="1"/>
  <c r="K125" i="1" s="1"/>
  <c r="V120" i="1"/>
  <c r="AC120" i="1" s="1"/>
  <c r="K120" i="1" s="1"/>
  <c r="V130" i="1"/>
  <c r="AC130" i="1" s="1"/>
  <c r="K130" i="1" s="1"/>
  <c r="V128" i="1"/>
  <c r="AC128" i="1" s="1"/>
  <c r="K128" i="1" s="1"/>
  <c r="V129" i="1"/>
  <c r="AC129" i="1" s="1"/>
  <c r="K129" i="1" s="1"/>
  <c r="V126" i="1"/>
  <c r="AC126" i="1" s="1"/>
  <c r="K126" i="1" s="1"/>
  <c r="V122" i="1"/>
  <c r="AC122" i="1" s="1"/>
  <c r="K122" i="1" s="1"/>
  <c r="V123" i="1"/>
  <c r="AC123" i="1" s="1"/>
  <c r="K123" i="1" s="1"/>
  <c r="V124" i="1"/>
  <c r="AC124" i="1" s="1"/>
  <c r="K124" i="1" s="1"/>
  <c r="S130" i="1"/>
  <c r="S129" i="1"/>
  <c r="S128" i="1"/>
  <c r="S127" i="1"/>
  <c r="S126" i="1"/>
  <c r="S125" i="1"/>
  <c r="S124" i="1"/>
  <c r="S123" i="1"/>
  <c r="S122" i="1"/>
  <c r="S121" i="1"/>
  <c r="S120" i="1"/>
  <c r="S102" i="1"/>
  <c r="S119" i="1"/>
  <c r="S118" i="1"/>
  <c r="S117" i="1"/>
  <c r="S116" i="1"/>
  <c r="S115" i="1"/>
  <c r="S114" i="1"/>
  <c r="S113" i="1"/>
  <c r="S112" i="1"/>
  <c r="S111" i="1"/>
  <c r="S110" i="1"/>
  <c r="S109" i="1"/>
  <c r="S108" i="1"/>
  <c r="S107" i="1"/>
  <c r="S106" i="1"/>
  <c r="S105" i="1"/>
  <c r="S104" i="1"/>
  <c r="AC131" i="1"/>
  <c r="BT113" i="1" l="1"/>
  <c r="BT130" i="1"/>
  <c r="BT111" i="1"/>
  <c r="BT120" i="1"/>
  <c r="BT125" i="1"/>
  <c r="BT114" i="1"/>
  <c r="BT116" i="1"/>
  <c r="BT127" i="1"/>
  <c r="BT115" i="1"/>
  <c r="BT121" i="1"/>
  <c r="BT117" i="1"/>
  <c r="BT118" i="1"/>
  <c r="BT119" i="1"/>
  <c r="BT106" i="1"/>
  <c r="BT122" i="1"/>
  <c r="BT107" i="1"/>
  <c r="BT109" i="1"/>
  <c r="BT126" i="1"/>
  <c r="BT108" i="1"/>
  <c r="BT124" i="1"/>
  <c r="BT123" i="1"/>
  <c r="BT129" i="1"/>
  <c r="BT105" i="1"/>
  <c r="BT128" i="1"/>
  <c r="BT110" i="1"/>
  <c r="BT132" i="1"/>
  <c r="AC103" i="1"/>
  <c r="K103" i="1" s="1"/>
  <c r="AC78" i="1"/>
  <c r="K78" i="1" s="1"/>
  <c r="AC90" i="1"/>
  <c r="K90" i="1" s="1"/>
  <c r="AC91" i="1"/>
  <c r="K91" i="1" s="1"/>
  <c r="AC92" i="1"/>
  <c r="K92" i="1" s="1"/>
  <c r="AC93" i="1"/>
  <c r="K93" i="1" s="1"/>
  <c r="AC94" i="1"/>
  <c r="K94" i="1" s="1"/>
  <c r="AC95" i="1"/>
  <c r="K95" i="1" s="1"/>
  <c r="AC96" i="1"/>
  <c r="K96" i="1" s="1"/>
  <c r="AC87" i="1"/>
  <c r="K87" i="1" s="1"/>
  <c r="S96" i="1"/>
  <c r="S95" i="1"/>
  <c r="S94" i="1"/>
  <c r="S93" i="1"/>
  <c r="S92" i="1"/>
  <c r="S91" i="1"/>
  <c r="S90" i="1"/>
  <c r="S89" i="1"/>
  <c r="S88" i="1"/>
  <c r="S87" i="1"/>
  <c r="AC88" i="1"/>
  <c r="K88" i="1" s="1"/>
  <c r="AC84" i="1"/>
  <c r="K84" i="1" s="1"/>
  <c r="AC82" i="1"/>
  <c r="K82" i="1" s="1"/>
  <c r="AC81" i="1"/>
  <c r="K81" i="1" s="1"/>
  <c r="BT93" i="1" l="1"/>
  <c r="BT95" i="1"/>
  <c r="BT91" i="1"/>
  <c r="BT90" i="1"/>
  <c r="BT78" i="1"/>
  <c r="BT103" i="1"/>
  <c r="BT81" i="1"/>
  <c r="BT82" i="1"/>
  <c r="BT92" i="1"/>
  <c r="BT87" i="1"/>
  <c r="BT94" i="1"/>
  <c r="BT84" i="1"/>
  <c r="BT88" i="1"/>
  <c r="BT96" i="1"/>
  <c r="AC86" i="1"/>
  <c r="K86" i="1" s="1"/>
  <c r="S86" i="1"/>
  <c r="AC98" i="1"/>
  <c r="K98" i="1" s="1"/>
  <c r="AC97" i="1"/>
  <c r="K97" i="1" s="1"/>
  <c r="AC89" i="1"/>
  <c r="K89" i="1" s="1"/>
  <c r="AC83" i="1"/>
  <c r="K83" i="1" s="1"/>
  <c r="AC100" i="1"/>
  <c r="K100" i="1" s="1"/>
  <c r="AC80" i="1"/>
  <c r="K80" i="1" s="1"/>
  <c r="AC85" i="1"/>
  <c r="K85" i="1" s="1"/>
  <c r="S99" i="1"/>
  <c r="S100" i="1"/>
  <c r="S101" i="1"/>
  <c r="AB64" i="1"/>
  <c r="V64" i="1"/>
  <c r="AE53" i="1"/>
  <c r="AE43" i="1"/>
  <c r="AF43" i="1"/>
  <c r="AB40" i="1"/>
  <c r="V40" i="1"/>
  <c r="BT97" i="1" l="1"/>
  <c r="BT89" i="1"/>
  <c r="BT98" i="1"/>
  <c r="BT83" i="1"/>
  <c r="BT101" i="1"/>
  <c r="BT86" i="1"/>
  <c r="BT85" i="1"/>
  <c r="BT80" i="1"/>
  <c r="BT99" i="1"/>
  <c r="BT100" i="1"/>
  <c r="AI43" i="1"/>
  <c r="AG43" i="1"/>
  <c r="AH43" i="1"/>
  <c r="S30" i="1"/>
  <c r="AE30" i="1"/>
  <c r="AF30" i="1"/>
  <c r="AG30" i="1" s="1"/>
  <c r="AZ30" i="1"/>
  <c r="BA30" i="1"/>
  <c r="BB30" i="1" s="1"/>
  <c r="S31" i="1"/>
  <c r="AE31" i="1"/>
  <c r="AF31" i="1"/>
  <c r="AZ31" i="1"/>
  <c r="BA31" i="1"/>
  <c r="BB31" i="1" s="1"/>
  <c r="S32" i="1"/>
  <c r="AE32" i="1"/>
  <c r="AF32" i="1"/>
  <c r="AZ32" i="1"/>
  <c r="BA32" i="1"/>
  <c r="BB32" i="1" s="1"/>
  <c r="S33" i="1"/>
  <c r="AE33" i="1"/>
  <c r="AF33" i="1"/>
  <c r="AG33" i="1" s="1"/>
  <c r="AZ33" i="1"/>
  <c r="BA33" i="1"/>
  <c r="BB33" i="1" s="1"/>
  <c r="S34" i="1"/>
  <c r="AE34" i="1"/>
  <c r="AF34" i="1"/>
  <c r="AZ34" i="1"/>
  <c r="BA34" i="1"/>
  <c r="BB34" i="1" s="1"/>
  <c r="S35" i="1"/>
  <c r="AE35" i="1"/>
  <c r="AF35" i="1"/>
  <c r="AZ35" i="1"/>
  <c r="BA35" i="1"/>
  <c r="S36" i="1"/>
  <c r="AE36" i="1"/>
  <c r="AF36" i="1"/>
  <c r="AG36" i="1" s="1"/>
  <c r="AZ36" i="1"/>
  <c r="BA36" i="1"/>
  <c r="BB36" i="1" s="1"/>
  <c r="S37" i="1"/>
  <c r="AE37" i="1"/>
  <c r="AF37" i="1"/>
  <c r="AG37" i="1" s="1"/>
  <c r="AZ37" i="1"/>
  <c r="BA37" i="1"/>
  <c r="S38" i="1"/>
  <c r="AE38" i="1"/>
  <c r="AF38" i="1"/>
  <c r="AZ38" i="1"/>
  <c r="BA38" i="1"/>
  <c r="BB38" i="1" s="1"/>
  <c r="S39" i="1"/>
  <c r="AE39" i="1"/>
  <c r="AF39" i="1"/>
  <c r="AZ39" i="1"/>
  <c r="BA39" i="1"/>
  <c r="AJ43" i="1" l="1"/>
  <c r="AO43" i="1" s="1"/>
  <c r="AH31" i="1"/>
  <c r="AG31" i="1"/>
  <c r="AH38" i="1"/>
  <c r="AG38" i="1"/>
  <c r="BC35" i="1"/>
  <c r="BB35" i="1"/>
  <c r="BC37" i="1"/>
  <c r="BB37" i="1"/>
  <c r="AG35" i="1"/>
  <c r="AH32" i="1"/>
  <c r="AG32" i="1"/>
  <c r="BC39" i="1"/>
  <c r="BB39" i="1"/>
  <c r="AG39" i="1"/>
  <c r="AH34" i="1"/>
  <c r="AG34" i="1"/>
  <c r="BC36" i="1"/>
  <c r="BD36" i="1" s="1" a="1"/>
  <c r="BD36" i="1" s="1"/>
  <c r="BE36" i="1" s="1"/>
  <c r="BG36" i="1" s="1"/>
  <c r="AH39" i="1"/>
  <c r="BC34" i="1"/>
  <c r="BD34" i="1" s="1" a="1"/>
  <c r="BD34" i="1" s="1"/>
  <c r="BE34" i="1" s="1"/>
  <c r="BG34" i="1" s="1"/>
  <c r="BC31" i="1"/>
  <c r="BD31" i="1" s="1" a="1"/>
  <c r="BD31" i="1" s="1"/>
  <c r="BE31" i="1" s="1"/>
  <c r="BG31" i="1" s="1"/>
  <c r="AH37" i="1"/>
  <c r="AH30" i="1"/>
  <c r="AH35" i="1"/>
  <c r="BC38" i="1"/>
  <c r="BD38" i="1" s="1" a="1"/>
  <c r="BD38" i="1" s="1"/>
  <c r="BE38" i="1" s="1"/>
  <c r="BG38" i="1" s="1"/>
  <c r="AH36" i="1"/>
  <c r="AI36" i="1" s="1"/>
  <c r="BC33" i="1"/>
  <c r="BC32" i="1"/>
  <c r="BD32" i="1" s="1" a="1"/>
  <c r="BD32" i="1" s="1"/>
  <c r="BE32" i="1" s="1"/>
  <c r="BG32" i="1" s="1"/>
  <c r="AH33" i="1"/>
  <c r="AI33" i="1" s="1"/>
  <c r="BC30" i="1"/>
  <c r="BD30" i="1" s="1" a="1"/>
  <c r="BD30" i="1" s="1"/>
  <c r="BE30" i="1" s="1"/>
  <c r="BG30" i="1" s="1"/>
  <c r="D29" i="9"/>
  <c r="BD35" i="1" l="1" a="1"/>
  <c r="BD35" i="1" s="1"/>
  <c r="BE35" i="1" s="1"/>
  <c r="BG35" i="1" s="1"/>
  <c r="AI31" i="1"/>
  <c r="AJ31" i="1" s="1"/>
  <c r="AO31" i="1" s="1"/>
  <c r="AI34" i="1"/>
  <c r="AJ34" i="1" s="1"/>
  <c r="AO34" i="1" s="1"/>
  <c r="AI38" i="1"/>
  <c r="AJ38" i="1" s="1"/>
  <c r="AO38" i="1" s="1"/>
  <c r="BD37" i="1" a="1"/>
  <c r="BD37" i="1" s="1"/>
  <c r="BE37" i="1" s="1"/>
  <c r="BG37" i="1" s="1"/>
  <c r="BD39" i="1" a="1"/>
  <c r="BD39" i="1" s="1"/>
  <c r="BE39" i="1" s="1"/>
  <c r="BG39" i="1" s="1"/>
  <c r="AI32" i="1"/>
  <c r="AJ32" i="1" s="1"/>
  <c r="AO32" i="1" s="1"/>
  <c r="AI35" i="1"/>
  <c r="AJ35" i="1" s="1"/>
  <c r="AO35" i="1" s="1"/>
  <c r="AI39" i="1"/>
  <c r="AJ39" i="1" s="1"/>
  <c r="AO39" i="1" s="1"/>
  <c r="AI37" i="1"/>
  <c r="AJ37" i="1" s="1"/>
  <c r="AO37" i="1" s="1"/>
  <c r="AJ33" i="1"/>
  <c r="AO33" i="1" s="1"/>
  <c r="AI30" i="1"/>
  <c r="AJ30" i="1" s="1"/>
  <c r="AO30" i="1" s="1"/>
  <c r="BD33" i="1" a="1"/>
  <c r="BD33" i="1" s="1"/>
  <c r="BE33" i="1" s="1"/>
  <c r="BG33" i="1" s="1"/>
  <c r="AJ36" i="1"/>
  <c r="AO36" i="1" s="1"/>
  <c r="AB75" i="1"/>
  <c r="AB74" i="1"/>
  <c r="AB73" i="1"/>
  <c r="AB72" i="1"/>
  <c r="AB71" i="1"/>
  <c r="AB68" i="1"/>
  <c r="AB55" i="1"/>
  <c r="AB54" i="1"/>
  <c r="AB52" i="1"/>
  <c r="V41" i="1"/>
  <c r="I30" i="12"/>
  <c r="I29" i="12"/>
  <c r="G29" i="12"/>
  <c r="N29" i="12"/>
  <c r="G30" i="12"/>
  <c r="K29" i="12"/>
  <c r="N30" i="12"/>
  <c r="N12" i="12"/>
  <c r="K30" i="12"/>
  <c r="K12" i="12"/>
  <c r="N11" i="12"/>
  <c r="K11" i="12"/>
  <c r="F6" i="16" l="1"/>
  <c r="F10" i="16"/>
  <c r="B10" i="16"/>
  <c r="B11" i="16"/>
  <c r="B7" i="16"/>
  <c r="E7" i="16" l="1"/>
  <c r="E10" i="16"/>
  <c r="C5" i="17" l="1"/>
  <c r="C4" i="17"/>
  <c r="B7" i="17" l="1"/>
  <c r="G4" i="17"/>
  <c r="F4" i="17"/>
  <c r="H4" i="17"/>
  <c r="B5" i="17"/>
  <c r="B9" i="17"/>
  <c r="B11" i="17"/>
  <c r="B4" i="17"/>
  <c r="F11" i="16"/>
  <c r="F12" i="17" s="1"/>
  <c r="F10" i="17"/>
  <c r="F7" i="16"/>
  <c r="F8" i="17" l="1"/>
  <c r="C11" i="17"/>
  <c r="C7" i="17"/>
  <c r="C9" i="17"/>
  <c r="F8" i="16"/>
  <c r="F6" i="17"/>
  <c r="G7" i="16"/>
  <c r="E6" i="16"/>
  <c r="B12" i="16"/>
  <c r="E11" i="16"/>
  <c r="D12" i="16"/>
  <c r="F12" i="16"/>
  <c r="G11" i="16" l="1"/>
  <c r="H11" i="17" s="1"/>
  <c r="G11" i="17"/>
  <c r="G6" i="16"/>
  <c r="G5" i="17"/>
  <c r="G10" i="16"/>
  <c r="H9" i="17" s="1"/>
  <c r="G9" i="17"/>
  <c r="G7" i="17"/>
  <c r="E8" i="16"/>
  <c r="E12" i="16"/>
  <c r="B8" i="16"/>
  <c r="H5" i="17" l="1"/>
  <c r="H7" i="17"/>
  <c r="Z27" i="1"/>
  <c r="V27" i="1"/>
  <c r="Y25" i="1"/>
  <c r="V25" i="1"/>
  <c r="S29" i="1"/>
  <c r="S28" i="1"/>
  <c r="S27" i="1"/>
  <c r="G11" i="12"/>
  <c r="I11" i="12"/>
  <c r="I12" i="12"/>
  <c r="AF460" i="1" l="1"/>
  <c r="AF459" i="1"/>
  <c r="AF458" i="1"/>
  <c r="AF457" i="1"/>
  <c r="AG457" i="1" s="1"/>
  <c r="AF456" i="1"/>
  <c r="AG456" i="1" s="1"/>
  <c r="AF455" i="1"/>
  <c r="AF454" i="1"/>
  <c r="AF453" i="1"/>
  <c r="AF452" i="1"/>
  <c r="AF451" i="1"/>
  <c r="AF450" i="1"/>
  <c r="AF449" i="1"/>
  <c r="AF448" i="1"/>
  <c r="AG448" i="1" s="1"/>
  <c r="AF447" i="1"/>
  <c r="AF446" i="1"/>
  <c r="AF445" i="1"/>
  <c r="AF444" i="1"/>
  <c r="AF443" i="1"/>
  <c r="AF442" i="1"/>
  <c r="AF441" i="1"/>
  <c r="AF440" i="1"/>
  <c r="AF439" i="1"/>
  <c r="AF438" i="1"/>
  <c r="AF437" i="1"/>
  <c r="AF436" i="1"/>
  <c r="AG436" i="1" s="1"/>
  <c r="AF435" i="1"/>
  <c r="AF434" i="1"/>
  <c r="AF433" i="1"/>
  <c r="AF432" i="1"/>
  <c r="AG432" i="1" s="1"/>
  <c r="AF431" i="1"/>
  <c r="AF430" i="1"/>
  <c r="AF429" i="1"/>
  <c r="AF428" i="1"/>
  <c r="AG428" i="1" s="1"/>
  <c r="AF427" i="1"/>
  <c r="AF426" i="1"/>
  <c r="AF425" i="1"/>
  <c r="AF424" i="1"/>
  <c r="AG424" i="1" s="1"/>
  <c r="AF423" i="1"/>
  <c r="AF422" i="1"/>
  <c r="AF421" i="1"/>
  <c r="AF420" i="1"/>
  <c r="AF419" i="1"/>
  <c r="AF418" i="1"/>
  <c r="AF417" i="1"/>
  <c r="AF416" i="1"/>
  <c r="AF415" i="1"/>
  <c r="AF414" i="1"/>
  <c r="AF413" i="1"/>
  <c r="AF412" i="1"/>
  <c r="AF411" i="1"/>
  <c r="AF410" i="1"/>
  <c r="AF409" i="1"/>
  <c r="AF408" i="1"/>
  <c r="AG408" i="1" s="1"/>
  <c r="AF407" i="1"/>
  <c r="AF406" i="1"/>
  <c r="AF405" i="1"/>
  <c r="AF404" i="1"/>
  <c r="AF403" i="1"/>
  <c r="AF402" i="1"/>
  <c r="AF401" i="1"/>
  <c r="AF400" i="1"/>
  <c r="AG400" i="1" s="1"/>
  <c r="AF399" i="1"/>
  <c r="AF398" i="1"/>
  <c r="AF397" i="1"/>
  <c r="AF396" i="1"/>
  <c r="AF395" i="1"/>
  <c r="AF394" i="1"/>
  <c r="AF393" i="1"/>
  <c r="AF392" i="1"/>
  <c r="AF391" i="1"/>
  <c r="AF390" i="1"/>
  <c r="AF389" i="1"/>
  <c r="AF388" i="1"/>
  <c r="AF387" i="1"/>
  <c r="AF386" i="1"/>
  <c r="AG386" i="1" s="1"/>
  <c r="AF385" i="1"/>
  <c r="AF384" i="1"/>
  <c r="AF383" i="1"/>
  <c r="AF382" i="1"/>
  <c r="AG382" i="1" s="1"/>
  <c r="AF381" i="1"/>
  <c r="AF380" i="1"/>
  <c r="AF379" i="1"/>
  <c r="AF378" i="1"/>
  <c r="AF377" i="1"/>
  <c r="AF376" i="1"/>
  <c r="AF375" i="1"/>
  <c r="AF374" i="1"/>
  <c r="AG374" i="1" s="1"/>
  <c r="AF373" i="1"/>
  <c r="AF372" i="1"/>
  <c r="AF371" i="1"/>
  <c r="AF370" i="1"/>
  <c r="AF369" i="1"/>
  <c r="AF368" i="1"/>
  <c r="AF367" i="1"/>
  <c r="AF366" i="1"/>
  <c r="AG366" i="1" s="1"/>
  <c r="AF365" i="1"/>
  <c r="AG365" i="1" s="1"/>
  <c r="AF364" i="1"/>
  <c r="AF363" i="1"/>
  <c r="AF362" i="1"/>
  <c r="AG362" i="1" s="1"/>
  <c r="AF361" i="1"/>
  <c r="AF360" i="1"/>
  <c r="AF359" i="1"/>
  <c r="AF358" i="1"/>
  <c r="AG358" i="1" s="1"/>
  <c r="AF357" i="1"/>
  <c r="AF356" i="1"/>
  <c r="AF355" i="1"/>
  <c r="AF354" i="1"/>
  <c r="AF353" i="1"/>
  <c r="AF352" i="1"/>
  <c r="AF351" i="1"/>
  <c r="AG351" i="1" s="1"/>
  <c r="AF350" i="1"/>
  <c r="AF349" i="1"/>
  <c r="AG349" i="1" s="1"/>
  <c r="AF348" i="1"/>
  <c r="AF347" i="1"/>
  <c r="AF346" i="1"/>
  <c r="AG346" i="1" s="1"/>
  <c r="AF345" i="1"/>
  <c r="AF344" i="1"/>
  <c r="AF343" i="1"/>
  <c r="AG343" i="1" s="1"/>
  <c r="AF342" i="1"/>
  <c r="AG342" i="1" s="1"/>
  <c r="AF341" i="1"/>
  <c r="AF340" i="1"/>
  <c r="AF339" i="1"/>
  <c r="AF338" i="1"/>
  <c r="AG338" i="1" s="1"/>
  <c r="AF337" i="1"/>
  <c r="AF336" i="1"/>
  <c r="AF335" i="1"/>
  <c r="AF334" i="1"/>
  <c r="AG334" i="1" s="1"/>
  <c r="AF333" i="1"/>
  <c r="AF332" i="1"/>
  <c r="AF331" i="1"/>
  <c r="AF330" i="1"/>
  <c r="AG330" i="1" s="1"/>
  <c r="AF329" i="1"/>
  <c r="AF328" i="1"/>
  <c r="AF327" i="1"/>
  <c r="AF326" i="1"/>
  <c r="AF325" i="1"/>
  <c r="AF324" i="1"/>
  <c r="AG324" i="1" s="1"/>
  <c r="AF323" i="1"/>
  <c r="AG323" i="1" s="1"/>
  <c r="AF322" i="1"/>
  <c r="AG322" i="1" s="1"/>
  <c r="AF321" i="1"/>
  <c r="AF320" i="1"/>
  <c r="AF319" i="1"/>
  <c r="AF318" i="1"/>
  <c r="AG318" i="1" s="1"/>
  <c r="AF317" i="1"/>
  <c r="AF316" i="1"/>
  <c r="AF315" i="1"/>
  <c r="AF314" i="1"/>
  <c r="AG314" i="1" s="1"/>
  <c r="AF313" i="1"/>
  <c r="AF312" i="1"/>
  <c r="AF311" i="1"/>
  <c r="AF310" i="1"/>
  <c r="AG310" i="1" s="1"/>
  <c r="AF309" i="1"/>
  <c r="AF308" i="1"/>
  <c r="AG308" i="1" s="1"/>
  <c r="AF307" i="1"/>
  <c r="AF306" i="1"/>
  <c r="AF305" i="1"/>
  <c r="AF304" i="1"/>
  <c r="AF303" i="1"/>
  <c r="AG303" i="1" s="1"/>
  <c r="AF302" i="1"/>
  <c r="AG302" i="1" s="1"/>
  <c r="AF301" i="1"/>
  <c r="AG301" i="1" s="1"/>
  <c r="AF300" i="1"/>
  <c r="AF299" i="1"/>
  <c r="AF298" i="1"/>
  <c r="AF297" i="1"/>
  <c r="AG297" i="1" s="1"/>
  <c r="AF296" i="1"/>
  <c r="AG296" i="1" s="1"/>
  <c r="AF295" i="1"/>
  <c r="AG295" i="1" s="1"/>
  <c r="AF294" i="1"/>
  <c r="AG294" i="1" s="1"/>
  <c r="AF293" i="1"/>
  <c r="AG293" i="1" s="1"/>
  <c r="AF292" i="1"/>
  <c r="AG292" i="1" s="1"/>
  <c r="AF291" i="1"/>
  <c r="AF290" i="1"/>
  <c r="AF289" i="1"/>
  <c r="AF288" i="1"/>
  <c r="AF287" i="1"/>
  <c r="AF286" i="1"/>
  <c r="AF285" i="1"/>
  <c r="AF284" i="1"/>
  <c r="AF283" i="1"/>
  <c r="AF282" i="1"/>
  <c r="AF281" i="1"/>
  <c r="AF280" i="1"/>
  <c r="AF279" i="1"/>
  <c r="AG279" i="1" s="1"/>
  <c r="AF278" i="1"/>
  <c r="AG278" i="1" s="1"/>
  <c r="AF277" i="1"/>
  <c r="AG277" i="1" s="1"/>
  <c r="AF276" i="1"/>
  <c r="AF275" i="1"/>
  <c r="AG275" i="1" s="1"/>
  <c r="AF274" i="1"/>
  <c r="AG274" i="1" s="1"/>
  <c r="AF273" i="1"/>
  <c r="AG273" i="1" s="1"/>
  <c r="AF272" i="1"/>
  <c r="AF271" i="1"/>
  <c r="AG271" i="1" s="1"/>
  <c r="AF270" i="1"/>
  <c r="AG270" i="1" s="1"/>
  <c r="AF269" i="1"/>
  <c r="AG269" i="1" s="1"/>
  <c r="AF268" i="1"/>
  <c r="AF267" i="1"/>
  <c r="AF266" i="1"/>
  <c r="AG266" i="1" s="1"/>
  <c r="AF265" i="1"/>
  <c r="AF264" i="1"/>
  <c r="AG264" i="1" s="1"/>
  <c r="AF263" i="1"/>
  <c r="AF262" i="1"/>
  <c r="AF261" i="1"/>
  <c r="AG261" i="1" s="1"/>
  <c r="AF260" i="1"/>
  <c r="AF259" i="1"/>
  <c r="AF258" i="1"/>
  <c r="AF257" i="1"/>
  <c r="AF256" i="1"/>
  <c r="AF255" i="1"/>
  <c r="AF254" i="1"/>
  <c r="AF253" i="1"/>
  <c r="AG253" i="1" s="1"/>
  <c r="AF252" i="1"/>
  <c r="AF251" i="1"/>
  <c r="AF250" i="1"/>
  <c r="AF249" i="1"/>
  <c r="AG249" i="1" s="1"/>
  <c r="AF248" i="1"/>
  <c r="AG248" i="1" s="1"/>
  <c r="AF247" i="1"/>
  <c r="AF246" i="1"/>
  <c r="AG246" i="1" s="1"/>
  <c r="AF245" i="1"/>
  <c r="AF244" i="1"/>
  <c r="AG244" i="1" s="1"/>
  <c r="AF243" i="1"/>
  <c r="AF242" i="1"/>
  <c r="AF241" i="1"/>
  <c r="AG241" i="1" s="1"/>
  <c r="AF240" i="1"/>
  <c r="AG240" i="1" s="1"/>
  <c r="AF239" i="1"/>
  <c r="AG239" i="1" s="1"/>
  <c r="AF238" i="1"/>
  <c r="AF237" i="1"/>
  <c r="AF236" i="1"/>
  <c r="AG236" i="1" s="1"/>
  <c r="AF235" i="1"/>
  <c r="AF234" i="1"/>
  <c r="AG234" i="1" s="1"/>
  <c r="AF233" i="1"/>
  <c r="AF232" i="1"/>
  <c r="AF231" i="1"/>
  <c r="AG231" i="1" s="1"/>
  <c r="AF230" i="1"/>
  <c r="AF229" i="1"/>
  <c r="AF228" i="1"/>
  <c r="AF227" i="1"/>
  <c r="AG227" i="1" s="1"/>
  <c r="AF226" i="1"/>
  <c r="AF225" i="1"/>
  <c r="AG225" i="1" s="1"/>
  <c r="AF224" i="1"/>
  <c r="AF223" i="1"/>
  <c r="AF222" i="1"/>
  <c r="AF221" i="1"/>
  <c r="AG221" i="1" s="1"/>
  <c r="AF220" i="1"/>
  <c r="AG220" i="1" s="1"/>
  <c r="AF219" i="1"/>
  <c r="AG219" i="1" s="1"/>
  <c r="AF218" i="1"/>
  <c r="AG218" i="1" s="1"/>
  <c r="AF217" i="1"/>
  <c r="AF216" i="1"/>
  <c r="AF215" i="1"/>
  <c r="AF214" i="1"/>
  <c r="AF213" i="1"/>
  <c r="AF212" i="1"/>
  <c r="AF211" i="1"/>
  <c r="AF210" i="1"/>
  <c r="AF209" i="1"/>
  <c r="AF208" i="1"/>
  <c r="AG208" i="1" s="1"/>
  <c r="AF207" i="1"/>
  <c r="AF206" i="1"/>
  <c r="AF205" i="1"/>
  <c r="AF204" i="1"/>
  <c r="AF203" i="1"/>
  <c r="AF202" i="1"/>
  <c r="AF201" i="1"/>
  <c r="AF200" i="1"/>
  <c r="AG200" i="1" s="1"/>
  <c r="AF199" i="1"/>
  <c r="AF198" i="1"/>
  <c r="AG198" i="1" s="1"/>
  <c r="AF197" i="1"/>
  <c r="AF196" i="1"/>
  <c r="AF195" i="1"/>
  <c r="AF194" i="1"/>
  <c r="AF193" i="1"/>
  <c r="AG193" i="1" s="1"/>
  <c r="AF192" i="1"/>
  <c r="AF191" i="1"/>
  <c r="AG191" i="1" s="1"/>
  <c r="AF190" i="1"/>
  <c r="AF189" i="1"/>
  <c r="AF188" i="1"/>
  <c r="AF187" i="1"/>
  <c r="AF186" i="1"/>
  <c r="AG186" i="1" s="1"/>
  <c r="AF185" i="1"/>
  <c r="AG185" i="1" s="1"/>
  <c r="AF184" i="1"/>
  <c r="AF183" i="1"/>
  <c r="AG183" i="1" s="1"/>
  <c r="AF182" i="1"/>
  <c r="AF181" i="1"/>
  <c r="AF180" i="1"/>
  <c r="AF179" i="1"/>
  <c r="AG179" i="1" s="1"/>
  <c r="AF178" i="1"/>
  <c r="AF177" i="1"/>
  <c r="AG177" i="1" s="1"/>
  <c r="AF176" i="1"/>
  <c r="AG176" i="1" s="1"/>
  <c r="AF175" i="1"/>
  <c r="AF174" i="1"/>
  <c r="AF173" i="1"/>
  <c r="AG173" i="1" s="1"/>
  <c r="AF172" i="1"/>
  <c r="AF171" i="1"/>
  <c r="AG171" i="1" s="1"/>
  <c r="AF170" i="1"/>
  <c r="AG170" i="1" s="1"/>
  <c r="AF169" i="1"/>
  <c r="AF168" i="1"/>
  <c r="AF167" i="1"/>
  <c r="AF166" i="1"/>
  <c r="AF165" i="1"/>
  <c r="AG165" i="1" s="1"/>
  <c r="AF164" i="1"/>
  <c r="AF163" i="1"/>
  <c r="AG163" i="1" s="1"/>
  <c r="AF162" i="1"/>
  <c r="AF161" i="1"/>
  <c r="AF160" i="1"/>
  <c r="AG160" i="1" s="1"/>
  <c r="AF159" i="1"/>
  <c r="AF158" i="1"/>
  <c r="AF157" i="1"/>
  <c r="AG157" i="1" s="1"/>
  <c r="AF156" i="1"/>
  <c r="AG156" i="1" s="1"/>
  <c r="AF155" i="1"/>
  <c r="AG155" i="1" s="1"/>
  <c r="AF154" i="1"/>
  <c r="AF153" i="1"/>
  <c r="AF152" i="1"/>
  <c r="AF151" i="1"/>
  <c r="AG151" i="1" s="1"/>
  <c r="AF150" i="1"/>
  <c r="AF149" i="1"/>
  <c r="AF148" i="1"/>
  <c r="AG148" i="1" s="1"/>
  <c r="AF147" i="1"/>
  <c r="AF146" i="1"/>
  <c r="AF145" i="1"/>
  <c r="AF144" i="1"/>
  <c r="AF143" i="1"/>
  <c r="AG143" i="1" s="1"/>
  <c r="AF142" i="1"/>
  <c r="AF141" i="1"/>
  <c r="AF140" i="1"/>
  <c r="AF139" i="1"/>
  <c r="AF138" i="1"/>
  <c r="AF137" i="1"/>
  <c r="AG137" i="1" s="1"/>
  <c r="AF136" i="1"/>
  <c r="AG136" i="1" s="1"/>
  <c r="AF135" i="1"/>
  <c r="AF134" i="1"/>
  <c r="AG134" i="1" s="1"/>
  <c r="AF133" i="1"/>
  <c r="AF132" i="1"/>
  <c r="AG132" i="1" s="1"/>
  <c r="AF131" i="1"/>
  <c r="AF130" i="1"/>
  <c r="AF129" i="1"/>
  <c r="AF128" i="1"/>
  <c r="AF127" i="1"/>
  <c r="AG127" i="1" s="1"/>
  <c r="AF126" i="1"/>
  <c r="AG126" i="1" s="1"/>
  <c r="AF125" i="1"/>
  <c r="AG125" i="1" s="1"/>
  <c r="AF124" i="1"/>
  <c r="AF123" i="1"/>
  <c r="AF122" i="1"/>
  <c r="AG122" i="1" s="1"/>
  <c r="AF121" i="1"/>
  <c r="AG121" i="1" s="1"/>
  <c r="AF120" i="1"/>
  <c r="AF119" i="1"/>
  <c r="AF118" i="1"/>
  <c r="AG118" i="1" s="1"/>
  <c r="AF117" i="1"/>
  <c r="AF116" i="1"/>
  <c r="AF115" i="1"/>
  <c r="AF114" i="1"/>
  <c r="AG114" i="1" s="1"/>
  <c r="AF113" i="1"/>
  <c r="AG113" i="1" s="1"/>
  <c r="AF112" i="1"/>
  <c r="AF111" i="1"/>
  <c r="AF110" i="1"/>
  <c r="AG110" i="1" s="1"/>
  <c r="AF109" i="1"/>
  <c r="AF108" i="1"/>
  <c r="AF107" i="1"/>
  <c r="AF106" i="1"/>
  <c r="AG106" i="1" s="1"/>
  <c r="AF105" i="1"/>
  <c r="AG105" i="1" s="1"/>
  <c r="AF104" i="1"/>
  <c r="AF103" i="1"/>
  <c r="AF102" i="1"/>
  <c r="AG102" i="1" s="1"/>
  <c r="AF101" i="1"/>
  <c r="AF100" i="1"/>
  <c r="AF99" i="1"/>
  <c r="AF98" i="1"/>
  <c r="AG98" i="1" s="1"/>
  <c r="AF97" i="1"/>
  <c r="AG97" i="1" s="1"/>
  <c r="AF96" i="1"/>
  <c r="AF95" i="1"/>
  <c r="AF94" i="1"/>
  <c r="AG94" i="1" s="1"/>
  <c r="AF93" i="1"/>
  <c r="AG93" i="1" s="1"/>
  <c r="AF92" i="1"/>
  <c r="AF91" i="1"/>
  <c r="AF90" i="1"/>
  <c r="AF89" i="1"/>
  <c r="AF88" i="1"/>
  <c r="AF87" i="1"/>
  <c r="AF86" i="1"/>
  <c r="AF85" i="1"/>
  <c r="AG85" i="1" s="1"/>
  <c r="AF84" i="1"/>
  <c r="AF83" i="1"/>
  <c r="AF82" i="1"/>
  <c r="AF81" i="1"/>
  <c r="AF80" i="1"/>
  <c r="AF79" i="1"/>
  <c r="AG79" i="1" s="1"/>
  <c r="AF78" i="1"/>
  <c r="AF77" i="1"/>
  <c r="AF76" i="1"/>
  <c r="AF75" i="1"/>
  <c r="AF74" i="1"/>
  <c r="AF73" i="1"/>
  <c r="AG73" i="1" s="1"/>
  <c r="AF72" i="1"/>
  <c r="AF71" i="1"/>
  <c r="AF70" i="1"/>
  <c r="AF69" i="1"/>
  <c r="AF68" i="1"/>
  <c r="AF67" i="1"/>
  <c r="AF66" i="1"/>
  <c r="AF65" i="1"/>
  <c r="AG65" i="1" s="1"/>
  <c r="AF64" i="1"/>
  <c r="AF63" i="1"/>
  <c r="AG63" i="1" s="1"/>
  <c r="AF62" i="1"/>
  <c r="AG62" i="1" s="1"/>
  <c r="AF61" i="1"/>
  <c r="AG61" i="1" s="1"/>
  <c r="AF60" i="1"/>
  <c r="AF59" i="1"/>
  <c r="AG59" i="1" s="1"/>
  <c r="AF58" i="1"/>
  <c r="AF57" i="1"/>
  <c r="AF56" i="1"/>
  <c r="AF55" i="1"/>
  <c r="AG55" i="1" s="1"/>
  <c r="AF54" i="1"/>
  <c r="AG54" i="1" s="1"/>
  <c r="AF52" i="1"/>
  <c r="AF51" i="1"/>
  <c r="AF50" i="1"/>
  <c r="AF49" i="1"/>
  <c r="AG49" i="1" s="1"/>
  <c r="AF48" i="1"/>
  <c r="AF47" i="1"/>
  <c r="AF46" i="1"/>
  <c r="AG46" i="1" s="1"/>
  <c r="AF45" i="1"/>
  <c r="AG45" i="1" s="1"/>
  <c r="AF44" i="1"/>
  <c r="AG44" i="1" s="1"/>
  <c r="AF42" i="1"/>
  <c r="AG42" i="1" s="1"/>
  <c r="AF41" i="1"/>
  <c r="AF40" i="1"/>
  <c r="AG40" i="1" s="1"/>
  <c r="AF29" i="1"/>
  <c r="AG29" i="1" s="1"/>
  <c r="AF28" i="1"/>
  <c r="AG28" i="1" s="1"/>
  <c r="AF27" i="1"/>
  <c r="AF26" i="1"/>
  <c r="AG26" i="1" s="1"/>
  <c r="AF25" i="1"/>
  <c r="AF24" i="1"/>
  <c r="AG24" i="1" s="1"/>
  <c r="AF23" i="1"/>
  <c r="AF22" i="1"/>
  <c r="AF21" i="1"/>
  <c r="AG21" i="1" s="1"/>
  <c r="AF20" i="1"/>
  <c r="AF19" i="1"/>
  <c r="AF18" i="1"/>
  <c r="AG18" i="1" s="1"/>
  <c r="AF17" i="1"/>
  <c r="AG17" i="1" s="1"/>
  <c r="AF16" i="1"/>
  <c r="AG16" i="1" s="1"/>
  <c r="AF15" i="1"/>
  <c r="AG15" i="1" s="1"/>
  <c r="AF14" i="1"/>
  <c r="AG14" i="1" s="1"/>
  <c r="AF13" i="1"/>
  <c r="AG13" i="1" s="1"/>
  <c r="AF12" i="1"/>
  <c r="AF11" i="1"/>
  <c r="AF10" i="1"/>
  <c r="AF9" i="1"/>
  <c r="AF8" i="1"/>
  <c r="AF7" i="1"/>
  <c r="AG7" i="1" s="1"/>
  <c r="AF6" i="1"/>
  <c r="AF5" i="1"/>
  <c r="AF4" i="1"/>
  <c r="AG4" i="1" s="1"/>
  <c r="R4" i="1"/>
  <c r="S4" i="1" s="1"/>
  <c r="BA460" i="1"/>
  <c r="BB460" i="1" s="1"/>
  <c r="BA459" i="1"/>
  <c r="BB459" i="1" s="1"/>
  <c r="BA458" i="1"/>
  <c r="BB458" i="1" s="1"/>
  <c r="BA457" i="1"/>
  <c r="BB457" i="1" s="1"/>
  <c r="BA456" i="1"/>
  <c r="BB456" i="1" s="1"/>
  <c r="BA455" i="1"/>
  <c r="BB455" i="1" s="1"/>
  <c r="BA454" i="1"/>
  <c r="BB454" i="1" s="1"/>
  <c r="BA453" i="1"/>
  <c r="BA452" i="1"/>
  <c r="BA451" i="1"/>
  <c r="BB451" i="1" s="1"/>
  <c r="BA450" i="1"/>
  <c r="BB450" i="1" s="1"/>
  <c r="BA449" i="1"/>
  <c r="BA448" i="1"/>
  <c r="BB448" i="1" s="1"/>
  <c r="BA447" i="1"/>
  <c r="BA446" i="1"/>
  <c r="BA445" i="1"/>
  <c r="BB445" i="1" s="1"/>
  <c r="BA444" i="1"/>
  <c r="BA443" i="1"/>
  <c r="BA442" i="1"/>
  <c r="BB442" i="1" s="1"/>
  <c r="BA441" i="1"/>
  <c r="BB441" i="1" s="1"/>
  <c r="BA440" i="1"/>
  <c r="BB440" i="1" s="1"/>
  <c r="BA439" i="1"/>
  <c r="BB439" i="1" s="1"/>
  <c r="BA438" i="1"/>
  <c r="BA437" i="1"/>
  <c r="BB437" i="1" s="1"/>
  <c r="BA436" i="1"/>
  <c r="BB436" i="1" s="1"/>
  <c r="BA435" i="1"/>
  <c r="BB435" i="1" s="1"/>
  <c r="BA434" i="1"/>
  <c r="BA433" i="1"/>
  <c r="BB433" i="1" s="1"/>
  <c r="BA432" i="1"/>
  <c r="BB432" i="1" s="1"/>
  <c r="BA431" i="1"/>
  <c r="BB431" i="1" s="1"/>
  <c r="BA430" i="1"/>
  <c r="BA429" i="1"/>
  <c r="BA428" i="1"/>
  <c r="BB428" i="1" s="1"/>
  <c r="BA427" i="1"/>
  <c r="BB427" i="1" s="1"/>
  <c r="BA426" i="1"/>
  <c r="BB426" i="1" s="1"/>
  <c r="BA425" i="1"/>
  <c r="BB425" i="1" s="1"/>
  <c r="BA424" i="1"/>
  <c r="BA423" i="1"/>
  <c r="BA422" i="1"/>
  <c r="BB422" i="1" s="1"/>
  <c r="BA421" i="1"/>
  <c r="BB421" i="1" s="1"/>
  <c r="BA420" i="1"/>
  <c r="BB420" i="1" s="1"/>
  <c r="BA419" i="1"/>
  <c r="BA418" i="1"/>
  <c r="BB418" i="1" s="1"/>
  <c r="BA417" i="1"/>
  <c r="BB417" i="1" s="1"/>
  <c r="BA416" i="1"/>
  <c r="BB416" i="1" s="1"/>
  <c r="BA415" i="1"/>
  <c r="BA414" i="1"/>
  <c r="BB414" i="1" s="1"/>
  <c r="BA413" i="1"/>
  <c r="BB413" i="1" s="1"/>
  <c r="BA412" i="1"/>
  <c r="BA411" i="1"/>
  <c r="BA410" i="1"/>
  <c r="BB410" i="1" s="1"/>
  <c r="BA409" i="1"/>
  <c r="BB409" i="1" s="1"/>
  <c r="BA408" i="1"/>
  <c r="BA407" i="1"/>
  <c r="BA406" i="1"/>
  <c r="BB406" i="1" s="1"/>
  <c r="BA405" i="1"/>
  <c r="BA404" i="1"/>
  <c r="BA403" i="1"/>
  <c r="BB403" i="1" s="1"/>
  <c r="BA402" i="1"/>
  <c r="BB402" i="1" s="1"/>
  <c r="BA401" i="1"/>
  <c r="BA400" i="1"/>
  <c r="BA399" i="1"/>
  <c r="BB399" i="1" s="1"/>
  <c r="BA398" i="1"/>
  <c r="BB398" i="1" s="1"/>
  <c r="BA397" i="1"/>
  <c r="BA396" i="1"/>
  <c r="BA395" i="1"/>
  <c r="BB395" i="1" s="1"/>
  <c r="BA394" i="1"/>
  <c r="BB394" i="1" s="1"/>
  <c r="BA393" i="1"/>
  <c r="BB393" i="1" s="1"/>
  <c r="BA392" i="1"/>
  <c r="BA391" i="1"/>
  <c r="BB391" i="1" s="1"/>
  <c r="BA390" i="1"/>
  <c r="BB390" i="1" s="1"/>
  <c r="BA389" i="1"/>
  <c r="BA388" i="1"/>
  <c r="BB388" i="1" s="1"/>
  <c r="BA387" i="1"/>
  <c r="BA386" i="1"/>
  <c r="BB386" i="1" s="1"/>
  <c r="BA385" i="1"/>
  <c r="BA384" i="1"/>
  <c r="BB384" i="1" s="1"/>
  <c r="BA383" i="1"/>
  <c r="BA382" i="1"/>
  <c r="BB382" i="1" s="1"/>
  <c r="BA381" i="1"/>
  <c r="BB381" i="1" s="1"/>
  <c r="BA380" i="1"/>
  <c r="BB380" i="1" s="1"/>
  <c r="BA379" i="1"/>
  <c r="BB379" i="1" s="1"/>
  <c r="BA378" i="1"/>
  <c r="BB378" i="1" s="1"/>
  <c r="BA377" i="1"/>
  <c r="BA376" i="1"/>
  <c r="BA375" i="1"/>
  <c r="BA374" i="1"/>
  <c r="BB374" i="1" s="1"/>
  <c r="BA373" i="1"/>
  <c r="BB373" i="1" s="1"/>
  <c r="BA372" i="1"/>
  <c r="BA371" i="1"/>
  <c r="BA370" i="1"/>
  <c r="BB370" i="1" s="1"/>
  <c r="BA369" i="1"/>
  <c r="BB369" i="1" s="1"/>
  <c r="BA368" i="1"/>
  <c r="BA367" i="1"/>
  <c r="BB367" i="1" s="1"/>
  <c r="BA366" i="1"/>
  <c r="BB366" i="1" s="1"/>
  <c r="BA365" i="1"/>
  <c r="BB365" i="1" s="1"/>
  <c r="BA364" i="1"/>
  <c r="BA363" i="1"/>
  <c r="BB363" i="1" s="1"/>
  <c r="BA362" i="1"/>
  <c r="BB362" i="1" s="1"/>
  <c r="BA361" i="1"/>
  <c r="BB361" i="1" s="1"/>
  <c r="BA360" i="1"/>
  <c r="BA359" i="1"/>
  <c r="BB359" i="1" s="1"/>
  <c r="BA358" i="1"/>
  <c r="BB358" i="1" s="1"/>
  <c r="BA357" i="1"/>
  <c r="BB357" i="1" s="1"/>
  <c r="BA356" i="1"/>
  <c r="BB356" i="1" s="1"/>
  <c r="BA355" i="1"/>
  <c r="BA354" i="1"/>
  <c r="BB354" i="1" s="1"/>
  <c r="BA353" i="1"/>
  <c r="BA352" i="1"/>
  <c r="BB352" i="1" s="1"/>
  <c r="BA351" i="1"/>
  <c r="BB351" i="1" s="1"/>
  <c r="BA350" i="1"/>
  <c r="BA349" i="1"/>
  <c r="BA348" i="1"/>
  <c r="BB348" i="1" s="1"/>
  <c r="BA347" i="1"/>
  <c r="BB347" i="1" s="1"/>
  <c r="BA346" i="1"/>
  <c r="BB346" i="1" s="1"/>
  <c r="BA345" i="1"/>
  <c r="BB345" i="1" s="1"/>
  <c r="BA344" i="1"/>
  <c r="BA343" i="1"/>
  <c r="BA342" i="1"/>
  <c r="BB342" i="1" s="1"/>
  <c r="BA341" i="1"/>
  <c r="BB341" i="1" s="1"/>
  <c r="BA340" i="1"/>
  <c r="BB340" i="1" s="1"/>
  <c r="BA339" i="1"/>
  <c r="BA338" i="1"/>
  <c r="BA337" i="1"/>
  <c r="BA336" i="1"/>
  <c r="BA335" i="1"/>
  <c r="BB335" i="1" s="1"/>
  <c r="BA334" i="1"/>
  <c r="BB334" i="1" s="1"/>
  <c r="BA333" i="1"/>
  <c r="BB333" i="1" s="1"/>
  <c r="BA332" i="1"/>
  <c r="BB332" i="1" s="1"/>
  <c r="BA331" i="1"/>
  <c r="BA330" i="1"/>
  <c r="BB330" i="1" s="1"/>
  <c r="BA329" i="1"/>
  <c r="BA328" i="1"/>
  <c r="BA327" i="1"/>
  <c r="BA326" i="1"/>
  <c r="BA325" i="1"/>
  <c r="BA324" i="1"/>
  <c r="BB324" i="1" s="1"/>
  <c r="BA323" i="1"/>
  <c r="BB323" i="1" s="1"/>
  <c r="BA322" i="1"/>
  <c r="BA321" i="1"/>
  <c r="BA320" i="1"/>
  <c r="BB320" i="1" s="1"/>
  <c r="BA319" i="1"/>
  <c r="BA318" i="1"/>
  <c r="BA317" i="1"/>
  <c r="BB317" i="1" s="1"/>
  <c r="BA316" i="1"/>
  <c r="BA315" i="1"/>
  <c r="BB315" i="1" s="1"/>
  <c r="BA314" i="1"/>
  <c r="BB314" i="1" s="1"/>
  <c r="BA313" i="1"/>
  <c r="BA312" i="1"/>
  <c r="BA311" i="1"/>
  <c r="BA310" i="1"/>
  <c r="BA309" i="1"/>
  <c r="BA308" i="1"/>
  <c r="BB308" i="1" s="1"/>
  <c r="BA307" i="1"/>
  <c r="BB307" i="1" s="1"/>
  <c r="BA306" i="1"/>
  <c r="BA305" i="1"/>
  <c r="BA304" i="1"/>
  <c r="BA303" i="1"/>
  <c r="BA302" i="1"/>
  <c r="BB302" i="1" s="1"/>
  <c r="BA301" i="1"/>
  <c r="BB301" i="1" s="1"/>
  <c r="BA300" i="1"/>
  <c r="BB300" i="1" s="1"/>
  <c r="BA299" i="1"/>
  <c r="BB299" i="1" s="1"/>
  <c r="BA298" i="1"/>
  <c r="BB298" i="1" s="1"/>
  <c r="BA297" i="1"/>
  <c r="BB297" i="1" s="1"/>
  <c r="BA296" i="1"/>
  <c r="BB296" i="1" s="1"/>
  <c r="BA295" i="1"/>
  <c r="BB295" i="1" s="1"/>
  <c r="BA294" i="1"/>
  <c r="BB294" i="1" s="1"/>
  <c r="BA293" i="1"/>
  <c r="BB293" i="1" s="1"/>
  <c r="BA292" i="1"/>
  <c r="BA291" i="1"/>
  <c r="BA290" i="1"/>
  <c r="BA289" i="1"/>
  <c r="BB289" i="1" s="1"/>
  <c r="BA288" i="1"/>
  <c r="BB288" i="1" s="1"/>
  <c r="BA287" i="1"/>
  <c r="BA286" i="1"/>
  <c r="BB286" i="1" s="1"/>
  <c r="BA285" i="1"/>
  <c r="BA284" i="1"/>
  <c r="BB284" i="1" s="1"/>
  <c r="BA283" i="1"/>
  <c r="BB283" i="1" s="1"/>
  <c r="BA282" i="1"/>
  <c r="BB282" i="1" s="1"/>
  <c r="BA281" i="1"/>
  <c r="BA280" i="1"/>
  <c r="BB280" i="1" s="1"/>
  <c r="BA279" i="1"/>
  <c r="BB279" i="1" s="1"/>
  <c r="BA278" i="1"/>
  <c r="BB278" i="1" s="1"/>
  <c r="BA277" i="1"/>
  <c r="BB277" i="1" s="1"/>
  <c r="BA276" i="1"/>
  <c r="BB276" i="1" s="1"/>
  <c r="BA275" i="1"/>
  <c r="BA274" i="1"/>
  <c r="BA273" i="1"/>
  <c r="BB273" i="1" s="1"/>
  <c r="BA272" i="1"/>
  <c r="BB272" i="1" s="1"/>
  <c r="BA271" i="1"/>
  <c r="BB271" i="1" s="1"/>
  <c r="BA270" i="1"/>
  <c r="BB270" i="1" s="1"/>
  <c r="BA269" i="1"/>
  <c r="BB269" i="1" s="1"/>
  <c r="BA268" i="1"/>
  <c r="BB268" i="1" s="1"/>
  <c r="BA267" i="1"/>
  <c r="BB267" i="1" s="1"/>
  <c r="BA266" i="1"/>
  <c r="BB266" i="1" s="1"/>
  <c r="BA265" i="1"/>
  <c r="BB265" i="1" s="1"/>
  <c r="BA264" i="1"/>
  <c r="BB264" i="1" s="1"/>
  <c r="BA263" i="1"/>
  <c r="BB263" i="1" s="1"/>
  <c r="BA262" i="1"/>
  <c r="BB262" i="1" s="1"/>
  <c r="BA261" i="1"/>
  <c r="BB261" i="1" s="1"/>
  <c r="BA260" i="1"/>
  <c r="BA259" i="1"/>
  <c r="BB259" i="1" s="1"/>
  <c r="BA258" i="1"/>
  <c r="BA257" i="1"/>
  <c r="BB257" i="1" s="1"/>
  <c r="BA256" i="1"/>
  <c r="BB256" i="1" s="1"/>
  <c r="BA255" i="1"/>
  <c r="BB255" i="1" s="1"/>
  <c r="BA254" i="1"/>
  <c r="BB254" i="1" s="1"/>
  <c r="BA253" i="1"/>
  <c r="BA252" i="1"/>
  <c r="BA251" i="1"/>
  <c r="BB251" i="1" s="1"/>
  <c r="BA250" i="1"/>
  <c r="BB250" i="1" s="1"/>
  <c r="BA249" i="1"/>
  <c r="BB249" i="1" s="1"/>
  <c r="BA248" i="1"/>
  <c r="BB248" i="1" s="1"/>
  <c r="BA247" i="1"/>
  <c r="BB247" i="1" s="1"/>
  <c r="BA246" i="1"/>
  <c r="BB246" i="1" s="1"/>
  <c r="BA245" i="1"/>
  <c r="BB245" i="1" s="1"/>
  <c r="BA244" i="1"/>
  <c r="BB244" i="1" s="1"/>
  <c r="BA243" i="1"/>
  <c r="BB243" i="1" s="1"/>
  <c r="BA242" i="1"/>
  <c r="BB242" i="1" s="1"/>
  <c r="BA241" i="1"/>
  <c r="BB241" i="1" s="1"/>
  <c r="BA240" i="1"/>
  <c r="BB240" i="1" s="1"/>
  <c r="BA239" i="1"/>
  <c r="BA238" i="1"/>
  <c r="BA237" i="1"/>
  <c r="BB237" i="1" s="1"/>
  <c r="BA236" i="1"/>
  <c r="BB236" i="1" s="1"/>
  <c r="BA235" i="1"/>
  <c r="BB235" i="1" s="1"/>
  <c r="BA234" i="1"/>
  <c r="BB234" i="1" s="1"/>
  <c r="BA233" i="1"/>
  <c r="BB233" i="1" s="1"/>
  <c r="BA232" i="1"/>
  <c r="BA231" i="1"/>
  <c r="BB231" i="1" s="1"/>
  <c r="BA230" i="1"/>
  <c r="BB230" i="1" s="1"/>
  <c r="BA229" i="1"/>
  <c r="BA228" i="1"/>
  <c r="BB228" i="1" s="1"/>
  <c r="BA227" i="1"/>
  <c r="BB227" i="1" s="1"/>
  <c r="BA226" i="1"/>
  <c r="BA225" i="1"/>
  <c r="BB225" i="1" s="1"/>
  <c r="BA224" i="1"/>
  <c r="BB224" i="1" s="1"/>
  <c r="BA223" i="1"/>
  <c r="BB223" i="1" s="1"/>
  <c r="BA222" i="1"/>
  <c r="BB222" i="1" s="1"/>
  <c r="BA221" i="1"/>
  <c r="BA220" i="1"/>
  <c r="BB220" i="1" s="1"/>
  <c r="BA219" i="1"/>
  <c r="BA218" i="1"/>
  <c r="BA217" i="1"/>
  <c r="BA216" i="1"/>
  <c r="BB216" i="1" s="1"/>
  <c r="BA215" i="1"/>
  <c r="BB215" i="1" s="1"/>
  <c r="BA214" i="1"/>
  <c r="BB214" i="1" s="1"/>
  <c r="BA213" i="1"/>
  <c r="BB213" i="1" s="1"/>
  <c r="BA212" i="1"/>
  <c r="BA211" i="1"/>
  <c r="BB211" i="1" s="1"/>
  <c r="BA210" i="1"/>
  <c r="BB210" i="1" s="1"/>
  <c r="BA209" i="1"/>
  <c r="BB209" i="1" s="1"/>
  <c r="BA208" i="1"/>
  <c r="BB208" i="1" s="1"/>
  <c r="BA207" i="1"/>
  <c r="BB207" i="1" s="1"/>
  <c r="BA206" i="1"/>
  <c r="BA205" i="1"/>
  <c r="BB205" i="1" s="1"/>
  <c r="BA204" i="1"/>
  <c r="BA203" i="1"/>
  <c r="BA202" i="1"/>
  <c r="BB202" i="1" s="1"/>
  <c r="BA201" i="1"/>
  <c r="BB201" i="1" s="1"/>
  <c r="BA200" i="1"/>
  <c r="BB200" i="1" s="1"/>
  <c r="BA199" i="1"/>
  <c r="BB199" i="1" s="1"/>
  <c r="BA198" i="1"/>
  <c r="BB198" i="1" s="1"/>
  <c r="BA197" i="1"/>
  <c r="BA196" i="1"/>
  <c r="BB196" i="1" s="1"/>
  <c r="BA195" i="1"/>
  <c r="BA194" i="1"/>
  <c r="BB194" i="1" s="1"/>
  <c r="BA193" i="1"/>
  <c r="BB193" i="1" s="1"/>
  <c r="BA192" i="1"/>
  <c r="BA191" i="1"/>
  <c r="BA190" i="1"/>
  <c r="BB190" i="1" s="1"/>
  <c r="BA189" i="1"/>
  <c r="BB189" i="1" s="1"/>
  <c r="BA188" i="1"/>
  <c r="BB188" i="1" s="1"/>
  <c r="BA187" i="1"/>
  <c r="BA186" i="1"/>
  <c r="BB186" i="1" s="1"/>
  <c r="BA185" i="1"/>
  <c r="BA184" i="1"/>
  <c r="BA183" i="1"/>
  <c r="BB183" i="1" s="1"/>
  <c r="BA182" i="1"/>
  <c r="BB182" i="1" s="1"/>
  <c r="BA181" i="1"/>
  <c r="BB181" i="1" s="1"/>
  <c r="BA180" i="1"/>
  <c r="BB180" i="1" s="1"/>
  <c r="BA179" i="1"/>
  <c r="BB179" i="1" s="1"/>
  <c r="BA178" i="1"/>
  <c r="BA177" i="1"/>
  <c r="BA176" i="1"/>
  <c r="BA175" i="1"/>
  <c r="BB175" i="1" s="1"/>
  <c r="BA174" i="1"/>
  <c r="BB174" i="1" s="1"/>
  <c r="BA173" i="1"/>
  <c r="BB173" i="1" s="1"/>
  <c r="BA172" i="1"/>
  <c r="BA171" i="1"/>
  <c r="BA170" i="1"/>
  <c r="BB170" i="1" s="1"/>
  <c r="BA169" i="1"/>
  <c r="BA168" i="1"/>
  <c r="BB168" i="1" s="1"/>
  <c r="BA167" i="1"/>
  <c r="BB167" i="1" s="1"/>
  <c r="BA166" i="1"/>
  <c r="BA165" i="1"/>
  <c r="BB165" i="1" s="1"/>
  <c r="BA164" i="1"/>
  <c r="BB164" i="1" s="1"/>
  <c r="BA163" i="1"/>
  <c r="BA162" i="1"/>
  <c r="BA161" i="1"/>
  <c r="BA160" i="1"/>
  <c r="BA159" i="1"/>
  <c r="BA158" i="1"/>
  <c r="BB158" i="1" s="1"/>
  <c r="BA157" i="1"/>
  <c r="BB157" i="1" s="1"/>
  <c r="BA156" i="1"/>
  <c r="BA155" i="1"/>
  <c r="BB155" i="1" s="1"/>
  <c r="BA154" i="1"/>
  <c r="BA153" i="1"/>
  <c r="BB153" i="1" s="1"/>
  <c r="BA152" i="1"/>
  <c r="BB152" i="1" s="1"/>
  <c r="BA151" i="1"/>
  <c r="BA150" i="1"/>
  <c r="BB150" i="1" s="1"/>
  <c r="BA149" i="1"/>
  <c r="BA148" i="1"/>
  <c r="BB148" i="1" s="1"/>
  <c r="BA147" i="1"/>
  <c r="BA146" i="1"/>
  <c r="BB146" i="1" s="1"/>
  <c r="BA145" i="1"/>
  <c r="BB145" i="1" s="1"/>
  <c r="BA144" i="1"/>
  <c r="BB144" i="1" s="1"/>
  <c r="BA143" i="1"/>
  <c r="BA142" i="1"/>
  <c r="BB142" i="1" s="1"/>
  <c r="BA141" i="1"/>
  <c r="BA140" i="1"/>
  <c r="BA139" i="1"/>
  <c r="BB139" i="1" s="1"/>
  <c r="BA138" i="1"/>
  <c r="BA137" i="1"/>
  <c r="BB137" i="1" s="1"/>
  <c r="BA136" i="1"/>
  <c r="BB136" i="1" s="1"/>
  <c r="BA135" i="1"/>
  <c r="BB135" i="1" s="1"/>
  <c r="BA134" i="1"/>
  <c r="BB134" i="1" s="1"/>
  <c r="BA133" i="1"/>
  <c r="BA132" i="1"/>
  <c r="BB132" i="1" s="1"/>
  <c r="BA131" i="1"/>
  <c r="BB131" i="1" s="1"/>
  <c r="BA130" i="1"/>
  <c r="BB130" i="1" s="1"/>
  <c r="BA129" i="1"/>
  <c r="BB129" i="1" s="1"/>
  <c r="BA128" i="1"/>
  <c r="BB128" i="1" s="1"/>
  <c r="BA127" i="1"/>
  <c r="BA126" i="1"/>
  <c r="BB126" i="1" s="1"/>
  <c r="BA125" i="1"/>
  <c r="BB125" i="1" s="1"/>
  <c r="BA124" i="1"/>
  <c r="BB124" i="1" s="1"/>
  <c r="BA123" i="1"/>
  <c r="BA122" i="1"/>
  <c r="BB122" i="1" s="1"/>
  <c r="BA121" i="1"/>
  <c r="BA120" i="1"/>
  <c r="BB120" i="1" s="1"/>
  <c r="BA119" i="1"/>
  <c r="BA118" i="1"/>
  <c r="BB118" i="1" s="1"/>
  <c r="BA117" i="1"/>
  <c r="BA116" i="1"/>
  <c r="BB116" i="1" s="1"/>
  <c r="BA115" i="1"/>
  <c r="BB115" i="1" s="1"/>
  <c r="BA114" i="1"/>
  <c r="BB114" i="1" s="1"/>
  <c r="BA113" i="1"/>
  <c r="BB113" i="1" s="1"/>
  <c r="BA112" i="1"/>
  <c r="BB112" i="1" s="1"/>
  <c r="BA111" i="1"/>
  <c r="BA110" i="1"/>
  <c r="BB110" i="1" s="1"/>
  <c r="BA109" i="1"/>
  <c r="BB109" i="1" s="1"/>
  <c r="BA108" i="1"/>
  <c r="BB108" i="1" s="1"/>
  <c r="BA107" i="1"/>
  <c r="BB107" i="1" s="1"/>
  <c r="BA106" i="1"/>
  <c r="BB106" i="1" s="1"/>
  <c r="BA105" i="1"/>
  <c r="BB105" i="1" s="1"/>
  <c r="BA104" i="1"/>
  <c r="BB104" i="1" s="1"/>
  <c r="BA103" i="1"/>
  <c r="BB103" i="1" s="1"/>
  <c r="BA102" i="1"/>
  <c r="BB102" i="1" s="1"/>
  <c r="BA101" i="1"/>
  <c r="BB101" i="1" s="1"/>
  <c r="BA100" i="1"/>
  <c r="BA99" i="1"/>
  <c r="BA98" i="1"/>
  <c r="BB98" i="1" s="1"/>
  <c r="BA97" i="1"/>
  <c r="BB97" i="1" s="1"/>
  <c r="BA96" i="1"/>
  <c r="BB96" i="1" s="1"/>
  <c r="BA95" i="1"/>
  <c r="BB95" i="1" s="1"/>
  <c r="BA94" i="1"/>
  <c r="BB94" i="1" s="1"/>
  <c r="BA93" i="1"/>
  <c r="BB93" i="1" s="1"/>
  <c r="BA92" i="1"/>
  <c r="BB92" i="1" s="1"/>
  <c r="BA91" i="1"/>
  <c r="BB91" i="1" s="1"/>
  <c r="BA90" i="1"/>
  <c r="BB90" i="1" s="1"/>
  <c r="BA89" i="1"/>
  <c r="BB89" i="1" s="1"/>
  <c r="BA88" i="1"/>
  <c r="BA87" i="1"/>
  <c r="BA86" i="1"/>
  <c r="BB86" i="1" s="1"/>
  <c r="BA85" i="1"/>
  <c r="BB85" i="1" s="1"/>
  <c r="BA84" i="1"/>
  <c r="BB84" i="1" s="1"/>
  <c r="BA83" i="1"/>
  <c r="BB83" i="1" s="1"/>
  <c r="BA82" i="1"/>
  <c r="BA81" i="1"/>
  <c r="BB81" i="1" s="1"/>
  <c r="BA80" i="1"/>
  <c r="BA79" i="1"/>
  <c r="BB79" i="1" s="1"/>
  <c r="BA78" i="1"/>
  <c r="BB78" i="1" s="1"/>
  <c r="BA77" i="1"/>
  <c r="BA76" i="1"/>
  <c r="BA75" i="1"/>
  <c r="BB75" i="1" s="1"/>
  <c r="BA74" i="1"/>
  <c r="BA73" i="1"/>
  <c r="BB73" i="1" s="1"/>
  <c r="BA72" i="1"/>
  <c r="BA71" i="1"/>
  <c r="BA70" i="1"/>
  <c r="BB70" i="1" s="1"/>
  <c r="BA69" i="1"/>
  <c r="BB69" i="1" s="1"/>
  <c r="BA68" i="1"/>
  <c r="BB68" i="1" s="1"/>
  <c r="BA67" i="1"/>
  <c r="BB67" i="1" s="1"/>
  <c r="BA66" i="1"/>
  <c r="BB66" i="1" s="1"/>
  <c r="BA65" i="1"/>
  <c r="BB65" i="1" s="1"/>
  <c r="BA64" i="1"/>
  <c r="BB64" i="1" s="1"/>
  <c r="BA63" i="1"/>
  <c r="BB63" i="1" s="1"/>
  <c r="BA62" i="1"/>
  <c r="BB62" i="1" s="1"/>
  <c r="BA61" i="1"/>
  <c r="BB61" i="1" s="1"/>
  <c r="BA60" i="1"/>
  <c r="BB60" i="1" s="1"/>
  <c r="BA59" i="1"/>
  <c r="BA58" i="1"/>
  <c r="BA57" i="1"/>
  <c r="BB57" i="1" s="1"/>
  <c r="BA56" i="1"/>
  <c r="BB56" i="1" s="1"/>
  <c r="BA55" i="1"/>
  <c r="BA54" i="1"/>
  <c r="BB54" i="1" s="1"/>
  <c r="BA52" i="1"/>
  <c r="BA51" i="1"/>
  <c r="BB51" i="1" s="1"/>
  <c r="BA50" i="1"/>
  <c r="BB50" i="1" s="1"/>
  <c r="BA49" i="1"/>
  <c r="BB49" i="1" s="1"/>
  <c r="BA48" i="1"/>
  <c r="BB48" i="1" s="1"/>
  <c r="BA47" i="1"/>
  <c r="BA46" i="1"/>
  <c r="BB46" i="1" s="1"/>
  <c r="BA45" i="1"/>
  <c r="BB45" i="1" s="1"/>
  <c r="BA44" i="1"/>
  <c r="BB44" i="1" s="1"/>
  <c r="BA43" i="1"/>
  <c r="BB43" i="1" s="1"/>
  <c r="BA42" i="1"/>
  <c r="BB42" i="1" s="1"/>
  <c r="BA41" i="1"/>
  <c r="BA40" i="1"/>
  <c r="BB40" i="1" s="1"/>
  <c r="BA29" i="1"/>
  <c r="BA28" i="1"/>
  <c r="BA27" i="1"/>
  <c r="BA26" i="1"/>
  <c r="BA25" i="1"/>
  <c r="BB25" i="1" s="1"/>
  <c r="BA24" i="1"/>
  <c r="BB24" i="1" s="1"/>
  <c r="BA23" i="1"/>
  <c r="BA22" i="1"/>
  <c r="BB22" i="1" s="1"/>
  <c r="BA21" i="1"/>
  <c r="BB21" i="1" s="1"/>
  <c r="BA20" i="1"/>
  <c r="BB20" i="1" s="1"/>
  <c r="BA19" i="1"/>
  <c r="BB19" i="1" s="1"/>
  <c r="BA18" i="1"/>
  <c r="BA17" i="1"/>
  <c r="BB17" i="1" s="1"/>
  <c r="BA16" i="1"/>
  <c r="BB16" i="1" s="1"/>
  <c r="BA15" i="1"/>
  <c r="BB15" i="1" s="1"/>
  <c r="BA14" i="1"/>
  <c r="BB14" i="1" s="1"/>
  <c r="BA13" i="1"/>
  <c r="BA12" i="1"/>
  <c r="BA11" i="1"/>
  <c r="BA10" i="1"/>
  <c r="BB10" i="1" s="1"/>
  <c r="BA9" i="1"/>
  <c r="BA8" i="1"/>
  <c r="BA7" i="1"/>
  <c r="BA6" i="1"/>
  <c r="BB6" i="1" s="1"/>
  <c r="BA5" i="1"/>
  <c r="BB5" i="1" s="1"/>
  <c r="AF3" i="1"/>
  <c r="AG3" i="1" s="1"/>
  <c r="C45" i="8"/>
  <c r="R3" i="1"/>
  <c r="AZ3" i="1" s="1"/>
  <c r="R7" i="1"/>
  <c r="S7" i="1" s="1"/>
  <c r="R5" i="1"/>
  <c r="S5" i="1" s="1"/>
  <c r="R6" i="1"/>
  <c r="S6" i="1" s="1"/>
  <c r="R8" i="1"/>
  <c r="S8" i="1" s="1"/>
  <c r="R9" i="1"/>
  <c r="S9" i="1" s="1"/>
  <c r="R10" i="1"/>
  <c r="S10" i="1" s="1"/>
  <c r="R11" i="1"/>
  <c r="S11" i="1" s="1"/>
  <c r="R12" i="1"/>
  <c r="S12" i="1" s="1"/>
  <c r="R13" i="1"/>
  <c r="S13" i="1" s="1"/>
  <c r="R14" i="1"/>
  <c r="AE14" i="1" s="1"/>
  <c r="AK14" i="1" s="1"/>
  <c r="R15" i="1"/>
  <c r="S15" i="1" s="1"/>
  <c r="R16" i="1"/>
  <c r="S16" i="1" s="1"/>
  <c r="R17" i="1"/>
  <c r="S17" i="1" s="1"/>
  <c r="R18" i="1"/>
  <c r="S18" i="1" s="1"/>
  <c r="R19" i="1"/>
  <c r="AE19" i="1" s="1"/>
  <c r="R20" i="1"/>
  <c r="AE20" i="1" s="1"/>
  <c r="R21" i="1"/>
  <c r="S21" i="1" s="1"/>
  <c r="R22" i="1"/>
  <c r="S22" i="1" s="1"/>
  <c r="R23" i="1"/>
  <c r="S23" i="1" s="1"/>
  <c r="S24" i="1"/>
  <c r="S25" i="1"/>
  <c r="S26" i="1"/>
  <c r="AE42" i="1"/>
  <c r="AE46" i="1"/>
  <c r="AE57" i="1"/>
  <c r="AE58" i="1"/>
  <c r="AE60" i="1"/>
  <c r="AE63" i="1"/>
  <c r="AE70" i="1"/>
  <c r="R76" i="1"/>
  <c r="S77" i="1"/>
  <c r="S78" i="1"/>
  <c r="S79" i="1"/>
  <c r="S80" i="1"/>
  <c r="S81" i="1"/>
  <c r="S82" i="1"/>
  <c r="S83" i="1"/>
  <c r="S84" i="1"/>
  <c r="AE86" i="1"/>
  <c r="AE87" i="1"/>
  <c r="AE97" i="1"/>
  <c r="S98" i="1"/>
  <c r="S103" i="1"/>
  <c r="AE104" i="1"/>
  <c r="AE110" i="1"/>
  <c r="AE117" i="1"/>
  <c r="AE122" i="1"/>
  <c r="AE126" i="1"/>
  <c r="AE128" i="1"/>
  <c r="S131" i="1"/>
  <c r="S133" i="1"/>
  <c r="AE134" i="1"/>
  <c r="S135" i="1"/>
  <c r="S136" i="1"/>
  <c r="S137" i="1"/>
  <c r="S138" i="1"/>
  <c r="S139" i="1"/>
  <c r="S140" i="1"/>
  <c r="AE143" i="1"/>
  <c r="R148" i="1"/>
  <c r="S148" i="1" s="1"/>
  <c r="R149" i="1"/>
  <c r="S149" i="1" s="1"/>
  <c r="R150" i="1"/>
  <c r="AE150" i="1" s="1"/>
  <c r="R151" i="1"/>
  <c r="AE151" i="1" s="1"/>
  <c r="R152" i="1"/>
  <c r="S152" i="1" s="1"/>
  <c r="R153" i="1"/>
  <c r="S153" i="1" s="1"/>
  <c r="R154" i="1"/>
  <c r="S154" i="1" s="1"/>
  <c r="R155" i="1"/>
  <c r="AE155" i="1" s="1"/>
  <c r="R156" i="1"/>
  <c r="S156" i="1" s="1"/>
  <c r="R157" i="1"/>
  <c r="AE157" i="1" s="1"/>
  <c r="R158" i="1"/>
  <c r="S158" i="1" s="1"/>
  <c r="R159" i="1"/>
  <c r="S159" i="1" s="1"/>
  <c r="R160" i="1"/>
  <c r="S160" i="1" s="1"/>
  <c r="R161" i="1"/>
  <c r="AE161" i="1" s="1"/>
  <c r="R162" i="1"/>
  <c r="S162" i="1" s="1"/>
  <c r="R163" i="1"/>
  <c r="R164" i="1"/>
  <c r="S164" i="1" s="1"/>
  <c r="R165" i="1"/>
  <c r="S165" i="1" s="1"/>
  <c r="R166" i="1"/>
  <c r="AE166" i="1" s="1"/>
  <c r="R167" i="1"/>
  <c r="S167" i="1" s="1"/>
  <c r="R168" i="1"/>
  <c r="S168" i="1" s="1"/>
  <c r="R169" i="1"/>
  <c r="AE169" i="1" s="1"/>
  <c r="R170" i="1"/>
  <c r="S170" i="1" s="1"/>
  <c r="R171" i="1"/>
  <c r="S171" i="1" s="1"/>
  <c r="R172" i="1"/>
  <c r="S172" i="1" s="1"/>
  <c r="R173" i="1"/>
  <c r="S173" i="1" s="1"/>
  <c r="R174" i="1"/>
  <c r="AE174" i="1" s="1"/>
  <c r="R175" i="1"/>
  <c r="R176" i="1"/>
  <c r="S176" i="1" s="1"/>
  <c r="R177" i="1"/>
  <c r="S177" i="1" s="1"/>
  <c r="R178" i="1"/>
  <c r="S178" i="1" s="1"/>
  <c r="R179" i="1"/>
  <c r="S179" i="1" s="1"/>
  <c r="R180" i="1"/>
  <c r="AE180" i="1" s="1"/>
  <c r="R181" i="1"/>
  <c r="AE181" i="1" s="1"/>
  <c r="R182" i="1"/>
  <c r="S182" i="1" s="1"/>
  <c r="R183" i="1"/>
  <c r="S183" i="1" s="1"/>
  <c r="R184" i="1"/>
  <c r="S184" i="1" s="1"/>
  <c r="R185" i="1"/>
  <c r="S185" i="1" s="1"/>
  <c r="R186" i="1"/>
  <c r="S186" i="1" s="1"/>
  <c r="R187" i="1"/>
  <c r="AE187" i="1" s="1"/>
  <c r="R188" i="1"/>
  <c r="AE188" i="1" s="1"/>
  <c r="R189" i="1"/>
  <c r="S189" i="1" s="1"/>
  <c r="R190" i="1"/>
  <c r="S190" i="1" s="1"/>
  <c r="R191" i="1"/>
  <c r="S191" i="1" s="1"/>
  <c r="R192" i="1"/>
  <c r="S192" i="1" s="1"/>
  <c r="R193" i="1"/>
  <c r="AE193" i="1" s="1"/>
  <c r="R194" i="1"/>
  <c r="S194" i="1" s="1"/>
  <c r="R195" i="1"/>
  <c r="S195" i="1" s="1"/>
  <c r="R196" i="1"/>
  <c r="S196" i="1" s="1"/>
  <c r="R197" i="1"/>
  <c r="AE197" i="1" s="1"/>
  <c r="R198" i="1"/>
  <c r="AE198" i="1" s="1"/>
  <c r="R199" i="1"/>
  <c r="AE199" i="1" s="1"/>
  <c r="R200" i="1"/>
  <c r="AE200" i="1" s="1"/>
  <c r="R201" i="1"/>
  <c r="S201" i="1" s="1"/>
  <c r="R202" i="1"/>
  <c r="S202" i="1" s="1"/>
  <c r="R203" i="1"/>
  <c r="AE203" i="1" s="1"/>
  <c r="R204" i="1"/>
  <c r="AE204" i="1" s="1"/>
  <c r="R205" i="1"/>
  <c r="AE205" i="1" s="1"/>
  <c r="R206" i="1"/>
  <c r="S206" i="1" s="1"/>
  <c r="R207" i="1"/>
  <c r="S207" i="1" s="1"/>
  <c r="R208" i="1"/>
  <c r="AE208" i="1" s="1"/>
  <c r="R209" i="1"/>
  <c r="AE209" i="1" s="1"/>
  <c r="R210" i="1"/>
  <c r="S210" i="1" s="1"/>
  <c r="R211" i="1"/>
  <c r="R212" i="1"/>
  <c r="S212" i="1" s="1"/>
  <c r="R213" i="1"/>
  <c r="S213" i="1" s="1"/>
  <c r="R214" i="1"/>
  <c r="S214" i="1" s="1"/>
  <c r="R215" i="1"/>
  <c r="S215" i="1" s="1"/>
  <c r="R216" i="1"/>
  <c r="AE216" i="1" s="1"/>
  <c r="R217" i="1"/>
  <c r="S217" i="1" s="1"/>
  <c r="R218" i="1"/>
  <c r="S218" i="1" s="1"/>
  <c r="R219" i="1"/>
  <c r="S219" i="1" s="1"/>
  <c r="R220" i="1"/>
  <c r="S220" i="1" s="1"/>
  <c r="R221" i="1"/>
  <c r="S221" i="1" s="1"/>
  <c r="R222" i="1"/>
  <c r="AE222" i="1" s="1"/>
  <c r="R223" i="1"/>
  <c r="S223" i="1" s="1"/>
  <c r="R224" i="1"/>
  <c r="S224" i="1" s="1"/>
  <c r="R225" i="1"/>
  <c r="S225" i="1" s="1"/>
  <c r="R226" i="1"/>
  <c r="S226" i="1" s="1"/>
  <c r="R227" i="1"/>
  <c r="AE227" i="1" s="1"/>
  <c r="R228" i="1"/>
  <c r="AE228" i="1" s="1"/>
  <c r="R229" i="1"/>
  <c r="S229" i="1" s="1"/>
  <c r="R230" i="1"/>
  <c r="R231" i="1"/>
  <c r="S231" i="1" s="1"/>
  <c r="R232" i="1"/>
  <c r="AE232" i="1" s="1"/>
  <c r="R233" i="1"/>
  <c r="S233" i="1" s="1"/>
  <c r="R234" i="1"/>
  <c r="S234" i="1" s="1"/>
  <c r="R235" i="1"/>
  <c r="S235" i="1" s="1"/>
  <c r="R236" i="1"/>
  <c r="S236" i="1" s="1"/>
  <c r="R237" i="1"/>
  <c r="S237" i="1" s="1"/>
  <c r="R238" i="1"/>
  <c r="S238" i="1" s="1"/>
  <c r="R239" i="1"/>
  <c r="S239" i="1" s="1"/>
  <c r="R240" i="1"/>
  <c r="S240" i="1" s="1"/>
  <c r="R241" i="1"/>
  <c r="AE241" i="1" s="1"/>
  <c r="R242" i="1"/>
  <c r="S242" i="1" s="1"/>
  <c r="R243" i="1"/>
  <c r="S243" i="1" s="1"/>
  <c r="R244" i="1"/>
  <c r="S244" i="1" s="1"/>
  <c r="R245" i="1"/>
  <c r="S245" i="1" s="1"/>
  <c r="R246" i="1"/>
  <c r="R247" i="1"/>
  <c r="S247" i="1" s="1"/>
  <c r="R248" i="1"/>
  <c r="AE248" i="1" s="1"/>
  <c r="R249" i="1"/>
  <c r="S249" i="1" s="1"/>
  <c r="R250" i="1"/>
  <c r="S250" i="1" s="1"/>
  <c r="R251" i="1"/>
  <c r="AE251" i="1" s="1"/>
  <c r="R252" i="1"/>
  <c r="S252" i="1" s="1"/>
  <c r="R253" i="1"/>
  <c r="S253" i="1" s="1"/>
  <c r="R254" i="1"/>
  <c r="R255" i="1"/>
  <c r="S255" i="1" s="1"/>
  <c r="R256" i="1"/>
  <c r="S256" i="1" s="1"/>
  <c r="R257" i="1"/>
  <c r="AE257" i="1" s="1"/>
  <c r="R258" i="1"/>
  <c r="R259" i="1"/>
  <c r="S259" i="1" s="1"/>
  <c r="R260" i="1"/>
  <c r="AE260" i="1" s="1"/>
  <c r="R261" i="1"/>
  <c r="S261" i="1" s="1"/>
  <c r="R262" i="1"/>
  <c r="S262" i="1" s="1"/>
  <c r="R263" i="1"/>
  <c r="S263" i="1" s="1"/>
  <c r="R264" i="1"/>
  <c r="S264" i="1" s="1"/>
  <c r="R265" i="1"/>
  <c r="S265" i="1" s="1"/>
  <c r="R266" i="1"/>
  <c r="S266" i="1" s="1"/>
  <c r="R267" i="1"/>
  <c r="R268" i="1"/>
  <c r="S268" i="1" s="1"/>
  <c r="R269" i="1"/>
  <c r="S269" i="1" s="1"/>
  <c r="R270" i="1"/>
  <c r="R271" i="1"/>
  <c r="S271" i="1" s="1"/>
  <c r="R272" i="1"/>
  <c r="AE272" i="1" s="1"/>
  <c r="R273" i="1"/>
  <c r="S273" i="1" s="1"/>
  <c r="R274" i="1"/>
  <c r="AE274" i="1" s="1"/>
  <c r="R275" i="1"/>
  <c r="S275" i="1" s="1"/>
  <c r="R276" i="1"/>
  <c r="S276" i="1" s="1"/>
  <c r="R277" i="1"/>
  <c r="S277" i="1" s="1"/>
  <c r="R278" i="1"/>
  <c r="S278" i="1" s="1"/>
  <c r="R279" i="1"/>
  <c r="S279" i="1" s="1"/>
  <c r="R280" i="1"/>
  <c r="AE280" i="1" s="1"/>
  <c r="R281" i="1"/>
  <c r="AE281" i="1" s="1"/>
  <c r="R282" i="1"/>
  <c r="R283" i="1"/>
  <c r="S283" i="1" s="1"/>
  <c r="R284" i="1"/>
  <c r="S284" i="1" s="1"/>
  <c r="R285" i="1"/>
  <c r="S285" i="1" s="1"/>
  <c r="R286" i="1"/>
  <c r="S286" i="1" s="1"/>
  <c r="R287" i="1"/>
  <c r="S287" i="1" s="1"/>
  <c r="R288" i="1"/>
  <c r="S288" i="1" s="1"/>
  <c r="R289" i="1"/>
  <c r="S289" i="1" s="1"/>
  <c r="R290" i="1"/>
  <c r="S290" i="1" s="1"/>
  <c r="R291" i="1"/>
  <c r="S291" i="1" s="1"/>
  <c r="R292" i="1"/>
  <c r="S292" i="1" s="1"/>
  <c r="R293" i="1"/>
  <c r="S293" i="1" s="1"/>
  <c r="R294" i="1"/>
  <c r="R295" i="1"/>
  <c r="AE295" i="1" s="1"/>
  <c r="R296" i="1"/>
  <c r="AE296" i="1" s="1"/>
  <c r="R297" i="1"/>
  <c r="S297" i="1" s="1"/>
  <c r="R298" i="1"/>
  <c r="S298" i="1" s="1"/>
  <c r="R299" i="1"/>
  <c r="S299" i="1" s="1"/>
  <c r="R300" i="1"/>
  <c r="S300" i="1" s="1"/>
  <c r="R301" i="1"/>
  <c r="S301" i="1" s="1"/>
  <c r="R302" i="1"/>
  <c r="S302" i="1" s="1"/>
  <c r="R303" i="1"/>
  <c r="S303" i="1" s="1"/>
  <c r="R304" i="1"/>
  <c r="S304" i="1" s="1"/>
  <c r="R305" i="1"/>
  <c r="AE305" i="1" s="1"/>
  <c r="R306" i="1"/>
  <c r="R307" i="1"/>
  <c r="S307" i="1" s="1"/>
  <c r="R308" i="1"/>
  <c r="S308" i="1" s="1"/>
  <c r="R309" i="1"/>
  <c r="S309" i="1" s="1"/>
  <c r="R310" i="1"/>
  <c r="S310" i="1" s="1"/>
  <c r="R311" i="1"/>
  <c r="AE311" i="1" s="1"/>
  <c r="R312" i="1"/>
  <c r="AE312" i="1" s="1"/>
  <c r="R313" i="1"/>
  <c r="AE313" i="1" s="1"/>
  <c r="R314" i="1"/>
  <c r="S314" i="1" s="1"/>
  <c r="R315" i="1"/>
  <c r="S315" i="1" s="1"/>
  <c r="R316" i="1"/>
  <c r="S316" i="1" s="1"/>
  <c r="R317" i="1"/>
  <c r="AE317" i="1" s="1"/>
  <c r="R318" i="1"/>
  <c r="R319" i="1"/>
  <c r="S319" i="1" s="1"/>
  <c r="R320" i="1"/>
  <c r="AE320" i="1" s="1"/>
  <c r="R321" i="1"/>
  <c r="S321" i="1" s="1"/>
  <c r="R322" i="1"/>
  <c r="S322" i="1" s="1"/>
  <c r="R323" i="1"/>
  <c r="S323" i="1" s="1"/>
  <c r="R324" i="1"/>
  <c r="AE324" i="1" s="1"/>
  <c r="R325" i="1"/>
  <c r="S325" i="1" s="1"/>
  <c r="R326" i="1"/>
  <c r="R327" i="1"/>
  <c r="S327" i="1" s="1"/>
  <c r="R328" i="1"/>
  <c r="S328" i="1" s="1"/>
  <c r="R329" i="1"/>
  <c r="AE329" i="1" s="1"/>
  <c r="R330" i="1"/>
  <c r="S330" i="1" s="1"/>
  <c r="R331" i="1"/>
  <c r="S331" i="1" s="1"/>
  <c r="R332" i="1"/>
  <c r="S332" i="1" s="1"/>
  <c r="R333" i="1"/>
  <c r="S333" i="1" s="1"/>
  <c r="R334" i="1"/>
  <c r="AE334" i="1" s="1"/>
  <c r="R335" i="1"/>
  <c r="AE335" i="1" s="1"/>
  <c r="R336" i="1"/>
  <c r="S336" i="1" s="1"/>
  <c r="R337" i="1"/>
  <c r="S337" i="1" s="1"/>
  <c r="R338" i="1"/>
  <c r="S338" i="1" s="1"/>
  <c r="R339" i="1"/>
  <c r="S339" i="1" s="1"/>
  <c r="R340" i="1"/>
  <c r="R341" i="1"/>
  <c r="AE341" i="1" s="1"/>
  <c r="R342" i="1"/>
  <c r="R343" i="1"/>
  <c r="S343" i="1" s="1"/>
  <c r="R344" i="1"/>
  <c r="S344" i="1" s="1"/>
  <c r="R345" i="1"/>
  <c r="S345" i="1" s="1"/>
  <c r="R346" i="1"/>
  <c r="S346" i="1" s="1"/>
  <c r="R347" i="1"/>
  <c r="AE347" i="1" s="1"/>
  <c r="R348" i="1"/>
  <c r="S348" i="1" s="1"/>
  <c r="R349" i="1"/>
  <c r="AE349" i="1" s="1"/>
  <c r="R350" i="1"/>
  <c r="S350" i="1" s="1"/>
  <c r="R351" i="1"/>
  <c r="S351" i="1" s="1"/>
  <c r="R352" i="1"/>
  <c r="S352" i="1" s="1"/>
  <c r="R353" i="1"/>
  <c r="AE353" i="1" s="1"/>
  <c r="R354" i="1"/>
  <c r="R355" i="1"/>
  <c r="S355" i="1" s="1"/>
  <c r="R356" i="1"/>
  <c r="S356" i="1" s="1"/>
  <c r="R357" i="1"/>
  <c r="S357" i="1" s="1"/>
  <c r="R358" i="1"/>
  <c r="AE358" i="1" s="1"/>
  <c r="R359" i="1"/>
  <c r="AE359" i="1" s="1"/>
  <c r="R360" i="1"/>
  <c r="AE360" i="1" s="1"/>
  <c r="R361" i="1"/>
  <c r="S361" i="1" s="1"/>
  <c r="R362" i="1"/>
  <c r="S362" i="1" s="1"/>
  <c r="R363" i="1"/>
  <c r="S363" i="1" s="1"/>
  <c r="R364" i="1"/>
  <c r="S364" i="1" s="1"/>
  <c r="R365" i="1"/>
  <c r="S365" i="1" s="1"/>
  <c r="R366" i="1"/>
  <c r="R367" i="1"/>
  <c r="S367" i="1" s="1"/>
  <c r="R368" i="1"/>
  <c r="S368" i="1" s="1"/>
  <c r="R369" i="1"/>
  <c r="S369" i="1" s="1"/>
  <c r="R370" i="1"/>
  <c r="AE370" i="1" s="1"/>
  <c r="R371" i="1"/>
  <c r="S371" i="1" s="1"/>
  <c r="R372" i="1"/>
  <c r="AE372" i="1" s="1"/>
  <c r="R373" i="1"/>
  <c r="R374" i="1"/>
  <c r="S374" i="1" s="1"/>
  <c r="R375" i="1"/>
  <c r="S375" i="1" s="1"/>
  <c r="R376" i="1"/>
  <c r="S376" i="1" s="1"/>
  <c r="R377" i="1"/>
  <c r="S377" i="1" s="1"/>
  <c r="R378" i="1"/>
  <c r="R379" i="1"/>
  <c r="S379" i="1" s="1"/>
  <c r="R380" i="1"/>
  <c r="S380" i="1" s="1"/>
  <c r="R381" i="1"/>
  <c r="S381" i="1" s="1"/>
  <c r="R382" i="1"/>
  <c r="S382" i="1" s="1"/>
  <c r="R383" i="1"/>
  <c r="AE383" i="1" s="1"/>
  <c r="R384" i="1"/>
  <c r="AE384" i="1" s="1"/>
  <c r="R385" i="1"/>
  <c r="R386" i="1"/>
  <c r="S386" i="1" s="1"/>
  <c r="R387" i="1"/>
  <c r="S387" i="1" s="1"/>
  <c r="R388" i="1"/>
  <c r="AE388" i="1" s="1"/>
  <c r="R389" i="1"/>
  <c r="AE389" i="1" s="1"/>
  <c r="R390" i="1"/>
  <c r="R391" i="1"/>
  <c r="S391" i="1" s="1"/>
  <c r="R392" i="1"/>
  <c r="AE392" i="1" s="1"/>
  <c r="R393" i="1"/>
  <c r="S393" i="1" s="1"/>
  <c r="R394" i="1"/>
  <c r="AE394" i="1" s="1"/>
  <c r="R395" i="1"/>
  <c r="AE395" i="1" s="1"/>
  <c r="R396" i="1"/>
  <c r="S396" i="1" s="1"/>
  <c r="R397" i="1"/>
  <c r="AE397" i="1" s="1"/>
  <c r="R398" i="1"/>
  <c r="S398" i="1" s="1"/>
  <c r="R399" i="1"/>
  <c r="R400" i="1"/>
  <c r="AE400" i="1" s="1"/>
  <c r="R401" i="1"/>
  <c r="S401" i="1" s="1"/>
  <c r="R402" i="1"/>
  <c r="R403" i="1"/>
  <c r="R404" i="1"/>
  <c r="S404" i="1" s="1"/>
  <c r="R405" i="1"/>
  <c r="S405" i="1" s="1"/>
  <c r="R406" i="1"/>
  <c r="S406" i="1" s="1"/>
  <c r="R407" i="1"/>
  <c r="S407" i="1" s="1"/>
  <c r="R408" i="1"/>
  <c r="S408" i="1" s="1"/>
  <c r="R409" i="1"/>
  <c r="AE409" i="1" s="1"/>
  <c r="R410" i="1"/>
  <c r="R411" i="1"/>
  <c r="S411" i="1" s="1"/>
  <c r="R412" i="1"/>
  <c r="AE412" i="1" s="1"/>
  <c r="R413" i="1"/>
  <c r="S413" i="1" s="1"/>
  <c r="R414" i="1"/>
  <c r="R415" i="1"/>
  <c r="AE415" i="1" s="1"/>
  <c r="R416" i="1"/>
  <c r="S416" i="1" s="1"/>
  <c r="R417" i="1"/>
  <c r="S417" i="1" s="1"/>
  <c r="R418" i="1"/>
  <c r="S418" i="1" s="1"/>
  <c r="R419" i="1"/>
  <c r="S419" i="1" s="1"/>
  <c r="R420" i="1"/>
  <c r="AE420" i="1" s="1"/>
  <c r="R421" i="1"/>
  <c r="S421" i="1" s="1"/>
  <c r="R422" i="1"/>
  <c r="S422" i="1" s="1"/>
  <c r="R423" i="1"/>
  <c r="AE423" i="1" s="1"/>
  <c r="R424" i="1"/>
  <c r="S424" i="1" s="1"/>
  <c r="R425" i="1"/>
  <c r="S425" i="1" s="1"/>
  <c r="R426" i="1"/>
  <c r="R427" i="1"/>
  <c r="S427" i="1" s="1"/>
  <c r="R428" i="1"/>
  <c r="S428" i="1" s="1"/>
  <c r="R429" i="1"/>
  <c r="S429" i="1" s="1"/>
  <c r="R430" i="1"/>
  <c r="S430" i="1" s="1"/>
  <c r="R431" i="1"/>
  <c r="AE431" i="1" s="1"/>
  <c r="R432" i="1"/>
  <c r="S432" i="1" s="1"/>
  <c r="R433" i="1"/>
  <c r="AE433" i="1" s="1"/>
  <c r="R434" i="1"/>
  <c r="S434" i="1" s="1"/>
  <c r="R435" i="1"/>
  <c r="AE435" i="1" s="1"/>
  <c r="R436" i="1"/>
  <c r="AE436" i="1" s="1"/>
  <c r="R437" i="1"/>
  <c r="S437" i="1" s="1"/>
  <c r="R438" i="1"/>
  <c r="AE438" i="1" s="1"/>
  <c r="R439" i="1"/>
  <c r="S439" i="1" s="1"/>
  <c r="R440" i="1"/>
  <c r="S440" i="1" s="1"/>
  <c r="R441" i="1"/>
  <c r="S441" i="1" s="1"/>
  <c r="R442" i="1"/>
  <c r="R443" i="1"/>
  <c r="S443" i="1" s="1"/>
  <c r="R444" i="1"/>
  <c r="S444" i="1" s="1"/>
  <c r="R445" i="1"/>
  <c r="R446" i="1"/>
  <c r="R447" i="1"/>
  <c r="AE447" i="1" s="1"/>
  <c r="R448" i="1"/>
  <c r="S448" i="1" s="1"/>
  <c r="R449" i="1"/>
  <c r="AE449" i="1" s="1"/>
  <c r="R450" i="1"/>
  <c r="R451" i="1"/>
  <c r="S451" i="1" s="1"/>
  <c r="R452" i="1"/>
  <c r="AE452" i="1" s="1"/>
  <c r="R453" i="1"/>
  <c r="S453" i="1" s="1"/>
  <c r="R454" i="1"/>
  <c r="S454" i="1" s="1"/>
  <c r="R455" i="1"/>
  <c r="S455" i="1" s="1"/>
  <c r="R456" i="1"/>
  <c r="R457" i="1"/>
  <c r="AE457" i="1" s="1"/>
  <c r="R458" i="1"/>
  <c r="R459" i="1"/>
  <c r="S459" i="1" s="1"/>
  <c r="R460" i="1"/>
  <c r="S460" i="1" s="1"/>
  <c r="AZ460" i="1"/>
  <c r="AZ459" i="1"/>
  <c r="AZ458" i="1"/>
  <c r="AZ457" i="1"/>
  <c r="AZ456" i="1"/>
  <c r="AZ455" i="1"/>
  <c r="AZ454" i="1"/>
  <c r="AZ453" i="1"/>
  <c r="AZ452" i="1"/>
  <c r="AZ451" i="1"/>
  <c r="AZ450" i="1"/>
  <c r="AZ449" i="1"/>
  <c r="AZ448" i="1"/>
  <c r="AZ447" i="1"/>
  <c r="AZ446" i="1"/>
  <c r="AZ445" i="1"/>
  <c r="AZ444" i="1"/>
  <c r="AZ443" i="1"/>
  <c r="AZ442" i="1"/>
  <c r="AZ441" i="1"/>
  <c r="AZ440" i="1"/>
  <c r="AZ439" i="1"/>
  <c r="AZ438" i="1"/>
  <c r="AZ437" i="1"/>
  <c r="AZ436" i="1"/>
  <c r="AZ435" i="1"/>
  <c r="AZ434" i="1"/>
  <c r="AZ433" i="1"/>
  <c r="AZ432" i="1"/>
  <c r="AZ431" i="1"/>
  <c r="AZ430" i="1"/>
  <c r="AZ429" i="1"/>
  <c r="AZ428" i="1"/>
  <c r="AZ427" i="1"/>
  <c r="AZ426" i="1"/>
  <c r="AZ425" i="1"/>
  <c r="AZ424" i="1"/>
  <c r="AZ423" i="1"/>
  <c r="AZ422" i="1"/>
  <c r="AZ421" i="1"/>
  <c r="AZ420" i="1"/>
  <c r="AZ419" i="1"/>
  <c r="AZ418" i="1"/>
  <c r="AZ417" i="1"/>
  <c r="AZ416" i="1"/>
  <c r="AZ415" i="1"/>
  <c r="AZ414" i="1"/>
  <c r="AZ413" i="1"/>
  <c r="AZ412" i="1"/>
  <c r="AZ411" i="1"/>
  <c r="AZ410" i="1"/>
  <c r="AZ409" i="1"/>
  <c r="AZ408" i="1"/>
  <c r="AZ407" i="1"/>
  <c r="AZ406" i="1"/>
  <c r="AZ405" i="1"/>
  <c r="AZ404" i="1"/>
  <c r="AZ403" i="1"/>
  <c r="AZ402" i="1"/>
  <c r="AZ401" i="1"/>
  <c r="AZ400" i="1"/>
  <c r="AZ399" i="1"/>
  <c r="AZ398" i="1"/>
  <c r="AZ397" i="1"/>
  <c r="AZ396" i="1"/>
  <c r="AZ395" i="1"/>
  <c r="AZ394" i="1"/>
  <c r="AZ393" i="1"/>
  <c r="AZ392" i="1"/>
  <c r="AZ391" i="1"/>
  <c r="AZ390" i="1"/>
  <c r="AZ389" i="1"/>
  <c r="AZ388" i="1"/>
  <c r="AZ387" i="1"/>
  <c r="AZ386" i="1"/>
  <c r="AZ385" i="1"/>
  <c r="AZ384" i="1"/>
  <c r="AZ383" i="1"/>
  <c r="AZ382" i="1"/>
  <c r="AZ381" i="1"/>
  <c r="AZ380" i="1"/>
  <c r="AZ379" i="1"/>
  <c r="AZ378" i="1"/>
  <c r="AZ377" i="1"/>
  <c r="AZ376" i="1"/>
  <c r="AZ375" i="1"/>
  <c r="AZ374" i="1"/>
  <c r="AZ373" i="1"/>
  <c r="AZ372" i="1"/>
  <c r="AZ371" i="1"/>
  <c r="AZ370" i="1"/>
  <c r="AZ369" i="1"/>
  <c r="AZ368" i="1"/>
  <c r="AZ367" i="1"/>
  <c r="AZ366" i="1"/>
  <c r="AZ365" i="1"/>
  <c r="AZ364" i="1"/>
  <c r="AZ363" i="1"/>
  <c r="AZ362" i="1"/>
  <c r="AZ361" i="1"/>
  <c r="AZ360" i="1"/>
  <c r="AZ359" i="1"/>
  <c r="AZ358" i="1"/>
  <c r="AZ357" i="1"/>
  <c r="AZ356" i="1"/>
  <c r="AZ355" i="1"/>
  <c r="AZ354" i="1"/>
  <c r="AZ353" i="1"/>
  <c r="AZ352" i="1"/>
  <c r="AZ351" i="1"/>
  <c r="AZ350" i="1"/>
  <c r="AZ349" i="1"/>
  <c r="AZ348" i="1"/>
  <c r="AZ347" i="1"/>
  <c r="AZ346" i="1"/>
  <c r="AZ345" i="1"/>
  <c r="AZ344" i="1"/>
  <c r="AZ343" i="1"/>
  <c r="AZ342" i="1"/>
  <c r="AZ341" i="1"/>
  <c r="AZ340" i="1"/>
  <c r="AZ339" i="1"/>
  <c r="AZ338" i="1"/>
  <c r="AZ337" i="1"/>
  <c r="AZ336" i="1"/>
  <c r="AZ335" i="1"/>
  <c r="AZ334" i="1"/>
  <c r="AZ333" i="1"/>
  <c r="AZ332" i="1"/>
  <c r="AZ331" i="1"/>
  <c r="AZ330" i="1"/>
  <c r="AZ329" i="1"/>
  <c r="AZ328" i="1"/>
  <c r="AZ327" i="1"/>
  <c r="AZ326" i="1"/>
  <c r="AZ325" i="1"/>
  <c r="AZ324" i="1"/>
  <c r="AZ323" i="1"/>
  <c r="AZ322" i="1"/>
  <c r="AZ321" i="1"/>
  <c r="AZ320" i="1"/>
  <c r="AZ319" i="1"/>
  <c r="AZ318" i="1"/>
  <c r="AZ317" i="1"/>
  <c r="AZ316" i="1"/>
  <c r="AZ315" i="1"/>
  <c r="AZ314" i="1"/>
  <c r="AZ313" i="1"/>
  <c r="AZ312" i="1"/>
  <c r="AZ311" i="1"/>
  <c r="AZ310" i="1"/>
  <c r="AZ309" i="1"/>
  <c r="AZ308" i="1"/>
  <c r="AZ307" i="1"/>
  <c r="AZ306" i="1"/>
  <c r="AZ305" i="1"/>
  <c r="AZ304" i="1"/>
  <c r="AZ303" i="1"/>
  <c r="AZ302" i="1"/>
  <c r="AZ301" i="1"/>
  <c r="AZ300" i="1"/>
  <c r="AZ299" i="1"/>
  <c r="AZ298" i="1"/>
  <c r="AZ297" i="1"/>
  <c r="AZ296" i="1"/>
  <c r="AZ295" i="1"/>
  <c r="AZ294" i="1"/>
  <c r="AZ293" i="1"/>
  <c r="AZ292" i="1"/>
  <c r="AZ291" i="1"/>
  <c r="AZ290" i="1"/>
  <c r="AZ289" i="1"/>
  <c r="AZ288" i="1"/>
  <c r="AZ287" i="1"/>
  <c r="AZ286" i="1"/>
  <c r="AZ285" i="1"/>
  <c r="AZ284" i="1"/>
  <c r="AZ283" i="1"/>
  <c r="AZ282" i="1"/>
  <c r="AZ281" i="1"/>
  <c r="AZ280" i="1"/>
  <c r="AZ279" i="1"/>
  <c r="AZ278" i="1"/>
  <c r="AZ277" i="1"/>
  <c r="AZ276" i="1"/>
  <c r="AZ275" i="1"/>
  <c r="AZ274" i="1"/>
  <c r="AZ273" i="1"/>
  <c r="AZ272" i="1"/>
  <c r="AZ271" i="1"/>
  <c r="AZ270" i="1"/>
  <c r="AZ269" i="1"/>
  <c r="AZ268" i="1"/>
  <c r="AZ267" i="1"/>
  <c r="AZ266" i="1"/>
  <c r="AZ265" i="1"/>
  <c r="AZ264" i="1"/>
  <c r="AZ263" i="1"/>
  <c r="AZ262" i="1"/>
  <c r="AZ261" i="1"/>
  <c r="AZ260" i="1"/>
  <c r="AZ259" i="1"/>
  <c r="AZ258" i="1"/>
  <c r="AZ257" i="1"/>
  <c r="AZ256" i="1"/>
  <c r="AZ255" i="1"/>
  <c r="AZ254" i="1"/>
  <c r="AZ253" i="1"/>
  <c r="AZ252" i="1"/>
  <c r="AZ251" i="1"/>
  <c r="AZ250" i="1"/>
  <c r="AZ249" i="1"/>
  <c r="AZ248" i="1"/>
  <c r="AZ247" i="1"/>
  <c r="AZ246" i="1"/>
  <c r="AZ245" i="1"/>
  <c r="AZ244" i="1"/>
  <c r="AZ243" i="1"/>
  <c r="AZ242" i="1"/>
  <c r="AZ241" i="1"/>
  <c r="AZ240" i="1"/>
  <c r="AZ239" i="1"/>
  <c r="AZ238" i="1"/>
  <c r="AZ237" i="1"/>
  <c r="AZ236" i="1"/>
  <c r="AZ235" i="1"/>
  <c r="AZ234" i="1"/>
  <c r="AZ233" i="1"/>
  <c r="AZ232" i="1"/>
  <c r="AZ231" i="1"/>
  <c r="AZ230" i="1"/>
  <c r="AZ229" i="1"/>
  <c r="AZ228" i="1"/>
  <c r="AZ227" i="1"/>
  <c r="AZ226" i="1"/>
  <c r="AZ225" i="1"/>
  <c r="AZ224" i="1"/>
  <c r="AZ223" i="1"/>
  <c r="AZ222" i="1"/>
  <c r="AZ221" i="1"/>
  <c r="AZ220" i="1"/>
  <c r="AZ219" i="1"/>
  <c r="AZ218" i="1"/>
  <c r="AZ217" i="1"/>
  <c r="AZ216" i="1"/>
  <c r="AZ215" i="1"/>
  <c r="AZ214" i="1"/>
  <c r="AZ213" i="1"/>
  <c r="AZ212" i="1"/>
  <c r="AZ211" i="1"/>
  <c r="AZ210" i="1"/>
  <c r="AZ209" i="1"/>
  <c r="AZ208" i="1"/>
  <c r="AZ207" i="1"/>
  <c r="AZ206" i="1"/>
  <c r="AZ205" i="1"/>
  <c r="AZ204" i="1"/>
  <c r="AZ203" i="1"/>
  <c r="AZ202" i="1"/>
  <c r="AZ201" i="1"/>
  <c r="AZ200" i="1"/>
  <c r="AZ199" i="1"/>
  <c r="AZ198" i="1"/>
  <c r="AZ197" i="1"/>
  <c r="AZ196" i="1"/>
  <c r="AZ195" i="1"/>
  <c r="AZ194" i="1"/>
  <c r="AZ193" i="1"/>
  <c r="AZ192" i="1"/>
  <c r="AZ191" i="1"/>
  <c r="AZ190" i="1"/>
  <c r="AZ189" i="1"/>
  <c r="AZ188" i="1"/>
  <c r="AZ187" i="1"/>
  <c r="AZ186" i="1"/>
  <c r="AZ185" i="1"/>
  <c r="AZ184" i="1"/>
  <c r="AZ183" i="1"/>
  <c r="AZ182" i="1"/>
  <c r="AZ181" i="1"/>
  <c r="AZ180" i="1"/>
  <c r="AZ179" i="1"/>
  <c r="AZ178" i="1"/>
  <c r="AZ177" i="1"/>
  <c r="AZ176" i="1"/>
  <c r="AZ175" i="1"/>
  <c r="AZ174" i="1"/>
  <c r="AZ173" i="1"/>
  <c r="AZ172" i="1"/>
  <c r="AZ171" i="1"/>
  <c r="AZ170" i="1"/>
  <c r="AZ169" i="1"/>
  <c r="AZ168" i="1"/>
  <c r="AZ167" i="1"/>
  <c r="AZ166" i="1"/>
  <c r="AZ165" i="1"/>
  <c r="AZ164" i="1"/>
  <c r="AZ163" i="1"/>
  <c r="AZ162" i="1"/>
  <c r="AZ161" i="1"/>
  <c r="AZ160" i="1"/>
  <c r="AZ159" i="1"/>
  <c r="AZ158" i="1"/>
  <c r="AZ157" i="1"/>
  <c r="AZ156" i="1"/>
  <c r="AZ155" i="1"/>
  <c r="AZ154" i="1"/>
  <c r="AZ153" i="1"/>
  <c r="AZ152" i="1"/>
  <c r="AZ151" i="1"/>
  <c r="AZ150" i="1"/>
  <c r="AZ149" i="1"/>
  <c r="AZ148" i="1"/>
  <c r="AZ147" i="1"/>
  <c r="AZ146" i="1"/>
  <c r="AZ145" i="1"/>
  <c r="AZ144" i="1"/>
  <c r="AZ143" i="1"/>
  <c r="AZ142" i="1"/>
  <c r="AZ141" i="1"/>
  <c r="AZ140" i="1"/>
  <c r="AZ139" i="1"/>
  <c r="AZ138" i="1"/>
  <c r="AZ137" i="1"/>
  <c r="AZ136" i="1"/>
  <c r="AZ135" i="1"/>
  <c r="AZ134" i="1"/>
  <c r="AZ133" i="1"/>
  <c r="AZ132" i="1"/>
  <c r="AZ131" i="1"/>
  <c r="AZ130" i="1"/>
  <c r="AZ129" i="1"/>
  <c r="AZ128" i="1"/>
  <c r="AZ127" i="1"/>
  <c r="AZ126" i="1"/>
  <c r="AZ125" i="1"/>
  <c r="AZ124" i="1"/>
  <c r="AZ123" i="1"/>
  <c r="AZ122" i="1"/>
  <c r="AZ121" i="1"/>
  <c r="AZ120" i="1"/>
  <c r="AZ119" i="1"/>
  <c r="AZ118" i="1"/>
  <c r="AZ117" i="1"/>
  <c r="AZ116" i="1"/>
  <c r="AZ115" i="1"/>
  <c r="AZ114" i="1"/>
  <c r="AZ113" i="1"/>
  <c r="AZ112" i="1"/>
  <c r="AZ111" i="1"/>
  <c r="AZ110" i="1"/>
  <c r="AZ109" i="1"/>
  <c r="AZ108" i="1"/>
  <c r="AZ107" i="1"/>
  <c r="AZ106" i="1"/>
  <c r="AZ105" i="1"/>
  <c r="AZ104" i="1"/>
  <c r="AZ103" i="1"/>
  <c r="AZ102" i="1"/>
  <c r="AZ101" i="1"/>
  <c r="AZ100" i="1"/>
  <c r="AZ99" i="1"/>
  <c r="AZ98" i="1"/>
  <c r="AZ97" i="1"/>
  <c r="AZ96" i="1"/>
  <c r="AZ95" i="1"/>
  <c r="AZ94" i="1"/>
  <c r="AZ93" i="1"/>
  <c r="AZ92" i="1"/>
  <c r="AZ91" i="1"/>
  <c r="AZ90" i="1"/>
  <c r="AZ89" i="1"/>
  <c r="AZ88" i="1"/>
  <c r="AZ87" i="1"/>
  <c r="AZ86" i="1"/>
  <c r="AZ85" i="1"/>
  <c r="AZ84" i="1"/>
  <c r="AZ83" i="1"/>
  <c r="AZ82" i="1"/>
  <c r="AZ81" i="1"/>
  <c r="AE81" i="1"/>
  <c r="AZ80" i="1"/>
  <c r="AZ79" i="1"/>
  <c r="AZ78" i="1"/>
  <c r="AZ77" i="1"/>
  <c r="AZ76" i="1"/>
  <c r="AZ75" i="1"/>
  <c r="AZ74" i="1"/>
  <c r="AZ73" i="1"/>
  <c r="AZ72" i="1"/>
  <c r="AZ71" i="1"/>
  <c r="AZ70" i="1"/>
  <c r="AZ69" i="1"/>
  <c r="AZ68" i="1"/>
  <c r="AZ67" i="1"/>
  <c r="AZ66" i="1"/>
  <c r="AZ65" i="1"/>
  <c r="AZ64" i="1"/>
  <c r="AZ63" i="1"/>
  <c r="AZ62" i="1"/>
  <c r="AZ61" i="1"/>
  <c r="AZ60" i="1"/>
  <c r="AZ59" i="1"/>
  <c r="AZ58" i="1"/>
  <c r="AZ57" i="1"/>
  <c r="AZ56" i="1"/>
  <c r="AZ55" i="1"/>
  <c r="AZ54" i="1"/>
  <c r="AE54" i="1"/>
  <c r="AZ52" i="1"/>
  <c r="AZ51" i="1"/>
  <c r="AZ50" i="1"/>
  <c r="AZ49" i="1"/>
  <c r="AZ48" i="1"/>
  <c r="AZ47" i="1"/>
  <c r="AE47" i="1"/>
  <c r="AZ46" i="1"/>
  <c r="AZ45" i="1"/>
  <c r="AZ44" i="1"/>
  <c r="AZ43" i="1"/>
  <c r="AZ42" i="1"/>
  <c r="AZ41" i="1"/>
  <c r="AZ40" i="1"/>
  <c r="AE40" i="1"/>
  <c r="AZ29" i="1"/>
  <c r="AE29" i="1"/>
  <c r="AZ28" i="1"/>
  <c r="AE28" i="1"/>
  <c r="AZ27" i="1"/>
  <c r="AE27" i="1"/>
  <c r="AZ26" i="1"/>
  <c r="AE26" i="1"/>
  <c r="AK26" i="1" s="1"/>
  <c r="AZ25" i="1"/>
  <c r="AE25" i="1"/>
  <c r="AZ24" i="1"/>
  <c r="BA3" i="1"/>
  <c r="BB3" i="1" s="1"/>
  <c r="BA4" i="1"/>
  <c r="BB4" i="1" s="1"/>
  <c r="AZ4" i="1"/>
  <c r="AZ5" i="1"/>
  <c r="AZ7" i="1"/>
  <c r="AZ8" i="1"/>
  <c r="AZ9" i="1"/>
  <c r="AZ10" i="1"/>
  <c r="AZ11" i="1"/>
  <c r="AZ12" i="1"/>
  <c r="AZ13" i="1"/>
  <c r="AZ14" i="1"/>
  <c r="AZ15" i="1"/>
  <c r="AZ16" i="1"/>
  <c r="AZ17" i="1"/>
  <c r="AZ18" i="1"/>
  <c r="AZ19" i="1"/>
  <c r="AZ20" i="1"/>
  <c r="AZ21" i="1"/>
  <c r="AZ22" i="1"/>
  <c r="AZ23" i="1"/>
  <c r="C2" i="8"/>
  <c r="C44" i="8"/>
  <c r="C43" i="8"/>
  <c r="C42" i="8"/>
  <c r="C41" i="8"/>
  <c r="C40" i="8"/>
  <c r="C39" i="8"/>
  <c r="C38" i="8"/>
  <c r="C37" i="8"/>
  <c r="C36" i="8"/>
  <c r="C35" i="8"/>
  <c r="C34" i="8"/>
  <c r="C33" i="8"/>
  <c r="C32" i="8"/>
  <c r="C31" i="8"/>
  <c r="C30" i="8"/>
  <c r="C29" i="8"/>
  <c r="C28" i="8"/>
  <c r="C27" i="8"/>
  <c r="C26" i="8"/>
  <c r="C25" i="8"/>
  <c r="C24" i="8"/>
  <c r="C23" i="8"/>
  <c r="C22" i="8"/>
  <c r="C21" i="8"/>
  <c r="C20" i="8"/>
  <c r="C19" i="8"/>
  <c r="C18" i="8"/>
  <c r="C17" i="8"/>
  <c r="C16" i="8"/>
  <c r="C15" i="8"/>
  <c r="C14" i="8"/>
  <c r="C13" i="8"/>
  <c r="C12" i="8"/>
  <c r="C11" i="8"/>
  <c r="C10" i="8"/>
  <c r="C9" i="8"/>
  <c r="C8" i="8"/>
  <c r="C7" i="8"/>
  <c r="C6" i="8"/>
  <c r="C5" i="8"/>
  <c r="C4" i="8"/>
  <c r="C3" i="8"/>
  <c r="AZ6" i="1"/>
  <c r="G12" i="12"/>
  <c r="BC74" i="1" l="1"/>
  <c r="BB74" i="1"/>
  <c r="AH69" i="1"/>
  <c r="AG69" i="1"/>
  <c r="AH138" i="1"/>
  <c r="AG138" i="1"/>
  <c r="AH282" i="1"/>
  <c r="AG282" i="1"/>
  <c r="AH378" i="1"/>
  <c r="AG378" i="1"/>
  <c r="BC28" i="1"/>
  <c r="BB28" i="1"/>
  <c r="BC99" i="1"/>
  <c r="BB99" i="1"/>
  <c r="BC252" i="1"/>
  <c r="BB252" i="1"/>
  <c r="BC312" i="1"/>
  <c r="BB312" i="1"/>
  <c r="BC360" i="1"/>
  <c r="BB360" i="1"/>
  <c r="BC396" i="1"/>
  <c r="BB396" i="1"/>
  <c r="AG10" i="1"/>
  <c r="BC26" i="1"/>
  <c r="BB26" i="1"/>
  <c r="BC121" i="1"/>
  <c r="BB121" i="1"/>
  <c r="BC133" i="1"/>
  <c r="BB133" i="1"/>
  <c r="BC154" i="1"/>
  <c r="BB154" i="1"/>
  <c r="BC166" i="1"/>
  <c r="BB166" i="1"/>
  <c r="BC178" i="1"/>
  <c r="BB178" i="1"/>
  <c r="BC226" i="1"/>
  <c r="BB226" i="1"/>
  <c r="BC238" i="1"/>
  <c r="BB238" i="1"/>
  <c r="BC274" i="1"/>
  <c r="BB274" i="1"/>
  <c r="BC310" i="1"/>
  <c r="BB310" i="1"/>
  <c r="BC322" i="1"/>
  <c r="BB322" i="1"/>
  <c r="BC430" i="1"/>
  <c r="BB430" i="1"/>
  <c r="AH8" i="1"/>
  <c r="AG8" i="1"/>
  <c r="AH20" i="1"/>
  <c r="AG20" i="1"/>
  <c r="AG56" i="1"/>
  <c r="AH68" i="1"/>
  <c r="AI68" i="1"/>
  <c r="AG68" i="1"/>
  <c r="AG80" i="1"/>
  <c r="AH92" i="1"/>
  <c r="AG92" i="1"/>
  <c r="AH104" i="1"/>
  <c r="AG104" i="1"/>
  <c r="AH116" i="1"/>
  <c r="AG116" i="1"/>
  <c r="AH128" i="1"/>
  <c r="AG128" i="1"/>
  <c r="AH149" i="1"/>
  <c r="AG149" i="1"/>
  <c r="AG161" i="1"/>
  <c r="AG197" i="1"/>
  <c r="AG209" i="1"/>
  <c r="AH233" i="1"/>
  <c r="AG233" i="1"/>
  <c r="AG245" i="1"/>
  <c r="AH257" i="1"/>
  <c r="AG257" i="1"/>
  <c r="AH281" i="1"/>
  <c r="AG281" i="1"/>
  <c r="AH305" i="1"/>
  <c r="AG305" i="1"/>
  <c r="AH317" i="1"/>
  <c r="AG317" i="1"/>
  <c r="AH329" i="1"/>
  <c r="AG329" i="1"/>
  <c r="AH341" i="1"/>
  <c r="AG341" i="1"/>
  <c r="AH353" i="1"/>
  <c r="AG353" i="1"/>
  <c r="AG377" i="1"/>
  <c r="AH389" i="1"/>
  <c r="AG389" i="1"/>
  <c r="AH401" i="1"/>
  <c r="AG401" i="1"/>
  <c r="AG413" i="1"/>
  <c r="AG425" i="1"/>
  <c r="AG437" i="1"/>
  <c r="AG449" i="1"/>
  <c r="AH355" i="1"/>
  <c r="AG355" i="1"/>
  <c r="BC29" i="1"/>
  <c r="BB29" i="1"/>
  <c r="BC76" i="1"/>
  <c r="BB76" i="1"/>
  <c r="BC88" i="1"/>
  <c r="BB88" i="1"/>
  <c r="BC100" i="1"/>
  <c r="BB100" i="1"/>
  <c r="BC169" i="1"/>
  <c r="BB169" i="1"/>
  <c r="BC217" i="1"/>
  <c r="BB217" i="1"/>
  <c r="BC229" i="1"/>
  <c r="BB229" i="1"/>
  <c r="BC253" i="1"/>
  <c r="BB253" i="1"/>
  <c r="BC313" i="1"/>
  <c r="BB313" i="1"/>
  <c r="BC325" i="1"/>
  <c r="BB325" i="1"/>
  <c r="BD325" i="1" s="1" a="1"/>
  <c r="BD325" i="1" s="1"/>
  <c r="BE325" i="1" s="1"/>
  <c r="BG325" i="1" s="1"/>
  <c r="BC337" i="1"/>
  <c r="BB337" i="1"/>
  <c r="BC349" i="1"/>
  <c r="BB349" i="1"/>
  <c r="BC385" i="1"/>
  <c r="BB385" i="1"/>
  <c r="BC397" i="1"/>
  <c r="BB397" i="1"/>
  <c r="AG11" i="1"/>
  <c r="AG23" i="1"/>
  <c r="AI23" i="1"/>
  <c r="AH71" i="1"/>
  <c r="AG71" i="1"/>
  <c r="AH83" i="1"/>
  <c r="AG83" i="1"/>
  <c r="AH95" i="1"/>
  <c r="AG95" i="1"/>
  <c r="AH107" i="1"/>
  <c r="AG107" i="1"/>
  <c r="AG119" i="1"/>
  <c r="AH131" i="1"/>
  <c r="AG131" i="1"/>
  <c r="AH140" i="1"/>
  <c r="AG140" i="1"/>
  <c r="AH152" i="1"/>
  <c r="AG152" i="1"/>
  <c r="AH164" i="1"/>
  <c r="AG164" i="1"/>
  <c r="AH188" i="1"/>
  <c r="AG188" i="1"/>
  <c r="AH212" i="1"/>
  <c r="AG212" i="1"/>
  <c r="AH224" i="1"/>
  <c r="AG224" i="1"/>
  <c r="AH260" i="1"/>
  <c r="AG260" i="1"/>
  <c r="AH272" i="1"/>
  <c r="AG272" i="1"/>
  <c r="AH284" i="1"/>
  <c r="AG284" i="1"/>
  <c r="AH320" i="1"/>
  <c r="AG320" i="1"/>
  <c r="AH332" i="1"/>
  <c r="AG332" i="1"/>
  <c r="AH344" i="1"/>
  <c r="AG344" i="1"/>
  <c r="AH356" i="1"/>
  <c r="AG356" i="1"/>
  <c r="AH368" i="1"/>
  <c r="AG368" i="1"/>
  <c r="AH380" i="1"/>
  <c r="AG380" i="1"/>
  <c r="AH392" i="1"/>
  <c r="AG392" i="1"/>
  <c r="AH404" i="1"/>
  <c r="AG404" i="1"/>
  <c r="AH416" i="1"/>
  <c r="AG416" i="1"/>
  <c r="AH440" i="1"/>
  <c r="AG440" i="1"/>
  <c r="AH452" i="1"/>
  <c r="AG452" i="1"/>
  <c r="BC143" i="1"/>
  <c r="BB143" i="1"/>
  <c r="BC191" i="1"/>
  <c r="BB191" i="1"/>
  <c r="AH117" i="1"/>
  <c r="AG117" i="1"/>
  <c r="AH162" i="1"/>
  <c r="AG162" i="1"/>
  <c r="AH402" i="1"/>
  <c r="AG402" i="1"/>
  <c r="BC444" i="1"/>
  <c r="BB444" i="1"/>
  <c r="AH199" i="1"/>
  <c r="AG199" i="1"/>
  <c r="AH259" i="1"/>
  <c r="AG259" i="1"/>
  <c r="AG451" i="1"/>
  <c r="BC18" i="1"/>
  <c r="BB18" i="1"/>
  <c r="BC52" i="1"/>
  <c r="BB52" i="1"/>
  <c r="BC77" i="1"/>
  <c r="BB77" i="1"/>
  <c r="BC206" i="1"/>
  <c r="BB206" i="1"/>
  <c r="BC218" i="1"/>
  <c r="BB218" i="1"/>
  <c r="BC290" i="1"/>
  <c r="BB290" i="1"/>
  <c r="BC326" i="1"/>
  <c r="BB326" i="1"/>
  <c r="BC338" i="1"/>
  <c r="BB338" i="1"/>
  <c r="BC350" i="1"/>
  <c r="BB350" i="1"/>
  <c r="BC434" i="1"/>
  <c r="BB434" i="1"/>
  <c r="BC446" i="1"/>
  <c r="BB446" i="1"/>
  <c r="AH12" i="1"/>
  <c r="AG12" i="1"/>
  <c r="AG47" i="1"/>
  <c r="AH60" i="1"/>
  <c r="AG60" i="1"/>
  <c r="AG72" i="1"/>
  <c r="AH84" i="1"/>
  <c r="AG84" i="1"/>
  <c r="AH96" i="1"/>
  <c r="AG96" i="1"/>
  <c r="AH108" i="1"/>
  <c r="AG108" i="1"/>
  <c r="AH120" i="1"/>
  <c r="AG120" i="1"/>
  <c r="AH141" i="1"/>
  <c r="AG141" i="1"/>
  <c r="AH153" i="1"/>
  <c r="AG153" i="1"/>
  <c r="AH189" i="1"/>
  <c r="AG189" i="1"/>
  <c r="AH201" i="1"/>
  <c r="AG201" i="1"/>
  <c r="AH213" i="1"/>
  <c r="AG213" i="1"/>
  <c r="AH237" i="1"/>
  <c r="AG237" i="1"/>
  <c r="AG285" i="1"/>
  <c r="AH309" i="1"/>
  <c r="AG309" i="1"/>
  <c r="AH321" i="1"/>
  <c r="AG321" i="1"/>
  <c r="AH333" i="1"/>
  <c r="AG333" i="1"/>
  <c r="AH345" i="1"/>
  <c r="AG345" i="1"/>
  <c r="AG357" i="1"/>
  <c r="AG369" i="1"/>
  <c r="AG381" i="1"/>
  <c r="AH393" i="1"/>
  <c r="AG393" i="1"/>
  <c r="AG405" i="1"/>
  <c r="AG417" i="1"/>
  <c r="AG429" i="1"/>
  <c r="AG441" i="1"/>
  <c r="AG453" i="1"/>
  <c r="BC371" i="1"/>
  <c r="BB371" i="1"/>
  <c r="AH81" i="1"/>
  <c r="AG81" i="1"/>
  <c r="AH354" i="1"/>
  <c r="AG354" i="1"/>
  <c r="AH367" i="1"/>
  <c r="AG367" i="1"/>
  <c r="BC7" i="1"/>
  <c r="BB7" i="1"/>
  <c r="BC41" i="1"/>
  <c r="BB41" i="1"/>
  <c r="BC147" i="1"/>
  <c r="BD147" i="1" s="1" a="1"/>
  <c r="BD147" i="1" s="1"/>
  <c r="BE147" i="1" s="1"/>
  <c r="BG147" i="1" s="1"/>
  <c r="BB147" i="1"/>
  <c r="BC159" i="1"/>
  <c r="BB159" i="1"/>
  <c r="BC171" i="1"/>
  <c r="BB171" i="1"/>
  <c r="BC195" i="1"/>
  <c r="BB195" i="1"/>
  <c r="BC219" i="1"/>
  <c r="BB219" i="1"/>
  <c r="BC291" i="1"/>
  <c r="BB291" i="1"/>
  <c r="BC303" i="1"/>
  <c r="BB303" i="1"/>
  <c r="BC327" i="1"/>
  <c r="BB327" i="1"/>
  <c r="BC339" i="1"/>
  <c r="BB339" i="1"/>
  <c r="BC375" i="1"/>
  <c r="BB375" i="1"/>
  <c r="BC387" i="1"/>
  <c r="BB387" i="1"/>
  <c r="BC411" i="1"/>
  <c r="BB411" i="1"/>
  <c r="BC423" i="1"/>
  <c r="BB423" i="1"/>
  <c r="BC447" i="1"/>
  <c r="BB447" i="1"/>
  <c r="AH25" i="1"/>
  <c r="AG25" i="1"/>
  <c r="AH48" i="1"/>
  <c r="AG48" i="1"/>
  <c r="AH109" i="1"/>
  <c r="AG109" i="1"/>
  <c r="AH133" i="1"/>
  <c r="AG133" i="1"/>
  <c r="AH142" i="1"/>
  <c r="AG142" i="1"/>
  <c r="AG154" i="1"/>
  <c r="AH166" i="1"/>
  <c r="AG166" i="1"/>
  <c r="AH178" i="1"/>
  <c r="AG178" i="1"/>
  <c r="AH190" i="1"/>
  <c r="AG190" i="1"/>
  <c r="AH202" i="1"/>
  <c r="AG202" i="1"/>
  <c r="AH214" i="1"/>
  <c r="AG214" i="1"/>
  <c r="AH226" i="1"/>
  <c r="AG226" i="1"/>
  <c r="AH238" i="1"/>
  <c r="AG238" i="1"/>
  <c r="AG250" i="1"/>
  <c r="AH262" i="1"/>
  <c r="AG262" i="1"/>
  <c r="AH286" i="1"/>
  <c r="AG286" i="1"/>
  <c r="AH298" i="1"/>
  <c r="AG298" i="1"/>
  <c r="AH370" i="1"/>
  <c r="AG370" i="1"/>
  <c r="AH394" i="1"/>
  <c r="AG394" i="1"/>
  <c r="AH406" i="1"/>
  <c r="AG406" i="1"/>
  <c r="AH418" i="1"/>
  <c r="AG418" i="1"/>
  <c r="AH430" i="1"/>
  <c r="AG430" i="1"/>
  <c r="AH442" i="1"/>
  <c r="AG442" i="1"/>
  <c r="AH454" i="1"/>
  <c r="AG454" i="1"/>
  <c r="AG438" i="1"/>
  <c r="BC123" i="1"/>
  <c r="BB123" i="1"/>
  <c r="BC204" i="1"/>
  <c r="BB204" i="1"/>
  <c r="AH58" i="1"/>
  <c r="AG58" i="1"/>
  <c r="AG130" i="1"/>
  <c r="AG175" i="1"/>
  <c r="AH235" i="1"/>
  <c r="AG235" i="1"/>
  <c r="AH331" i="1"/>
  <c r="AG331" i="1"/>
  <c r="AH403" i="1"/>
  <c r="AG403" i="1"/>
  <c r="BC8" i="1"/>
  <c r="BB8" i="1"/>
  <c r="BC55" i="1"/>
  <c r="BB55" i="1"/>
  <c r="BC127" i="1"/>
  <c r="BB127" i="1"/>
  <c r="BC160" i="1"/>
  <c r="BB160" i="1"/>
  <c r="BC172" i="1"/>
  <c r="BB172" i="1"/>
  <c r="BC184" i="1"/>
  <c r="BB184" i="1"/>
  <c r="BC232" i="1"/>
  <c r="BB232" i="1"/>
  <c r="BC292" i="1"/>
  <c r="BB292" i="1"/>
  <c r="BC304" i="1"/>
  <c r="BB304" i="1"/>
  <c r="BC316" i="1"/>
  <c r="BB316" i="1"/>
  <c r="BC328" i="1"/>
  <c r="BB328" i="1"/>
  <c r="BC364" i="1"/>
  <c r="BB364" i="1"/>
  <c r="BC376" i="1"/>
  <c r="BB376" i="1"/>
  <c r="BC400" i="1"/>
  <c r="BB400" i="1"/>
  <c r="BC412" i="1"/>
  <c r="BB412" i="1"/>
  <c r="BC424" i="1"/>
  <c r="BB424" i="1"/>
  <c r="AI74" i="1"/>
  <c r="AG74" i="1"/>
  <c r="AH86" i="1"/>
  <c r="AG86" i="1"/>
  <c r="AG167" i="1"/>
  <c r="AH203" i="1"/>
  <c r="AG203" i="1"/>
  <c r="AH215" i="1"/>
  <c r="AG215" i="1"/>
  <c r="AH251" i="1"/>
  <c r="AG251" i="1"/>
  <c r="AH263" i="1"/>
  <c r="AG263" i="1"/>
  <c r="AG287" i="1"/>
  <c r="AH299" i="1"/>
  <c r="AG299" i="1"/>
  <c r="AG311" i="1"/>
  <c r="AH335" i="1"/>
  <c r="AG335" i="1"/>
  <c r="AH347" i="1"/>
  <c r="AG347" i="1"/>
  <c r="AH359" i="1"/>
  <c r="AG359" i="1"/>
  <c r="AH371" i="1"/>
  <c r="AG371" i="1"/>
  <c r="AH383" i="1"/>
  <c r="AG383" i="1"/>
  <c r="AH395" i="1"/>
  <c r="AG395" i="1"/>
  <c r="AG407" i="1"/>
  <c r="AG419" i="1"/>
  <c r="AG431" i="1"/>
  <c r="AG443" i="1"/>
  <c r="AG455" i="1"/>
  <c r="BC27" i="1"/>
  <c r="BB27" i="1"/>
  <c r="BC203" i="1"/>
  <c r="BB203" i="1"/>
  <c r="BC287" i="1"/>
  <c r="BB287" i="1"/>
  <c r="BD287" i="1" s="1" a="1"/>
  <c r="BD287" i="1" s="1"/>
  <c r="BE287" i="1" s="1"/>
  <c r="BG287" i="1" s="1"/>
  <c r="AH150" i="1"/>
  <c r="AG150" i="1"/>
  <c r="AH210" i="1"/>
  <c r="AG210" i="1"/>
  <c r="AG222" i="1"/>
  <c r="AG258" i="1"/>
  <c r="AH450" i="1"/>
  <c r="AG450" i="1"/>
  <c r="BC87" i="1"/>
  <c r="BB87" i="1"/>
  <c r="BC372" i="1"/>
  <c r="BB372" i="1"/>
  <c r="BC408" i="1"/>
  <c r="BB408" i="1"/>
  <c r="AH22" i="1"/>
  <c r="AG22" i="1"/>
  <c r="AG223" i="1"/>
  <c r="AH307" i="1"/>
  <c r="AG307" i="1"/>
  <c r="AG415" i="1"/>
  <c r="BC9" i="1"/>
  <c r="BB9" i="1"/>
  <c r="BC80" i="1"/>
  <c r="BB80" i="1"/>
  <c r="BC149" i="1"/>
  <c r="BB149" i="1"/>
  <c r="BC161" i="1"/>
  <c r="BB161" i="1"/>
  <c r="BC185" i="1"/>
  <c r="BB185" i="1"/>
  <c r="BC197" i="1"/>
  <c r="BB197" i="1"/>
  <c r="BC221" i="1"/>
  <c r="BB221" i="1"/>
  <c r="BC281" i="1"/>
  <c r="BB281" i="1"/>
  <c r="BC305" i="1"/>
  <c r="BB305" i="1"/>
  <c r="BC329" i="1"/>
  <c r="BB329" i="1"/>
  <c r="BC353" i="1"/>
  <c r="BB353" i="1"/>
  <c r="BC377" i="1"/>
  <c r="BB377" i="1"/>
  <c r="BC389" i="1"/>
  <c r="BB389" i="1"/>
  <c r="BC401" i="1"/>
  <c r="BB401" i="1"/>
  <c r="BC449" i="1"/>
  <c r="BB449" i="1"/>
  <c r="AH27" i="1"/>
  <c r="AG27" i="1"/>
  <c r="AH50" i="1"/>
  <c r="AG50" i="1"/>
  <c r="AH75" i="1"/>
  <c r="AG75" i="1"/>
  <c r="AI75" i="1"/>
  <c r="AG87" i="1"/>
  <c r="AH99" i="1"/>
  <c r="AG99" i="1"/>
  <c r="AG111" i="1"/>
  <c r="AH123" i="1"/>
  <c r="AG123" i="1"/>
  <c r="AH144" i="1"/>
  <c r="AG144" i="1"/>
  <c r="AH168" i="1"/>
  <c r="AG168" i="1"/>
  <c r="AH180" i="1"/>
  <c r="AG180" i="1"/>
  <c r="AH192" i="1"/>
  <c r="AG192" i="1"/>
  <c r="AH204" i="1"/>
  <c r="AG204" i="1"/>
  <c r="AH216" i="1"/>
  <c r="AG216" i="1"/>
  <c r="AH228" i="1"/>
  <c r="AG228" i="1"/>
  <c r="AH252" i="1"/>
  <c r="AG252" i="1"/>
  <c r="AH276" i="1"/>
  <c r="AG276" i="1"/>
  <c r="AH288" i="1"/>
  <c r="AG288" i="1"/>
  <c r="AH300" i="1"/>
  <c r="AG300" i="1"/>
  <c r="AH312" i="1"/>
  <c r="AG312" i="1"/>
  <c r="AH336" i="1"/>
  <c r="AG336" i="1"/>
  <c r="AH348" i="1"/>
  <c r="AG348" i="1"/>
  <c r="AH360" i="1"/>
  <c r="AG360" i="1"/>
  <c r="AH372" i="1"/>
  <c r="AG372" i="1"/>
  <c r="AH384" i="1"/>
  <c r="AG384" i="1"/>
  <c r="AH396" i="1"/>
  <c r="AG396" i="1"/>
  <c r="AH420" i="1"/>
  <c r="AG420" i="1"/>
  <c r="AH444" i="1"/>
  <c r="AG444" i="1"/>
  <c r="BC239" i="1"/>
  <c r="BB239" i="1"/>
  <c r="BC383" i="1"/>
  <c r="BB383" i="1"/>
  <c r="BC419" i="1"/>
  <c r="BB419" i="1"/>
  <c r="AH9" i="1"/>
  <c r="AG9" i="1"/>
  <c r="AH129" i="1"/>
  <c r="AG129" i="1"/>
  <c r="AH306" i="1"/>
  <c r="AG306" i="1"/>
  <c r="AH426" i="1"/>
  <c r="AG426" i="1"/>
  <c r="BC336" i="1"/>
  <c r="BB336" i="1"/>
  <c r="AH70" i="1"/>
  <c r="AG70" i="1"/>
  <c r="AG391" i="1"/>
  <c r="BC117" i="1"/>
  <c r="BB117" i="1"/>
  <c r="BC138" i="1"/>
  <c r="BB138" i="1"/>
  <c r="BC162" i="1"/>
  <c r="BB162" i="1"/>
  <c r="BC258" i="1"/>
  <c r="BB258" i="1"/>
  <c r="BC306" i="1"/>
  <c r="BB306" i="1"/>
  <c r="BC318" i="1"/>
  <c r="BB318" i="1"/>
  <c r="BC438" i="1"/>
  <c r="BB438" i="1"/>
  <c r="AG51" i="1"/>
  <c r="AG64" i="1"/>
  <c r="AG76" i="1"/>
  <c r="AG88" i="1"/>
  <c r="AH100" i="1"/>
  <c r="AG100" i="1"/>
  <c r="AH112" i="1"/>
  <c r="AG112" i="1"/>
  <c r="AG124" i="1"/>
  <c r="AH135" i="1"/>
  <c r="AG135" i="1"/>
  <c r="AH145" i="1"/>
  <c r="AG145" i="1"/>
  <c r="AG169" i="1"/>
  <c r="AG181" i="1"/>
  <c r="AH205" i="1"/>
  <c r="AG205" i="1"/>
  <c r="AH217" i="1"/>
  <c r="AG217" i="1"/>
  <c r="AG229" i="1"/>
  <c r="AG265" i="1"/>
  <c r="AH289" i="1"/>
  <c r="AG289" i="1"/>
  <c r="AG313" i="1"/>
  <c r="AH325" i="1"/>
  <c r="AG325" i="1"/>
  <c r="AH337" i="1"/>
  <c r="AG337" i="1"/>
  <c r="AG361" i="1"/>
  <c r="AG373" i="1"/>
  <c r="AH385" i="1"/>
  <c r="AG385" i="1"/>
  <c r="AH397" i="1"/>
  <c r="AG397" i="1"/>
  <c r="AG409" i="1"/>
  <c r="AG421" i="1"/>
  <c r="AG433" i="1"/>
  <c r="AG445" i="1"/>
  <c r="BC275" i="1"/>
  <c r="BB275" i="1"/>
  <c r="AH57" i="1"/>
  <c r="AG57" i="1"/>
  <c r="BC111" i="1"/>
  <c r="BB111" i="1"/>
  <c r="BC192" i="1"/>
  <c r="BB192" i="1"/>
  <c r="AH82" i="1"/>
  <c r="AG82" i="1"/>
  <c r="AG427" i="1"/>
  <c r="BC11" i="1"/>
  <c r="BB11" i="1"/>
  <c r="BC23" i="1"/>
  <c r="BB23" i="1"/>
  <c r="BC58" i="1"/>
  <c r="BB58" i="1"/>
  <c r="BC82" i="1"/>
  <c r="BB82" i="1"/>
  <c r="BC151" i="1"/>
  <c r="BB151" i="1"/>
  <c r="BC163" i="1"/>
  <c r="BB163" i="1"/>
  <c r="BC187" i="1"/>
  <c r="BB187" i="1"/>
  <c r="BC319" i="1"/>
  <c r="BB319" i="1"/>
  <c r="BC331" i="1"/>
  <c r="BB331" i="1"/>
  <c r="BC343" i="1"/>
  <c r="BB343" i="1"/>
  <c r="BC355" i="1"/>
  <c r="BB355" i="1"/>
  <c r="BC415" i="1"/>
  <c r="BB415" i="1"/>
  <c r="AH5" i="1"/>
  <c r="AI5" i="1"/>
  <c r="AG5" i="1"/>
  <c r="AH52" i="1"/>
  <c r="AG52" i="1"/>
  <c r="AH77" i="1"/>
  <c r="AG77" i="1"/>
  <c r="AH89" i="1"/>
  <c r="AG89" i="1"/>
  <c r="AH101" i="1"/>
  <c r="AG101" i="1"/>
  <c r="AH146" i="1"/>
  <c r="AG146" i="1"/>
  <c r="AH158" i="1"/>
  <c r="AG158" i="1"/>
  <c r="AG182" i="1"/>
  <c r="AH194" i="1"/>
  <c r="AG194" i="1"/>
  <c r="AH206" i="1"/>
  <c r="AG206" i="1"/>
  <c r="AH230" i="1"/>
  <c r="AG230" i="1"/>
  <c r="AG242" i="1"/>
  <c r="AH254" i="1"/>
  <c r="AG254" i="1"/>
  <c r="AH290" i="1"/>
  <c r="AG290" i="1"/>
  <c r="AH326" i="1"/>
  <c r="AG326" i="1"/>
  <c r="AH350" i="1"/>
  <c r="AG350" i="1"/>
  <c r="AH398" i="1"/>
  <c r="AG398" i="1"/>
  <c r="AG410" i="1"/>
  <c r="AG422" i="1"/>
  <c r="AG434" i="1"/>
  <c r="AH446" i="1"/>
  <c r="AG446" i="1"/>
  <c r="AH458" i="1"/>
  <c r="AG458" i="1"/>
  <c r="BC311" i="1"/>
  <c r="BB311" i="1"/>
  <c r="AH174" i="1"/>
  <c r="AG174" i="1"/>
  <c r="AH414" i="1"/>
  <c r="AG414" i="1"/>
  <c r="BC156" i="1"/>
  <c r="BB156" i="1"/>
  <c r="AH211" i="1"/>
  <c r="AG211" i="1"/>
  <c r="AH283" i="1"/>
  <c r="AG283" i="1"/>
  <c r="AG439" i="1"/>
  <c r="BC12" i="1"/>
  <c r="BB12" i="1"/>
  <c r="BC59" i="1"/>
  <c r="BB59" i="1"/>
  <c r="BC71" i="1"/>
  <c r="BB71" i="1"/>
  <c r="BC119" i="1"/>
  <c r="BB119" i="1"/>
  <c r="BC140" i="1"/>
  <c r="BB140" i="1"/>
  <c r="BC176" i="1"/>
  <c r="BB176" i="1"/>
  <c r="BC212" i="1"/>
  <c r="BB212" i="1"/>
  <c r="BC260" i="1"/>
  <c r="BB260" i="1"/>
  <c r="BC344" i="1"/>
  <c r="BB344" i="1"/>
  <c r="BC368" i="1"/>
  <c r="BB368" i="1"/>
  <c r="BC392" i="1"/>
  <c r="BB392" i="1"/>
  <c r="BC404" i="1"/>
  <c r="BB404" i="1"/>
  <c r="BC452" i="1"/>
  <c r="BB452" i="1"/>
  <c r="AI6" i="1"/>
  <c r="AG6" i="1"/>
  <c r="AH66" i="1"/>
  <c r="AG66" i="1"/>
  <c r="AH78" i="1"/>
  <c r="AG78" i="1"/>
  <c r="AH90" i="1"/>
  <c r="AG90" i="1"/>
  <c r="AG147" i="1"/>
  <c r="AG159" i="1"/>
  <c r="AG195" i="1"/>
  <c r="AH207" i="1"/>
  <c r="AG207" i="1"/>
  <c r="AH243" i="1"/>
  <c r="AG243" i="1"/>
  <c r="AH255" i="1"/>
  <c r="AG255" i="1"/>
  <c r="AG267" i="1"/>
  <c r="AG291" i="1"/>
  <c r="AH315" i="1"/>
  <c r="AG315" i="1"/>
  <c r="AH327" i="1"/>
  <c r="AG327" i="1"/>
  <c r="AH339" i="1"/>
  <c r="AG339" i="1"/>
  <c r="AH363" i="1"/>
  <c r="AG363" i="1"/>
  <c r="AH375" i="1"/>
  <c r="AG375" i="1"/>
  <c r="AH387" i="1"/>
  <c r="AG387" i="1"/>
  <c r="AH399" i="1"/>
  <c r="AG399" i="1"/>
  <c r="AG411" i="1"/>
  <c r="AG423" i="1"/>
  <c r="AG435" i="1"/>
  <c r="AG447" i="1"/>
  <c r="AH459" i="1"/>
  <c r="AG459" i="1"/>
  <c r="BC407" i="1"/>
  <c r="BB407" i="1"/>
  <c r="BC443" i="1"/>
  <c r="BB443" i="1"/>
  <c r="AH390" i="1"/>
  <c r="AG390" i="1"/>
  <c r="AG139" i="1"/>
  <c r="AH187" i="1"/>
  <c r="AG187" i="1"/>
  <c r="AH247" i="1"/>
  <c r="AG247" i="1"/>
  <c r="AH319" i="1"/>
  <c r="AG319" i="1"/>
  <c r="AH379" i="1"/>
  <c r="AG379" i="1"/>
  <c r="BC13" i="1"/>
  <c r="BB13" i="1"/>
  <c r="BC47" i="1"/>
  <c r="BB47" i="1"/>
  <c r="BC72" i="1"/>
  <c r="BB72" i="1"/>
  <c r="BC141" i="1"/>
  <c r="BB141" i="1"/>
  <c r="BC177" i="1"/>
  <c r="BB177" i="1"/>
  <c r="BC285" i="1"/>
  <c r="BB285" i="1"/>
  <c r="BC309" i="1"/>
  <c r="BB309" i="1"/>
  <c r="BC321" i="1"/>
  <c r="BB321" i="1"/>
  <c r="BC405" i="1"/>
  <c r="BB405" i="1"/>
  <c r="BC429" i="1"/>
  <c r="BB429" i="1"/>
  <c r="BC453" i="1"/>
  <c r="BB453" i="1"/>
  <c r="AG19" i="1"/>
  <c r="AH41" i="1"/>
  <c r="AG41" i="1"/>
  <c r="AH67" i="1"/>
  <c r="AG67" i="1"/>
  <c r="AH91" i="1"/>
  <c r="AG91" i="1"/>
  <c r="AG103" i="1"/>
  <c r="AH115" i="1"/>
  <c r="AG115" i="1"/>
  <c r="AH172" i="1"/>
  <c r="AG172" i="1"/>
  <c r="AH184" i="1"/>
  <c r="AG184" i="1"/>
  <c r="AH196" i="1"/>
  <c r="AG196" i="1"/>
  <c r="AH232" i="1"/>
  <c r="AG232" i="1"/>
  <c r="AH256" i="1"/>
  <c r="AG256" i="1"/>
  <c r="AH268" i="1"/>
  <c r="AG268" i="1"/>
  <c r="AH280" i="1"/>
  <c r="AG280" i="1"/>
  <c r="AH304" i="1"/>
  <c r="AG304" i="1"/>
  <c r="AH316" i="1"/>
  <c r="AG316" i="1"/>
  <c r="AH328" i="1"/>
  <c r="AG328" i="1"/>
  <c r="AH340" i="1"/>
  <c r="AG340" i="1"/>
  <c r="AH352" i="1"/>
  <c r="AG352" i="1"/>
  <c r="AH364" i="1"/>
  <c r="AG364" i="1"/>
  <c r="AH376" i="1"/>
  <c r="AG376" i="1"/>
  <c r="AH388" i="1"/>
  <c r="AG388" i="1"/>
  <c r="AH412" i="1"/>
  <c r="AG412" i="1"/>
  <c r="AH460" i="1"/>
  <c r="AG460" i="1"/>
  <c r="AE141" i="1"/>
  <c r="BC433" i="1"/>
  <c r="BD433" i="1" s="1" a="1"/>
  <c r="BD433" i="1" s="1"/>
  <c r="BE433" i="1" s="1"/>
  <c r="BG433" i="1" s="1"/>
  <c r="AE88" i="1"/>
  <c r="AE135" i="1"/>
  <c r="AE21" i="1"/>
  <c r="AE15" i="1"/>
  <c r="AE10" i="1"/>
  <c r="AE99" i="1"/>
  <c r="S204" i="1"/>
  <c r="AE92" i="1"/>
  <c r="AE4" i="1"/>
  <c r="AE76" i="1"/>
  <c r="AE132" i="1"/>
  <c r="AE145" i="1"/>
  <c r="AE84" i="1"/>
  <c r="AE189" i="1"/>
  <c r="AE72" i="1"/>
  <c r="AE96" i="1"/>
  <c r="AE229" i="1"/>
  <c r="AE112" i="1"/>
  <c r="AE245" i="1"/>
  <c r="AE159" i="1"/>
  <c r="S248" i="1"/>
  <c r="AE62" i="1"/>
  <c r="AE8" i="1"/>
  <c r="S347" i="1"/>
  <c r="AE82" i="1"/>
  <c r="S197" i="1"/>
  <c r="AE5" i="1"/>
  <c r="AE131" i="1"/>
  <c r="AE153" i="1"/>
  <c r="AE299" i="1"/>
  <c r="S241" i="1"/>
  <c r="AE118" i="1"/>
  <c r="AE443" i="1"/>
  <c r="BC182" i="1"/>
  <c r="BD182" i="1" s="1" a="1"/>
  <c r="BD182" i="1" s="1"/>
  <c r="BE182" i="1" s="1"/>
  <c r="BG182" i="1" s="1"/>
  <c r="AE45" i="1"/>
  <c r="AE100" i="1"/>
  <c r="S134" i="1"/>
  <c r="AE147" i="1"/>
  <c r="AE323" i="1"/>
  <c r="S161" i="1"/>
  <c r="AE137" i="1"/>
  <c r="AE179" i="1"/>
  <c r="AE108" i="1"/>
  <c r="S433" i="1"/>
  <c r="S20" i="1"/>
  <c r="S200" i="1"/>
  <c r="S3" i="1"/>
  <c r="S198" i="1"/>
  <c r="BC145" i="1"/>
  <c r="BD145" i="1" s="1" a="1"/>
  <c r="BD145" i="1" s="1"/>
  <c r="BE145" i="1" s="1"/>
  <c r="BG145" i="1" s="1"/>
  <c r="AH249" i="1"/>
  <c r="AI249" i="1" s="1"/>
  <c r="AE83" i="1"/>
  <c r="AE89" i="1"/>
  <c r="AE22" i="1"/>
  <c r="AE48" i="1"/>
  <c r="AE301" i="1"/>
  <c r="AE339" i="1"/>
  <c r="S174" i="1"/>
  <c r="AE344" i="1"/>
  <c r="AE455" i="1"/>
  <c r="AE165" i="1"/>
  <c r="S320" i="1"/>
  <c r="BC379" i="1"/>
  <c r="BD379" i="1" s="1" a="1"/>
  <c r="BD379" i="1" s="1"/>
  <c r="BE379" i="1" s="1"/>
  <c r="BG379" i="1" s="1"/>
  <c r="AE52" i="1"/>
  <c r="AE71" i="1"/>
  <c r="AE164" i="1"/>
  <c r="AE210" i="1"/>
  <c r="AE18" i="1"/>
  <c r="AE65" i="1"/>
  <c r="AE140" i="1"/>
  <c r="AE171" i="1"/>
  <c r="AE291" i="1"/>
  <c r="AE371" i="1"/>
  <c r="S227" i="1"/>
  <c r="S150" i="1"/>
  <c r="AE6" i="1"/>
  <c r="AE61" i="1"/>
  <c r="AE103" i="1"/>
  <c r="AE186" i="1"/>
  <c r="AE206" i="1"/>
  <c r="AE212" i="1"/>
  <c r="AE279" i="1"/>
  <c r="AE404" i="1"/>
  <c r="S324" i="1"/>
  <c r="AE93" i="1"/>
  <c r="AE308" i="1"/>
  <c r="AE105" i="1"/>
  <c r="AE124" i="1"/>
  <c r="AE138" i="1"/>
  <c r="AE156" i="1"/>
  <c r="AE252" i="1"/>
  <c r="AE289" i="1"/>
  <c r="S260" i="1"/>
  <c r="S180" i="1"/>
  <c r="BC270" i="1"/>
  <c r="BD270" i="1" s="1" a="1"/>
  <c r="BD270" i="1" s="1"/>
  <c r="BE270" i="1" s="1"/>
  <c r="BG270" i="1" s="1"/>
  <c r="AE196" i="1"/>
  <c r="AE276" i="1"/>
  <c r="AE332" i="1"/>
  <c r="S452" i="1"/>
  <c r="S19" i="1"/>
  <c r="BC186" i="1"/>
  <c r="BD186" i="1" s="1" a="1"/>
  <c r="BD186" i="1" s="1"/>
  <c r="BE186" i="1" s="1"/>
  <c r="BG186" i="1" s="1"/>
  <c r="BC224" i="1"/>
  <c r="BD224" i="1" s="1" a="1"/>
  <c r="BD224" i="1" s="1"/>
  <c r="BE224" i="1" s="1"/>
  <c r="BG224" i="1" s="1"/>
  <c r="AE152" i="1"/>
  <c r="AE336" i="1"/>
  <c r="AE416" i="1"/>
  <c r="S272" i="1"/>
  <c r="S216" i="1"/>
  <c r="AE168" i="1"/>
  <c r="AE192" i="1"/>
  <c r="AE224" i="1"/>
  <c r="AH103" i="1"/>
  <c r="AE115" i="1"/>
  <c r="AE50" i="1"/>
  <c r="AE144" i="1"/>
  <c r="AE240" i="1"/>
  <c r="AE12" i="1"/>
  <c r="S312" i="1"/>
  <c r="AE11" i="1"/>
  <c r="AE160" i="1"/>
  <c r="AE288" i="1"/>
  <c r="AE368" i="1"/>
  <c r="S392" i="1"/>
  <c r="S305" i="1"/>
  <c r="AE68" i="1"/>
  <c r="AE78" i="1"/>
  <c r="AE116" i="1"/>
  <c r="AE177" i="1"/>
  <c r="AE428" i="1"/>
  <c r="S296" i="1"/>
  <c r="S228" i="1"/>
  <c r="S193" i="1"/>
  <c r="AH285" i="1"/>
  <c r="AE67" i="1"/>
  <c r="AE176" i="1"/>
  <c r="AE184" i="1"/>
  <c r="AE328" i="1"/>
  <c r="AE59" i="1"/>
  <c r="AE91" i="1"/>
  <c r="AE101" i="1"/>
  <c r="S360" i="1"/>
  <c r="AE16" i="1"/>
  <c r="AE9" i="1"/>
  <c r="AE75" i="1"/>
  <c r="AE107" i="1"/>
  <c r="AE123" i="1"/>
  <c r="AE129" i="1"/>
  <c r="AE162" i="1"/>
  <c r="AE236" i="1"/>
  <c r="AE255" i="1"/>
  <c r="AE356" i="1"/>
  <c r="AH437" i="1"/>
  <c r="AE41" i="1"/>
  <c r="AE55" i="1"/>
  <c r="AE119" i="1"/>
  <c r="AE167" i="1"/>
  <c r="AE172" i="1"/>
  <c r="AE419" i="1"/>
  <c r="S359" i="1"/>
  <c r="S251" i="1"/>
  <c r="AE98" i="1"/>
  <c r="AE102" i="1"/>
  <c r="AE136" i="1"/>
  <c r="AE148" i="1"/>
  <c r="AE56" i="1"/>
  <c r="AE73" i="1"/>
  <c r="AE77" i="1"/>
  <c r="AE90" i="1"/>
  <c r="AE94" i="1"/>
  <c r="AE120" i="1"/>
  <c r="AE130" i="1"/>
  <c r="AE215" i="1"/>
  <c r="AE239" i="1"/>
  <c r="AE284" i="1"/>
  <c r="AE343" i="1"/>
  <c r="AE348" i="1"/>
  <c r="AE361" i="1"/>
  <c r="AE387" i="1"/>
  <c r="AE407" i="1"/>
  <c r="S395" i="1"/>
  <c r="S311" i="1"/>
  <c r="S188" i="1"/>
  <c r="S155" i="1"/>
  <c r="S14" i="1"/>
  <c r="AH177" i="1"/>
  <c r="AI177" i="1" s="1"/>
  <c r="AE74" i="1"/>
  <c r="AE95" i="1"/>
  <c r="AE195" i="1"/>
  <c r="AE275" i="1"/>
  <c r="S383" i="1"/>
  <c r="S341" i="1"/>
  <c r="S203" i="1"/>
  <c r="BC214" i="1"/>
  <c r="BD214" i="1" s="1" a="1"/>
  <c r="BD214" i="1" s="1"/>
  <c r="BE214" i="1" s="1"/>
  <c r="BG214" i="1" s="1"/>
  <c r="AH277" i="1"/>
  <c r="AI277" i="1" s="1"/>
  <c r="AE23" i="1"/>
  <c r="AE17" i="1"/>
  <c r="AE66" i="1"/>
  <c r="AE80" i="1"/>
  <c r="AE127" i="1"/>
  <c r="AE263" i="1"/>
  <c r="AE444" i="1"/>
  <c r="AE451" i="1"/>
  <c r="S372" i="1"/>
  <c r="S335" i="1"/>
  <c r="BC269" i="1"/>
  <c r="BD269" i="1" s="1" a="1"/>
  <c r="BD269" i="1" s="1"/>
  <c r="BE269" i="1" s="1"/>
  <c r="BG269" i="1" s="1"/>
  <c r="BC391" i="1"/>
  <c r="BD391" i="1" s="1" a="1"/>
  <c r="BD391" i="1" s="1"/>
  <c r="BE391" i="1" s="1"/>
  <c r="BG391" i="1" s="1"/>
  <c r="AE49" i="1"/>
  <c r="AE114" i="1"/>
  <c r="AE247" i="1"/>
  <c r="AE287" i="1"/>
  <c r="S431" i="1"/>
  <c r="AE191" i="1"/>
  <c r="AE271" i="1"/>
  <c r="S295" i="1"/>
  <c r="AE106" i="1"/>
  <c r="AE231" i="1"/>
  <c r="AE243" i="1"/>
  <c r="AE253" i="1"/>
  <c r="AE277" i="1"/>
  <c r="AE283" i="1"/>
  <c r="AE64" i="1"/>
  <c r="AE111" i="1"/>
  <c r="AE139" i="1"/>
  <c r="AE158" i="1"/>
  <c r="AE183" i="1"/>
  <c r="AE220" i="1"/>
  <c r="AE300" i="1"/>
  <c r="AE331" i="1"/>
  <c r="AE380" i="1"/>
  <c r="AE427" i="1"/>
  <c r="AH51" i="1"/>
  <c r="AH245" i="1"/>
  <c r="AH296" i="1"/>
  <c r="AI296" i="1" s="1"/>
  <c r="AE24" i="1"/>
  <c r="AK24" i="1" s="1"/>
  <c r="AE315" i="1"/>
  <c r="BC403" i="1"/>
  <c r="BD403" i="1" s="1" a="1"/>
  <c r="BD403" i="1" s="1"/>
  <c r="BE403" i="1" s="1"/>
  <c r="BG403" i="1" s="1"/>
  <c r="BC457" i="1"/>
  <c r="BD457" i="1" s="1" a="1"/>
  <c r="BD457" i="1" s="1"/>
  <c r="BE457" i="1" s="1"/>
  <c r="BG457" i="1" s="1"/>
  <c r="AH438" i="1"/>
  <c r="AE207" i="1"/>
  <c r="AE265" i="1"/>
  <c r="AE418" i="1"/>
  <c r="S420" i="1"/>
  <c r="BC251" i="1"/>
  <c r="BD251" i="1" s="1" a="1"/>
  <c r="BD251" i="1" s="1"/>
  <c r="BE251" i="1" s="1"/>
  <c r="BG251" i="1" s="1"/>
  <c r="AE217" i="1"/>
  <c r="AE234" i="1"/>
  <c r="AE319" i="1"/>
  <c r="AE327" i="1"/>
  <c r="S397" i="1"/>
  <c r="BC146" i="1"/>
  <c r="BD146" i="1" s="1" a="1"/>
  <c r="BD146" i="1" s="1"/>
  <c r="BE146" i="1" s="1"/>
  <c r="BG146" i="1" s="1"/>
  <c r="AE363" i="1"/>
  <c r="BC10" i="1"/>
  <c r="BD10" i="1" s="1" a="1"/>
  <c r="BD10" i="1" s="1"/>
  <c r="BE10" i="1" s="1"/>
  <c r="BG10" i="1" s="1"/>
  <c r="BC266" i="1"/>
  <c r="BD266" i="1" s="1" a="1"/>
  <c r="BD266" i="1" s="1"/>
  <c r="BE266" i="1" s="1"/>
  <c r="BG266" i="1" s="1"/>
  <c r="AH411" i="1"/>
  <c r="AE219" i="1"/>
  <c r="AE432" i="1"/>
  <c r="S388" i="1"/>
  <c r="S329" i="1"/>
  <c r="S169" i="1"/>
  <c r="S97" i="1"/>
  <c r="BC190" i="1"/>
  <c r="BD190" i="1" s="1" a="1"/>
  <c r="BD190" i="1" s="1"/>
  <c r="BE190" i="1" s="1"/>
  <c r="BG190" i="1" s="1"/>
  <c r="S435" i="1"/>
  <c r="AE185" i="1"/>
  <c r="AE365" i="1"/>
  <c r="S257" i="1"/>
  <c r="BC223" i="1"/>
  <c r="BD223" i="1" s="1" a="1"/>
  <c r="BD223" i="1" s="1"/>
  <c r="BE223" i="1" s="1"/>
  <c r="BG223" i="1" s="1"/>
  <c r="BC381" i="1"/>
  <c r="BD381" i="1" s="1" a="1"/>
  <c r="BD381" i="1" s="1"/>
  <c r="BE381" i="1" s="1"/>
  <c r="BG381" i="1" s="1"/>
  <c r="BC399" i="1"/>
  <c r="BD399" i="1" s="1" a="1"/>
  <c r="BD399" i="1" s="1"/>
  <c r="BE399" i="1" s="1"/>
  <c r="BG399" i="1" s="1"/>
  <c r="BC427" i="1"/>
  <c r="BD427" i="1" s="1" a="1"/>
  <c r="BD427" i="1" s="1"/>
  <c r="BE427" i="1" s="1"/>
  <c r="BG427" i="1" s="1"/>
  <c r="AH287" i="1"/>
  <c r="AE278" i="1"/>
  <c r="AE350" i="1"/>
  <c r="AE401" i="1"/>
  <c r="AE173" i="1"/>
  <c r="AE194" i="1"/>
  <c r="AE437" i="1"/>
  <c r="S209" i="1"/>
  <c r="BC44" i="1"/>
  <c r="BD44" i="1" s="1" a="1"/>
  <c r="BD44" i="1" s="1"/>
  <c r="BE44" i="1" s="1"/>
  <c r="BG44" i="1" s="1"/>
  <c r="BC64" i="1"/>
  <c r="BD64" i="1" s="1" a="1"/>
  <c r="BD64" i="1" s="1"/>
  <c r="BE64" i="1" s="1"/>
  <c r="BG64" i="1" s="1"/>
  <c r="BD401" i="1" a="1"/>
  <c r="BD401" i="1" s="1"/>
  <c r="BE401" i="1" s="1"/>
  <c r="BG401" i="1" s="1"/>
  <c r="AH248" i="1"/>
  <c r="AE146" i="1"/>
  <c r="AE377" i="1"/>
  <c r="S389" i="1"/>
  <c r="S353" i="1"/>
  <c r="S317" i="1"/>
  <c r="BC148" i="1"/>
  <c r="BD148" i="1" s="1" a="1"/>
  <c r="BD148" i="1" s="1"/>
  <c r="BE148" i="1" s="1"/>
  <c r="BG148" i="1" s="1"/>
  <c r="BC225" i="1"/>
  <c r="BD225" i="1" s="1" a="1"/>
  <c r="BD225" i="1" s="1"/>
  <c r="BE225" i="1" s="1"/>
  <c r="BG225" i="1" s="1"/>
  <c r="BC277" i="1"/>
  <c r="BD277" i="1" s="1" a="1"/>
  <c r="BD277" i="1" s="1"/>
  <c r="BE277" i="1" s="1"/>
  <c r="BG277" i="1" s="1"/>
  <c r="AH433" i="1"/>
  <c r="AE233" i="1"/>
  <c r="AE413" i="1"/>
  <c r="S281" i="1"/>
  <c r="AE182" i="1"/>
  <c r="AE266" i="1"/>
  <c r="AE422" i="1"/>
  <c r="AE125" i="1"/>
  <c r="AE51" i="1"/>
  <c r="AE113" i="1"/>
  <c r="AE218" i="1"/>
  <c r="AE338" i="1"/>
  <c r="AE362" i="1"/>
  <c r="AE379" i="1"/>
  <c r="AE396" i="1"/>
  <c r="AE440" i="1"/>
  <c r="S384" i="1"/>
  <c r="BC135" i="1"/>
  <c r="BD135" i="1" s="1" a="1"/>
  <c r="BD135" i="1" s="1"/>
  <c r="BE135" i="1" s="1"/>
  <c r="BG135" i="1" s="1"/>
  <c r="BC150" i="1"/>
  <c r="BD150" i="1" s="1" a="1"/>
  <c r="BD150" i="1" s="1"/>
  <c r="BE150" i="1" s="1"/>
  <c r="BG150" i="1" s="1"/>
  <c r="BC170" i="1"/>
  <c r="BD170" i="1" s="1" a="1"/>
  <c r="BD170" i="1" s="1"/>
  <c r="BE170" i="1" s="1"/>
  <c r="BG170" i="1" s="1"/>
  <c r="BC314" i="1"/>
  <c r="BD314" i="1" s="1" a="1"/>
  <c r="BD314" i="1" s="1"/>
  <c r="BE314" i="1" s="1"/>
  <c r="BG314" i="1" s="1"/>
  <c r="AH293" i="1"/>
  <c r="AI293" i="1" s="1"/>
  <c r="AH358" i="1"/>
  <c r="AE149" i="1"/>
  <c r="AE269" i="1"/>
  <c r="AE398" i="1"/>
  <c r="AE425" i="1"/>
  <c r="S412" i="1"/>
  <c r="BC49" i="1"/>
  <c r="BD49" i="1" s="1" a="1"/>
  <c r="BD49" i="1" s="1"/>
  <c r="BE49" i="1" s="1"/>
  <c r="BG49" i="1" s="1"/>
  <c r="BC211" i="1"/>
  <c r="BD211" i="1" s="1" a="1"/>
  <c r="BD211" i="1" s="1"/>
  <c r="BE211" i="1" s="1"/>
  <c r="BG211" i="1" s="1"/>
  <c r="AE154" i="1"/>
  <c r="AE214" i="1"/>
  <c r="AE7" i="1"/>
  <c r="AE44" i="1"/>
  <c r="AE69" i="1"/>
  <c r="AE85" i="1"/>
  <c r="AE109" i="1"/>
  <c r="AE133" i="1"/>
  <c r="AE337" i="1"/>
  <c r="AE439" i="1"/>
  <c r="S409" i="1"/>
  <c r="AE201" i="1"/>
  <c r="AE221" i="1"/>
  <c r="AE235" i="1"/>
  <c r="AE250" i="1"/>
  <c r="AE264" i="1"/>
  <c r="AE286" i="1"/>
  <c r="AE293" i="1"/>
  <c r="AE367" i="1"/>
  <c r="AE374" i="1"/>
  <c r="AE408" i="1"/>
  <c r="AE448" i="1"/>
  <c r="S349" i="1"/>
  <c r="BC137" i="1"/>
  <c r="BC205" i="1"/>
  <c r="BD205" i="1" s="1" a="1"/>
  <c r="BD205" i="1" s="1"/>
  <c r="BE205" i="1" s="1"/>
  <c r="BG205" i="1" s="1"/>
  <c r="BC395" i="1"/>
  <c r="BD395" i="1" s="1" a="1"/>
  <c r="BD395" i="1" s="1"/>
  <c r="BE395" i="1" s="1"/>
  <c r="BG395" i="1" s="1"/>
  <c r="BC409" i="1"/>
  <c r="BD409" i="1" s="1" a="1"/>
  <c r="BD409" i="1" s="1"/>
  <c r="BE409" i="1" s="1"/>
  <c r="BG409" i="1" s="1"/>
  <c r="AH208" i="1"/>
  <c r="AH274" i="1"/>
  <c r="AI274" i="1" s="1"/>
  <c r="AH362" i="1"/>
  <c r="AI362" i="1" s="1"/>
  <c r="AH425" i="1"/>
  <c r="AH434" i="1"/>
  <c r="AH443" i="1"/>
  <c r="S166" i="1"/>
  <c r="AE202" i="1"/>
  <c r="AE310" i="1"/>
  <c r="AE346" i="1"/>
  <c r="AE170" i="1"/>
  <c r="AE223" i="1"/>
  <c r="AE259" i="1"/>
  <c r="AE302" i="1"/>
  <c r="AE325" i="1"/>
  <c r="S313" i="1"/>
  <c r="S205" i="1"/>
  <c r="S181" i="1"/>
  <c r="BC75" i="1"/>
  <c r="BD75" i="1" s="1" a="1"/>
  <c r="BD75" i="1" s="1"/>
  <c r="BE75" i="1" s="1"/>
  <c r="BG75" i="1" s="1"/>
  <c r="BC139" i="1"/>
  <c r="BD139" i="1" s="1" a="1"/>
  <c r="BD139" i="1" s="1"/>
  <c r="BE139" i="1" s="1"/>
  <c r="BG139" i="1" s="1"/>
  <c r="BC199" i="1"/>
  <c r="BD199" i="1" s="1" a="1"/>
  <c r="BD199" i="1" s="1"/>
  <c r="BE199" i="1" s="1"/>
  <c r="BG199" i="1" s="1"/>
  <c r="BC271" i="1"/>
  <c r="BD271" i="1" s="1" a="1"/>
  <c r="BD271" i="1" s="1"/>
  <c r="BE271" i="1" s="1"/>
  <c r="BG271" i="1" s="1"/>
  <c r="AH266" i="1"/>
  <c r="AI266" i="1" s="1"/>
  <c r="AH409" i="1"/>
  <c r="AH456" i="1"/>
  <c r="AI456" i="1" s="1"/>
  <c r="S370" i="1"/>
  <c r="AE190" i="1"/>
  <c r="AE238" i="1"/>
  <c r="AE355" i="1"/>
  <c r="S457" i="1"/>
  <c r="S157" i="1"/>
  <c r="BC118" i="1"/>
  <c r="BD118" i="1" s="1" a="1"/>
  <c r="BD118" i="1" s="1"/>
  <c r="BE118" i="1" s="1"/>
  <c r="BG118" i="1" s="1"/>
  <c r="BC272" i="1"/>
  <c r="BD272" i="1" s="1" a="1"/>
  <c r="BD272" i="1" s="1"/>
  <c r="BE272" i="1" s="1"/>
  <c r="BG272" i="1" s="1"/>
  <c r="BC460" i="1"/>
  <c r="BD460" i="1" s="1" a="1"/>
  <c r="BD460" i="1" s="1"/>
  <c r="BE460" i="1" s="1"/>
  <c r="BG460" i="1" s="1"/>
  <c r="AH119" i="1"/>
  <c r="AH155" i="1"/>
  <c r="AI155" i="1" s="1"/>
  <c r="AH185" i="1"/>
  <c r="AI185" i="1" s="1"/>
  <c r="AH258" i="1"/>
  <c r="AH366" i="1"/>
  <c r="AI366" i="1" s="1"/>
  <c r="AH457" i="1"/>
  <c r="AI457" i="1" s="1"/>
  <c r="AE13" i="1"/>
  <c r="AE178" i="1"/>
  <c r="S394" i="1"/>
  <c r="AH55" i="1"/>
  <c r="AI55" i="1" s="1"/>
  <c r="AE298" i="1"/>
  <c r="AE421" i="1"/>
  <c r="S334" i="1"/>
  <c r="BC175" i="1"/>
  <c r="BD175" i="1" s="1" a="1"/>
  <c r="BD175" i="1" s="1"/>
  <c r="BE175" i="1" s="1"/>
  <c r="BG175" i="1" s="1"/>
  <c r="AE226" i="1"/>
  <c r="AE262" i="1"/>
  <c r="S449" i="1"/>
  <c r="BC60" i="1"/>
  <c r="BD60" i="1" s="1" a="1"/>
  <c r="BD60" i="1" s="1"/>
  <c r="BE60" i="1" s="1"/>
  <c r="BG60" i="1" s="1"/>
  <c r="BC78" i="1"/>
  <c r="BD78" i="1" s="1" a="1"/>
  <c r="BD78" i="1" s="1"/>
  <c r="BE78" i="1" s="1"/>
  <c r="BG78" i="1" s="1"/>
  <c r="BC413" i="1"/>
  <c r="BD413" i="1" s="1" a="1"/>
  <c r="BD413" i="1" s="1"/>
  <c r="BE413" i="1" s="1"/>
  <c r="BG413" i="1" s="1"/>
  <c r="AH157" i="1"/>
  <c r="AI157" i="1" s="1"/>
  <c r="AH422" i="1"/>
  <c r="AH432" i="1"/>
  <c r="AI432" i="1" s="1"/>
  <c r="AE322" i="1"/>
  <c r="AE430" i="1"/>
  <c r="S358" i="1"/>
  <c r="S274" i="1"/>
  <c r="AE79" i="1"/>
  <c r="AE121" i="1"/>
  <c r="AE142" i="1"/>
  <c r="AE352" i="1"/>
  <c r="S423" i="1"/>
  <c r="S280" i="1"/>
  <c r="BC25" i="1"/>
  <c r="BC208" i="1"/>
  <c r="BC255" i="1"/>
  <c r="AE244" i="1"/>
  <c r="AE292" i="1"/>
  <c r="S232" i="1"/>
  <c r="AE403" i="1"/>
  <c r="S403" i="1"/>
  <c r="S211" i="1"/>
  <c r="AE211" i="1"/>
  <c r="S175" i="1"/>
  <c r="AE175" i="1"/>
  <c r="S163" i="1"/>
  <c r="AE163" i="1"/>
  <c r="BC98" i="1"/>
  <c r="BC294" i="1"/>
  <c r="BC356" i="1"/>
  <c r="BC441" i="1"/>
  <c r="AH44" i="1"/>
  <c r="AI44" i="1" s="1"/>
  <c r="AH176" i="1"/>
  <c r="AI176" i="1" s="1"/>
  <c r="BC19" i="1"/>
  <c r="AH156" i="1"/>
  <c r="AI156" i="1" s="1"/>
  <c r="AE307" i="1"/>
  <c r="AE314" i="1"/>
  <c r="AE375" i="1"/>
  <c r="AE382" i="1"/>
  <c r="AE406" i="1"/>
  <c r="AE434" i="1"/>
  <c r="S438" i="1"/>
  <c r="S208" i="1"/>
  <c r="S187" i="1"/>
  <c r="S151" i="1"/>
  <c r="BC54" i="1"/>
  <c r="BD54" i="1" s="1" a="1"/>
  <c r="BD54" i="1" s="1"/>
  <c r="BE54" i="1" s="1"/>
  <c r="BG54" i="1" s="1"/>
  <c r="BC90" i="1"/>
  <c r="BD90" i="1" s="1" a="1"/>
  <c r="BD90" i="1" s="1"/>
  <c r="BE90" i="1" s="1"/>
  <c r="BG90" i="1" s="1"/>
  <c r="BC134" i="1"/>
  <c r="BD134" i="1" s="1" a="1"/>
  <c r="BD134" i="1" s="1"/>
  <c r="BE134" i="1" s="1"/>
  <c r="BG134" i="1" s="1"/>
  <c r="BC194" i="1"/>
  <c r="BD194" i="1" s="1" a="1"/>
  <c r="BD194" i="1" s="1"/>
  <c r="BE194" i="1" s="1"/>
  <c r="BG194" i="1" s="1"/>
  <c r="S340" i="1"/>
  <c r="AE340" i="1"/>
  <c r="AH148" i="1"/>
  <c r="AI148" i="1" s="1"/>
  <c r="AH351" i="1"/>
  <c r="AI351" i="1" s="1"/>
  <c r="AH413" i="1"/>
  <c r="AE376" i="1"/>
  <c r="AE460" i="1"/>
  <c r="S436" i="1"/>
  <c r="S399" i="1"/>
  <c r="AE399" i="1"/>
  <c r="S267" i="1"/>
  <c r="AE267" i="1"/>
  <c r="BC101" i="1"/>
  <c r="BC152" i="1"/>
  <c r="BC425" i="1"/>
  <c r="AH441" i="1"/>
  <c r="S326" i="1"/>
  <c r="AE326" i="1"/>
  <c r="S254" i="1"/>
  <c r="AE254" i="1"/>
  <c r="S230" i="1"/>
  <c r="AE230" i="1"/>
  <c r="BC180" i="1"/>
  <c r="BC230" i="1"/>
  <c r="AE268" i="1"/>
  <c r="AE316" i="1"/>
  <c r="S222" i="1"/>
  <c r="AE445" i="1"/>
  <c r="S445" i="1"/>
  <c r="S385" i="1"/>
  <c r="AE385" i="1"/>
  <c r="S373" i="1"/>
  <c r="AE373" i="1"/>
  <c r="BC15" i="1"/>
  <c r="BC416" i="1"/>
  <c r="AE303" i="1"/>
  <c r="AE330" i="1"/>
  <c r="AE364" i="1"/>
  <c r="AH14" i="1"/>
  <c r="AI14" i="1" s="1"/>
  <c r="AE242" i="1"/>
  <c r="AE290" i="1"/>
  <c r="AE351" i="1"/>
  <c r="AE386" i="1"/>
  <c r="AE424" i="1"/>
  <c r="AE454" i="1"/>
  <c r="S199" i="1"/>
  <c r="BC114" i="1"/>
  <c r="BD114" i="1" s="1" a="1"/>
  <c r="BD114" i="1" s="1"/>
  <c r="BE114" i="1" s="1"/>
  <c r="BG114" i="1" s="1"/>
  <c r="BC136" i="1"/>
  <c r="BD136" i="1" s="1" a="1"/>
  <c r="BD136" i="1" s="1"/>
  <c r="BE136" i="1" s="1"/>
  <c r="BG136" i="1" s="1"/>
  <c r="BC173" i="1"/>
  <c r="BC374" i="1"/>
  <c r="AE256" i="1"/>
  <c r="AE304" i="1"/>
  <c r="S442" i="1"/>
  <c r="AE442" i="1"/>
  <c r="BC263" i="1"/>
  <c r="BC365" i="1"/>
  <c r="AH436" i="1"/>
  <c r="AI436" i="1" s="1"/>
  <c r="BC122" i="1"/>
  <c r="BD122" i="1" s="1" a="1"/>
  <c r="BD122" i="1" s="1"/>
  <c r="BE122" i="1" s="1"/>
  <c r="BG122" i="1" s="1"/>
  <c r="BD156" i="1" a="1"/>
  <c r="BD156" i="1" s="1"/>
  <c r="BE156" i="1" s="1"/>
  <c r="BG156" i="1" s="1"/>
  <c r="BC183" i="1"/>
  <c r="BD183" i="1" s="1" a="1"/>
  <c r="BD183" i="1" s="1"/>
  <c r="BE183" i="1" s="1"/>
  <c r="BG183" i="1" s="1"/>
  <c r="BC235" i="1"/>
  <c r="BD235" i="1" s="1" a="1"/>
  <c r="BD235" i="1" s="1"/>
  <c r="BE235" i="1" s="1"/>
  <c r="BG235" i="1" s="1"/>
  <c r="BC437" i="1"/>
  <c r="BD437" i="1" s="1" a="1"/>
  <c r="BD437" i="1" s="1"/>
  <c r="BE437" i="1" s="1"/>
  <c r="BG437" i="1" s="1"/>
  <c r="AH165" i="1"/>
  <c r="AI165" i="1" s="1"/>
  <c r="AH408" i="1"/>
  <c r="AI408" i="1" s="1"/>
  <c r="BC20" i="1"/>
  <c r="BD20" i="1" s="1" a="1"/>
  <c r="BD20" i="1" s="1"/>
  <c r="BE20" i="1" s="1"/>
  <c r="BG20" i="1" s="1"/>
  <c r="BD74" i="1" a="1"/>
  <c r="BD74" i="1" s="1"/>
  <c r="BE74" i="1" s="1"/>
  <c r="BG74" i="1" s="1"/>
  <c r="BC79" i="1"/>
  <c r="BD79" i="1" s="1" a="1"/>
  <c r="BD79" i="1" s="1"/>
  <c r="BE79" i="1" s="1"/>
  <c r="BG79" i="1" s="1"/>
  <c r="BC276" i="1"/>
  <c r="BD276" i="1" s="1" a="1"/>
  <c r="BD276" i="1" s="1"/>
  <c r="BE276" i="1" s="1"/>
  <c r="BG276" i="1" s="1"/>
  <c r="AH179" i="1"/>
  <c r="AI179" i="1" s="1"/>
  <c r="AH310" i="1"/>
  <c r="AI310" i="1" s="1"/>
  <c r="AH318" i="1"/>
  <c r="AI318" i="1" s="1"/>
  <c r="BC43" i="1"/>
  <c r="BD43" i="1" s="1" a="1"/>
  <c r="BD43" i="1" s="1"/>
  <c r="BE43" i="1" s="1"/>
  <c r="BG43" i="1" s="1"/>
  <c r="AH209" i="1"/>
  <c r="AH278" i="1"/>
  <c r="AI278" i="1" s="1"/>
  <c r="AH417" i="1"/>
  <c r="AH439" i="1"/>
  <c r="AH445" i="1"/>
  <c r="BC165" i="1"/>
  <c r="BD165" i="1" s="1" a="1"/>
  <c r="BD165" i="1" s="1"/>
  <c r="BE165" i="1" s="1"/>
  <c r="BG165" i="1" s="1"/>
  <c r="BC237" i="1"/>
  <c r="BC347" i="1"/>
  <c r="BD347" i="1" s="1" a="1"/>
  <c r="BD347" i="1" s="1"/>
  <c r="BE347" i="1" s="1"/>
  <c r="BG347" i="1" s="1"/>
  <c r="BC439" i="1"/>
  <c r="BD439" i="1" s="1" a="1"/>
  <c r="BD439" i="1" s="1"/>
  <c r="BE439" i="1" s="1"/>
  <c r="BG439" i="1" s="1"/>
  <c r="AH125" i="1"/>
  <c r="AI125" i="1" s="1"/>
  <c r="AH167" i="1"/>
  <c r="AI167" i="1" s="1"/>
  <c r="AH234" i="1"/>
  <c r="AI234" i="1" s="1"/>
  <c r="AH6" i="1"/>
  <c r="AH175" i="1"/>
  <c r="AH181" i="1"/>
  <c r="AH374" i="1"/>
  <c r="AI374" i="1" s="1"/>
  <c r="AH419" i="1"/>
  <c r="AH428" i="1"/>
  <c r="AI428" i="1" s="1"/>
  <c r="AH80" i="1"/>
  <c r="AH227" i="1"/>
  <c r="AI227" i="1" s="1"/>
  <c r="BC50" i="1"/>
  <c r="BC5" i="1"/>
  <c r="AE450" i="1"/>
  <c r="S450" i="1"/>
  <c r="AE426" i="1"/>
  <c r="S426" i="1"/>
  <c r="AE414" i="1"/>
  <c r="S414" i="1"/>
  <c r="S402" i="1"/>
  <c r="AE402" i="1"/>
  <c r="AE390" i="1"/>
  <c r="S390" i="1"/>
  <c r="AE378" i="1"/>
  <c r="S378" i="1"/>
  <c r="AE366" i="1"/>
  <c r="S366" i="1"/>
  <c r="AE354" i="1"/>
  <c r="S354" i="1"/>
  <c r="S342" i="1"/>
  <c r="AE342" i="1"/>
  <c r="S318" i="1"/>
  <c r="AE318" i="1"/>
  <c r="S306" i="1"/>
  <c r="AE306" i="1"/>
  <c r="AE294" i="1"/>
  <c r="S294" i="1"/>
  <c r="S282" i="1"/>
  <c r="AE282" i="1"/>
  <c r="S270" i="1"/>
  <c r="AE270" i="1"/>
  <c r="AE258" i="1"/>
  <c r="S258" i="1"/>
  <c r="AE246" i="1"/>
  <c r="S246" i="1"/>
  <c r="AH170" i="1"/>
  <c r="AI170" i="1" s="1"/>
  <c r="AE429" i="1"/>
  <c r="BC95" i="1"/>
  <c r="BD95" i="1" s="1" a="1"/>
  <c r="BD95" i="1" s="1"/>
  <c r="BE95" i="1" s="1"/>
  <c r="BG95" i="1" s="1"/>
  <c r="BC220" i="1"/>
  <c r="BC16" i="1"/>
  <c r="BC68" i="1"/>
  <c r="BC158" i="1"/>
  <c r="BC302" i="1"/>
  <c r="BC445" i="1"/>
  <c r="BC6" i="1"/>
  <c r="BC69" i="1"/>
  <c r="BC179" i="1"/>
  <c r="BC200" i="1"/>
  <c r="S410" i="1"/>
  <c r="AE410" i="1"/>
  <c r="BC46" i="1"/>
  <c r="BC105" i="1"/>
  <c r="BC124" i="1"/>
  <c r="AE411" i="1"/>
  <c r="AE459" i="1"/>
  <c r="S415" i="1"/>
  <c r="S400" i="1"/>
  <c r="BC125" i="1"/>
  <c r="S447" i="1"/>
  <c r="S456" i="1"/>
  <c r="AE456" i="1"/>
  <c r="BC22" i="1"/>
  <c r="BD22" i="1" s="1" a="1"/>
  <c r="BD22" i="1" s="1"/>
  <c r="BE22" i="1" s="1"/>
  <c r="BG22" i="1" s="1"/>
  <c r="BC167" i="1"/>
  <c r="BC250" i="1"/>
  <c r="BC295" i="1"/>
  <c r="BC393" i="1"/>
  <c r="BC63" i="1"/>
  <c r="BC84" i="1"/>
  <c r="BD84" i="1" s="1" a="1"/>
  <c r="BD84" i="1" s="1"/>
  <c r="BE84" i="1" s="1"/>
  <c r="BG84" i="1" s="1"/>
  <c r="BC115" i="1"/>
  <c r="BC280" i="1"/>
  <c r="BC57" i="1"/>
  <c r="BC196" i="1"/>
  <c r="BC241" i="1"/>
  <c r="BC14" i="1"/>
  <c r="BD14" i="1" s="1" a="1"/>
  <c r="BD14" i="1" s="1"/>
  <c r="BE14" i="1" s="1"/>
  <c r="BG14" i="1" s="1"/>
  <c r="BC65" i="1"/>
  <c r="BC188" i="1"/>
  <c r="BC267" i="1"/>
  <c r="BC335" i="1"/>
  <c r="BC420" i="1"/>
  <c r="BC61" i="1"/>
  <c r="BD61" i="1" s="1" a="1"/>
  <c r="BD61" i="1" s="1"/>
  <c r="BE61" i="1" s="1"/>
  <c r="BG61" i="1" s="1"/>
  <c r="BC97" i="1"/>
  <c r="BD97" i="1" s="1" a="1"/>
  <c r="BD97" i="1" s="1"/>
  <c r="BE97" i="1" s="1"/>
  <c r="BG97" i="1" s="1"/>
  <c r="BC202" i="1"/>
  <c r="BD202" i="1" s="1" a="1"/>
  <c r="BD202" i="1" s="1"/>
  <c r="BE202" i="1" s="1"/>
  <c r="BG202" i="1" s="1"/>
  <c r="BC324" i="1"/>
  <c r="BC388" i="1"/>
  <c r="BC454" i="1"/>
  <c r="AH29" i="1"/>
  <c r="AI29" i="1" s="1"/>
  <c r="AH42" i="1"/>
  <c r="AI42" i="1" s="1"/>
  <c r="AH88" i="1"/>
  <c r="BC81" i="1"/>
  <c r="BD81" i="1" s="1" a="1"/>
  <c r="BD81" i="1" s="1"/>
  <c r="BE81" i="1" s="1"/>
  <c r="BG81" i="1" s="1"/>
  <c r="BC91" i="1"/>
  <c r="BD91" i="1" s="1" a="1"/>
  <c r="BD91" i="1" s="1"/>
  <c r="BE91" i="1" s="1"/>
  <c r="BG91" i="1" s="1"/>
  <c r="BC108" i="1"/>
  <c r="BC126" i="1"/>
  <c r="BD126" i="1" s="1" a="1"/>
  <c r="BD126" i="1" s="1"/>
  <c r="BE126" i="1" s="1"/>
  <c r="BG126" i="1" s="1"/>
  <c r="BC189" i="1"/>
  <c r="BC193" i="1"/>
  <c r="BD193" i="1" s="1" a="1"/>
  <c r="BD193" i="1" s="1"/>
  <c r="BE193" i="1" s="1"/>
  <c r="BG193" i="1" s="1"/>
  <c r="BC198" i="1"/>
  <c r="BD198" i="1" s="1" a="1"/>
  <c r="BD198" i="1" s="1"/>
  <c r="BE198" i="1" s="1"/>
  <c r="BG198" i="1" s="1"/>
  <c r="BC244" i="1"/>
  <c r="BD244" i="1" s="1" a="1"/>
  <c r="BD244" i="1" s="1"/>
  <c r="BE244" i="1" s="1"/>
  <c r="BG244" i="1" s="1"/>
  <c r="BC298" i="1"/>
  <c r="BD298" i="1" s="1" a="1"/>
  <c r="BD298" i="1" s="1"/>
  <c r="BE298" i="1" s="1"/>
  <c r="BG298" i="1" s="1"/>
  <c r="BC330" i="1"/>
  <c r="BD330" i="1" s="1" a="1"/>
  <c r="BD330" i="1" s="1"/>
  <c r="BE330" i="1" s="1"/>
  <c r="BG330" i="1" s="1"/>
  <c r="BC421" i="1"/>
  <c r="BC435" i="1"/>
  <c r="BC455" i="1"/>
  <c r="BC286" i="1"/>
  <c r="BD286" i="1" s="1" a="1"/>
  <c r="BD286" i="1" s="1"/>
  <c r="BE286" i="1" s="1"/>
  <c r="BG286" i="1" s="1"/>
  <c r="BC357" i="1"/>
  <c r="BD357" i="1" s="1" a="1"/>
  <c r="BD357" i="1" s="1"/>
  <c r="BE357" i="1" s="1"/>
  <c r="BG357" i="1" s="1"/>
  <c r="BC245" i="1"/>
  <c r="BC264" i="1"/>
  <c r="BD264" i="1" s="1" a="1"/>
  <c r="BD264" i="1" s="1"/>
  <c r="BE264" i="1" s="1"/>
  <c r="BG264" i="1" s="1"/>
  <c r="BC436" i="1"/>
  <c r="BC448" i="1"/>
  <c r="BD203" i="1" a="1"/>
  <c r="BD203" i="1" s="1"/>
  <c r="BE203" i="1" s="1"/>
  <c r="BG203" i="1" s="1"/>
  <c r="BC246" i="1"/>
  <c r="BC358" i="1"/>
  <c r="BD358" i="1" s="1" a="1"/>
  <c r="BD358" i="1" s="1"/>
  <c r="BE358" i="1" s="1"/>
  <c r="BG358" i="1" s="1"/>
  <c r="BC384" i="1"/>
  <c r="AH231" i="1"/>
  <c r="AI231" i="1" s="1"/>
  <c r="BC94" i="1"/>
  <c r="BD94" i="1" s="1" a="1"/>
  <c r="BD94" i="1" s="1"/>
  <c r="BE94" i="1" s="1"/>
  <c r="BG94" i="1" s="1"/>
  <c r="BC104" i="1"/>
  <c r="BD104" i="1" s="1" a="1"/>
  <c r="BD104" i="1" s="1"/>
  <c r="BE104" i="1" s="1"/>
  <c r="BG104" i="1" s="1"/>
  <c r="BC168" i="1"/>
  <c r="BD168" i="1" s="1" a="1"/>
  <c r="BD168" i="1" s="1"/>
  <c r="BE168" i="1" s="1"/>
  <c r="BG168" i="1" s="1"/>
  <c r="BC283" i="1"/>
  <c r="BD283" i="1" s="1" a="1"/>
  <c r="BD283" i="1" s="1"/>
  <c r="BE283" i="1" s="1"/>
  <c r="BG283" i="1" s="1"/>
  <c r="BC351" i="1"/>
  <c r="BC373" i="1"/>
  <c r="AH45" i="1"/>
  <c r="AI45" i="1" s="1"/>
  <c r="BC110" i="1"/>
  <c r="BD110" i="1" s="1" a="1"/>
  <c r="BD110" i="1" s="1"/>
  <c r="BE110" i="1" s="1"/>
  <c r="BG110" i="1" s="1"/>
  <c r="BC174" i="1"/>
  <c r="BD174" i="1" s="1" a="1"/>
  <c r="BD174" i="1" s="1"/>
  <c r="BE174" i="1" s="1"/>
  <c r="BG174" i="1" s="1"/>
  <c r="BC300" i="1"/>
  <c r="BD300" i="1" s="1" a="1"/>
  <c r="BD300" i="1" s="1"/>
  <c r="BE300" i="1" s="1"/>
  <c r="BG300" i="1" s="1"/>
  <c r="BD313" i="1" a="1"/>
  <c r="BD313" i="1" s="1"/>
  <c r="BE313" i="1" s="1"/>
  <c r="BG313" i="1" s="1"/>
  <c r="BC417" i="1"/>
  <c r="BC431" i="1"/>
  <c r="BC450" i="1"/>
  <c r="BC458" i="1"/>
  <c r="AH46" i="1"/>
  <c r="AI46" i="1" s="1"/>
  <c r="AH64" i="1"/>
  <c r="AH160" i="1"/>
  <c r="AI160" i="1" s="1"/>
  <c r="BC240" i="1"/>
  <c r="BD240" i="1" s="1" a="1"/>
  <c r="BD240" i="1" s="1"/>
  <c r="BE240" i="1" s="1"/>
  <c r="BG240" i="1" s="1"/>
  <c r="BC333" i="1"/>
  <c r="BC346" i="1"/>
  <c r="BC432" i="1"/>
  <c r="BC451" i="1"/>
  <c r="BC459" i="1"/>
  <c r="AH40" i="1"/>
  <c r="AI40" i="1" s="1"/>
  <c r="AH56" i="1"/>
  <c r="AH127" i="1"/>
  <c r="AI127" i="1" s="1"/>
  <c r="BC426" i="1"/>
  <c r="BC21" i="1"/>
  <c r="BD21" i="1" s="1" a="1"/>
  <c r="BD21" i="1" s="1"/>
  <c r="BE21" i="1" s="1"/>
  <c r="BG21" i="1" s="1"/>
  <c r="BC201" i="1"/>
  <c r="BC268" i="1"/>
  <c r="AH10" i="1"/>
  <c r="AH73" i="1"/>
  <c r="AI73" i="1" s="1"/>
  <c r="AH111" i="1"/>
  <c r="AH279" i="1"/>
  <c r="AI279" i="1" s="1"/>
  <c r="AH382" i="1"/>
  <c r="AI382" i="1" s="1"/>
  <c r="AH423" i="1"/>
  <c r="AH429" i="1"/>
  <c r="AH448" i="1"/>
  <c r="AI448" i="1" s="1"/>
  <c r="AH453" i="1"/>
  <c r="AH161" i="1"/>
  <c r="AH171" i="1"/>
  <c r="AI171" i="1" s="1"/>
  <c r="AH322" i="1"/>
  <c r="AI322" i="1" s="1"/>
  <c r="AH449" i="1"/>
  <c r="AH197" i="1"/>
  <c r="AH435" i="1"/>
  <c r="AH163" i="1"/>
  <c r="AI163" i="1" s="1"/>
  <c r="AH222" i="1"/>
  <c r="AH241" i="1"/>
  <c r="AH407" i="1"/>
  <c r="AH431" i="1"/>
  <c r="AH455" i="1"/>
  <c r="AH421" i="1"/>
  <c r="AH427" i="1"/>
  <c r="AH451" i="1"/>
  <c r="AH159" i="1"/>
  <c r="AH169" i="1"/>
  <c r="AH173" i="1"/>
  <c r="AI173" i="1" s="1"/>
  <c r="AH415" i="1"/>
  <c r="AH447" i="1"/>
  <c r="AH7" i="1"/>
  <c r="AI7" i="1" s="1"/>
  <c r="S446" i="1"/>
  <c r="AE446" i="1"/>
  <c r="AE458" i="1"/>
  <c r="S458" i="1"/>
  <c r="BC4" i="1"/>
  <c r="BD4" i="1" s="1" a="1"/>
  <c r="BD4" i="1" s="1"/>
  <c r="BE4" i="1" s="1"/>
  <c r="BG4" i="1" s="1"/>
  <c r="BC93" i="1"/>
  <c r="BC3" i="1"/>
  <c r="BD3" i="1" s="1" a="1"/>
  <c r="BD3" i="1" s="1"/>
  <c r="BE3" i="1" s="1"/>
  <c r="BG3" i="1" s="1"/>
  <c r="BC17" i="1"/>
  <c r="AE391" i="1"/>
  <c r="AE453" i="1"/>
  <c r="AE441" i="1"/>
  <c r="AE213" i="1"/>
  <c r="AE225" i="1"/>
  <c r="AE237" i="1"/>
  <c r="AE249" i="1"/>
  <c r="AE261" i="1"/>
  <c r="AE273" i="1"/>
  <c r="AE285" i="1"/>
  <c r="AE297" i="1"/>
  <c r="AE309" i="1"/>
  <c r="AE321" i="1"/>
  <c r="AE333" i="1"/>
  <c r="AE345" i="1"/>
  <c r="AE357" i="1"/>
  <c r="AE369" i="1"/>
  <c r="AE381" i="1"/>
  <c r="AE393" i="1"/>
  <c r="AE405" i="1"/>
  <c r="AE417" i="1"/>
  <c r="BC40" i="1"/>
  <c r="BC56" i="1"/>
  <c r="BC144" i="1"/>
  <c r="BC24" i="1"/>
  <c r="BC45" i="1"/>
  <c r="BC112" i="1"/>
  <c r="BC62" i="1"/>
  <c r="BC48" i="1"/>
  <c r="BC116" i="1"/>
  <c r="BC128" i="1"/>
  <c r="BC317" i="1"/>
  <c r="AH3" i="1"/>
  <c r="AI3" i="1" s="1"/>
  <c r="BC66" i="1"/>
  <c r="BD66" i="1" s="1" a="1"/>
  <c r="BD66" i="1" s="1"/>
  <c r="BE66" i="1" s="1"/>
  <c r="BG66" i="1" s="1"/>
  <c r="BC113" i="1"/>
  <c r="BC130" i="1"/>
  <c r="BC67" i="1"/>
  <c r="BC106" i="1"/>
  <c r="BC70" i="1"/>
  <c r="BD70" i="1" s="1" a="1"/>
  <c r="BD70" i="1" s="1"/>
  <c r="BE70" i="1" s="1"/>
  <c r="BG70" i="1" s="1"/>
  <c r="BC73" i="1"/>
  <c r="BC102" i="1"/>
  <c r="BD102" i="1" s="1" a="1"/>
  <c r="BD102" i="1" s="1"/>
  <c r="BE102" i="1" s="1"/>
  <c r="BG102" i="1" s="1"/>
  <c r="BC131" i="1"/>
  <c r="BD88" i="1" a="1"/>
  <c r="BD88" i="1" s="1"/>
  <c r="BE88" i="1" s="1"/>
  <c r="BG88" i="1" s="1"/>
  <c r="BC107" i="1"/>
  <c r="BC132" i="1"/>
  <c r="BC103" i="1"/>
  <c r="BD103" i="1" s="1" a="1"/>
  <c r="BD103" i="1" s="1"/>
  <c r="BE103" i="1" s="1"/>
  <c r="BG103" i="1" s="1"/>
  <c r="BC181" i="1"/>
  <c r="BC279" i="1"/>
  <c r="BC92" i="1"/>
  <c r="BD92" i="1" s="1" a="1"/>
  <c r="BD92" i="1" s="1"/>
  <c r="BE92" i="1" s="1"/>
  <c r="BG92" i="1" s="1"/>
  <c r="BC120" i="1"/>
  <c r="BC157" i="1"/>
  <c r="BC42" i="1"/>
  <c r="BC51" i="1"/>
  <c r="BD51" i="1" s="1" a="1"/>
  <c r="BD51" i="1" s="1"/>
  <c r="BE51" i="1" s="1"/>
  <c r="BG51" i="1" s="1"/>
  <c r="BC83" i="1"/>
  <c r="BC86" i="1"/>
  <c r="BD86" i="1" s="1" a="1"/>
  <c r="BD86" i="1" s="1"/>
  <c r="BE86" i="1" s="1"/>
  <c r="BG86" i="1" s="1"/>
  <c r="BC89" i="1"/>
  <c r="BC96" i="1"/>
  <c r="BC256" i="1"/>
  <c r="BC307" i="1"/>
  <c r="BC142" i="1"/>
  <c r="BD142" i="1" s="1" a="1"/>
  <c r="BD142" i="1" s="1"/>
  <c r="BE142" i="1" s="1"/>
  <c r="BG142" i="1" s="1"/>
  <c r="BC155" i="1"/>
  <c r="BD155" i="1" s="1" a="1"/>
  <c r="BD155" i="1" s="1"/>
  <c r="BE155" i="1" s="1"/>
  <c r="BG155" i="1" s="1"/>
  <c r="BC242" i="1"/>
  <c r="BD242" i="1" s="1" a="1"/>
  <c r="BD242" i="1" s="1"/>
  <c r="BE242" i="1" s="1"/>
  <c r="BG242" i="1" s="1"/>
  <c r="BC257" i="1"/>
  <c r="BD257" i="1" s="1" a="1"/>
  <c r="BD257" i="1" s="1"/>
  <c r="BE257" i="1" s="1"/>
  <c r="BG257" i="1" s="1"/>
  <c r="BC308" i="1"/>
  <c r="BD308" i="1" s="1" a="1"/>
  <c r="BD308" i="1" s="1"/>
  <c r="BE308" i="1" s="1"/>
  <c r="BG308" i="1" s="1"/>
  <c r="BC261" i="1"/>
  <c r="BC345" i="1"/>
  <c r="BC129" i="1"/>
  <c r="BD129" i="1" s="1" a="1"/>
  <c r="BD129" i="1" s="1"/>
  <c r="BE129" i="1" s="1"/>
  <c r="BG129" i="1" s="1"/>
  <c r="BC236" i="1"/>
  <c r="BC254" i="1"/>
  <c r="BD254" i="1" s="1" a="1"/>
  <c r="BD254" i="1" s="1"/>
  <c r="BE254" i="1" s="1"/>
  <c r="BG254" i="1" s="1"/>
  <c r="BC370" i="1"/>
  <c r="BC153" i="1"/>
  <c r="BD153" i="1" s="1" a="1"/>
  <c r="BD153" i="1" s="1"/>
  <c r="BE153" i="1" s="1"/>
  <c r="BG153" i="1" s="1"/>
  <c r="BC215" i="1"/>
  <c r="BC233" i="1"/>
  <c r="BD233" i="1" s="1" a="1"/>
  <c r="BD233" i="1" s="1"/>
  <c r="BE233" i="1" s="1"/>
  <c r="BG233" i="1" s="1"/>
  <c r="BC243" i="1"/>
  <c r="BC247" i="1"/>
  <c r="BD247" i="1" s="1" a="1"/>
  <c r="BD247" i="1" s="1"/>
  <c r="BE247" i="1" s="1"/>
  <c r="BG247" i="1" s="1"/>
  <c r="BC265" i="1"/>
  <c r="BC320" i="1"/>
  <c r="BC352" i="1"/>
  <c r="BC85" i="1"/>
  <c r="BD85" i="1" s="1" a="1"/>
  <c r="BD85" i="1" s="1"/>
  <c r="BE85" i="1" s="1"/>
  <c r="BG85" i="1" s="1"/>
  <c r="BC109" i="1"/>
  <c r="BD109" i="1" s="1" a="1"/>
  <c r="BD109" i="1" s="1"/>
  <c r="BE109" i="1" s="1"/>
  <c r="BG109" i="1" s="1"/>
  <c r="BC209" i="1"/>
  <c r="BD209" i="1" s="1" a="1"/>
  <c r="BD209" i="1" s="1"/>
  <c r="BE209" i="1" s="1"/>
  <c r="BG209" i="1" s="1"/>
  <c r="BC227" i="1"/>
  <c r="BD227" i="1" s="1" a="1"/>
  <c r="BD227" i="1" s="1"/>
  <c r="BE227" i="1" s="1"/>
  <c r="BG227" i="1" s="1"/>
  <c r="BC262" i="1"/>
  <c r="BD262" i="1" s="1" a="1"/>
  <c r="BD262" i="1" s="1"/>
  <c r="BE262" i="1" s="1"/>
  <c r="BG262" i="1" s="1"/>
  <c r="BC273" i="1"/>
  <c r="BC296" i="1"/>
  <c r="BC342" i="1"/>
  <c r="BD342" i="1" s="1" a="1"/>
  <c r="BD342" i="1" s="1"/>
  <c r="BE342" i="1" s="1"/>
  <c r="BG342" i="1" s="1"/>
  <c r="BC234" i="1"/>
  <c r="BD234" i="1" s="1" a="1"/>
  <c r="BD234" i="1" s="1"/>
  <c r="BE234" i="1" s="1"/>
  <c r="BG234" i="1" s="1"/>
  <c r="BC210" i="1"/>
  <c r="BD210" i="1" s="1" a="1"/>
  <c r="BD210" i="1" s="1"/>
  <c r="BE210" i="1" s="1"/>
  <c r="BG210" i="1" s="1"/>
  <c r="BC248" i="1"/>
  <c r="BC297" i="1"/>
  <c r="BC301" i="1"/>
  <c r="BD301" i="1" s="1" a="1"/>
  <c r="BD301" i="1" s="1"/>
  <c r="BE301" i="1" s="1"/>
  <c r="BG301" i="1" s="1"/>
  <c r="BC164" i="1"/>
  <c r="BD164" i="1" s="1" a="1"/>
  <c r="BD164" i="1" s="1"/>
  <c r="BE164" i="1" s="1"/>
  <c r="BG164" i="1" s="1"/>
  <c r="BC207" i="1"/>
  <c r="BD207" i="1" s="1" a="1"/>
  <c r="BD207" i="1" s="1"/>
  <c r="BE207" i="1" s="1"/>
  <c r="BG207" i="1" s="1"/>
  <c r="BC213" i="1"/>
  <c r="BD213" i="1" s="1" a="1"/>
  <c r="BD213" i="1" s="1"/>
  <c r="BE213" i="1" s="1"/>
  <c r="BG213" i="1" s="1"/>
  <c r="BC216" i="1"/>
  <c r="BD216" i="1" s="1" a="1"/>
  <c r="BD216" i="1" s="1"/>
  <c r="BE216" i="1" s="1"/>
  <c r="BG216" i="1" s="1"/>
  <c r="BC222" i="1"/>
  <c r="BC228" i="1"/>
  <c r="BC231" i="1"/>
  <c r="BD231" i="1" s="1" a="1"/>
  <c r="BD231" i="1" s="1"/>
  <c r="BE231" i="1" s="1"/>
  <c r="BG231" i="1" s="1"/>
  <c r="BC259" i="1"/>
  <c r="BD259" i="1" s="1" a="1"/>
  <c r="BD259" i="1" s="1"/>
  <c r="BE259" i="1" s="1"/>
  <c r="BG259" i="1" s="1"/>
  <c r="BC289" i="1"/>
  <c r="BC315" i="1"/>
  <c r="BD315" i="1" s="1" a="1"/>
  <c r="BD315" i="1" s="1"/>
  <c r="BE315" i="1" s="1"/>
  <c r="BG315" i="1" s="1"/>
  <c r="BC323" i="1"/>
  <c r="BC332" i="1"/>
  <c r="BC249" i="1"/>
  <c r="BC278" i="1"/>
  <c r="BD278" i="1" s="1" a="1"/>
  <c r="BD278" i="1" s="1"/>
  <c r="BE278" i="1" s="1"/>
  <c r="BG278" i="1" s="1"/>
  <c r="BC282" i="1"/>
  <c r="BC293" i="1"/>
  <c r="BC299" i="1"/>
  <c r="BD299" i="1" s="1" a="1"/>
  <c r="BD299" i="1" s="1"/>
  <c r="BE299" i="1" s="1"/>
  <c r="BG299" i="1" s="1"/>
  <c r="BC361" i="1"/>
  <c r="BD361" i="1" s="1" a="1"/>
  <c r="BD361" i="1" s="1"/>
  <c r="BE361" i="1" s="1"/>
  <c r="BG361" i="1" s="1"/>
  <c r="BC410" i="1"/>
  <c r="BC422" i="1"/>
  <c r="BC366" i="1"/>
  <c r="BD366" i="1" s="1" a="1"/>
  <c r="BD366" i="1" s="1"/>
  <c r="BE366" i="1" s="1"/>
  <c r="BG366" i="1" s="1"/>
  <c r="BC334" i="1"/>
  <c r="BC354" i="1"/>
  <c r="BC362" i="1"/>
  <c r="BD362" i="1" s="1" a="1"/>
  <c r="BD362" i="1" s="1"/>
  <c r="BE362" i="1" s="1"/>
  <c r="BG362" i="1" s="1"/>
  <c r="BC367" i="1"/>
  <c r="BC380" i="1"/>
  <c r="BC288" i="1"/>
  <c r="BC340" i="1"/>
  <c r="BC363" i="1"/>
  <c r="BC341" i="1"/>
  <c r="BD341" i="1" s="1" a="1"/>
  <c r="BD341" i="1" s="1"/>
  <c r="BE341" i="1" s="1"/>
  <c r="BG341" i="1" s="1"/>
  <c r="BC348" i="1"/>
  <c r="BC359" i="1"/>
  <c r="BC284" i="1"/>
  <c r="BD284" i="1" s="1" a="1"/>
  <c r="BD284" i="1" s="1"/>
  <c r="BE284" i="1" s="1"/>
  <c r="BG284" i="1" s="1"/>
  <c r="BC369" i="1"/>
  <c r="BC394" i="1"/>
  <c r="BC440" i="1"/>
  <c r="BD440" i="1" s="1" a="1"/>
  <c r="BD440" i="1" s="1"/>
  <c r="BE440" i="1" s="1"/>
  <c r="BG440" i="1" s="1"/>
  <c r="BC402" i="1"/>
  <c r="BD402" i="1" s="1" a="1"/>
  <c r="BD402" i="1" s="1"/>
  <c r="BE402" i="1" s="1"/>
  <c r="BG402" i="1" s="1"/>
  <c r="BC378" i="1"/>
  <c r="BD378" i="1" s="1" a="1"/>
  <c r="BD378" i="1" s="1"/>
  <c r="BE378" i="1" s="1"/>
  <c r="BG378" i="1" s="1"/>
  <c r="AH13" i="1"/>
  <c r="AI13" i="1" s="1"/>
  <c r="BC386" i="1"/>
  <c r="AH62" i="1"/>
  <c r="AI62" i="1" s="1"/>
  <c r="BC406" i="1"/>
  <c r="BC456" i="1"/>
  <c r="AH19" i="1"/>
  <c r="BC414" i="1"/>
  <c r="BD414" i="1" s="1" a="1"/>
  <c r="BD414" i="1" s="1"/>
  <c r="BE414" i="1" s="1"/>
  <c r="BG414" i="1" s="1"/>
  <c r="BC442" i="1"/>
  <c r="BD312" i="1" a="1"/>
  <c r="BD312" i="1" s="1"/>
  <c r="BE312" i="1" s="1"/>
  <c r="BG312" i="1" s="1"/>
  <c r="BD336" i="1" a="1"/>
  <c r="BD336" i="1" s="1"/>
  <c r="BE336" i="1" s="1"/>
  <c r="BG336" i="1" s="1"/>
  <c r="BC428" i="1"/>
  <c r="BC382" i="1"/>
  <c r="BC398" i="1"/>
  <c r="BC418" i="1"/>
  <c r="AH16" i="1"/>
  <c r="AI16" i="1" s="1"/>
  <c r="AH23" i="1"/>
  <c r="BC390" i="1"/>
  <c r="BD390" i="1" s="1" a="1"/>
  <c r="BD390" i="1" s="1"/>
  <c r="BE390" i="1" s="1"/>
  <c r="BG390" i="1" s="1"/>
  <c r="AH4" i="1"/>
  <c r="AI4" i="1" s="1"/>
  <c r="AH11" i="1"/>
  <c r="AH18" i="1"/>
  <c r="AI18" i="1" s="1"/>
  <c r="AH47" i="1"/>
  <c r="AH79" i="1"/>
  <c r="AI79" i="1" s="1"/>
  <c r="AH193" i="1"/>
  <c r="AI193" i="1" s="1"/>
  <c r="AH132" i="1"/>
  <c r="AI132" i="1" s="1"/>
  <c r="AH186" i="1"/>
  <c r="AI186" i="1" s="1"/>
  <c r="AH154" i="1"/>
  <c r="AH59" i="1"/>
  <c r="AI59" i="1" s="1"/>
  <c r="AH137" i="1"/>
  <c r="AI137" i="1" s="1"/>
  <c r="AH15" i="1"/>
  <c r="AI15" i="1" s="1"/>
  <c r="AH105" i="1"/>
  <c r="AI105" i="1" s="1"/>
  <c r="AH24" i="1"/>
  <c r="AI24" i="1" s="1"/>
  <c r="AH94" i="1"/>
  <c r="AI94" i="1" s="1"/>
  <c r="AH21" i="1"/>
  <c r="AH54" i="1"/>
  <c r="AH72" i="1"/>
  <c r="AH85" i="1"/>
  <c r="AI85" i="1" s="1"/>
  <c r="AH98" i="1"/>
  <c r="AI98" i="1" s="1"/>
  <c r="AH124" i="1"/>
  <c r="AH151" i="1"/>
  <c r="AI151" i="1" s="1"/>
  <c r="AH198" i="1"/>
  <c r="AI198" i="1" s="1"/>
  <c r="AH26" i="1"/>
  <c r="AI26" i="1" s="1"/>
  <c r="AH63" i="1"/>
  <c r="AI63" i="1" s="1"/>
  <c r="AH102" i="1"/>
  <c r="AI102" i="1" s="1"/>
  <c r="AH113" i="1"/>
  <c r="AI113" i="1" s="1"/>
  <c r="AH147" i="1"/>
  <c r="AH106" i="1"/>
  <c r="AI106" i="1" s="1"/>
  <c r="AH143" i="1"/>
  <c r="AI143" i="1" s="1"/>
  <c r="AH76" i="1"/>
  <c r="AH110" i="1"/>
  <c r="AI110" i="1" s="1"/>
  <c r="AH139" i="1"/>
  <c r="AH114" i="1"/>
  <c r="AI114" i="1" s="1"/>
  <c r="AH134" i="1"/>
  <c r="AI134" i="1" s="1"/>
  <c r="AH136" i="1"/>
  <c r="AI136" i="1" s="1"/>
  <c r="AH118" i="1"/>
  <c r="AI118" i="1" s="1"/>
  <c r="AH126" i="1"/>
  <c r="AI126" i="1" s="1"/>
  <c r="AH130" i="1"/>
  <c r="AH61" i="1"/>
  <c r="AI61" i="1" s="1"/>
  <c r="AH122" i="1"/>
  <c r="AI122" i="1" s="1"/>
  <c r="AH17" i="1"/>
  <c r="AI17" i="1" s="1"/>
  <c r="AH28" i="1"/>
  <c r="AI28" i="1" s="1"/>
  <c r="AH49" i="1"/>
  <c r="AI49" i="1" s="1"/>
  <c r="AH65" i="1"/>
  <c r="AI65" i="1" s="1"/>
  <c r="AH74" i="1"/>
  <c r="AH87" i="1"/>
  <c r="AH250" i="1"/>
  <c r="AH93" i="1"/>
  <c r="AI93" i="1" s="1"/>
  <c r="AH97" i="1"/>
  <c r="AH297" i="1"/>
  <c r="AI297" i="1" s="1"/>
  <c r="AH200" i="1"/>
  <c r="AI200" i="1" s="1"/>
  <c r="AH229" i="1"/>
  <c r="AH391" i="1"/>
  <c r="AH182" i="1"/>
  <c r="AI182" i="1" s="1"/>
  <c r="AH264" i="1"/>
  <c r="AI264" i="1" s="1"/>
  <c r="AH270" i="1"/>
  <c r="AI270" i="1" s="1"/>
  <c r="AH311" i="1"/>
  <c r="AH191" i="1"/>
  <c r="AI191" i="1" s="1"/>
  <c r="AH220" i="1"/>
  <c r="AI220" i="1" s="1"/>
  <c r="AH225" i="1"/>
  <c r="AI225" i="1" s="1"/>
  <c r="AH242" i="1"/>
  <c r="AH121" i="1"/>
  <c r="AI121" i="1" s="1"/>
  <c r="AH239" i="1"/>
  <c r="AI239" i="1" s="1"/>
  <c r="AH253" i="1"/>
  <c r="AI253" i="1" s="1"/>
  <c r="AH195" i="1"/>
  <c r="AH261" i="1"/>
  <c r="AI261" i="1" s="1"/>
  <c r="AH183" i="1"/>
  <c r="AI183" i="1" s="1"/>
  <c r="AH267" i="1"/>
  <c r="AH292" i="1"/>
  <c r="AI292" i="1" s="1"/>
  <c r="AH301" i="1"/>
  <c r="AI301" i="1" s="1"/>
  <c r="AH302" i="1"/>
  <c r="AI302" i="1" s="1"/>
  <c r="AH343" i="1"/>
  <c r="AI343" i="1" s="1"/>
  <c r="AH271" i="1"/>
  <c r="AI271" i="1" s="1"/>
  <c r="AH240" i="1"/>
  <c r="AI240" i="1" s="1"/>
  <c r="AH265" i="1"/>
  <c r="AI265" i="1" s="1"/>
  <c r="AH303" i="1"/>
  <c r="AI303" i="1" s="1"/>
  <c r="AH308" i="1"/>
  <c r="AI308" i="1" s="1"/>
  <c r="AH323" i="1"/>
  <c r="AI323" i="1" s="1"/>
  <c r="AH386" i="1"/>
  <c r="AI386" i="1" s="1"/>
  <c r="AH294" i="1"/>
  <c r="AI294" i="1" s="1"/>
  <c r="AH313" i="1"/>
  <c r="AH324" i="1"/>
  <c r="AI324" i="1" s="1"/>
  <c r="AH218" i="1"/>
  <c r="AI218" i="1" s="1"/>
  <c r="AH223" i="1"/>
  <c r="AH295" i="1"/>
  <c r="AI295" i="1" s="1"/>
  <c r="AH346" i="1"/>
  <c r="AI346" i="1" s="1"/>
  <c r="AH246" i="1"/>
  <c r="AI246" i="1" s="1"/>
  <c r="AH269" i="1"/>
  <c r="AI269" i="1" s="1"/>
  <c r="AH275" i="1"/>
  <c r="AI275" i="1" s="1"/>
  <c r="AH314" i="1"/>
  <c r="AI314" i="1" s="1"/>
  <c r="AH221" i="1"/>
  <c r="AI221" i="1" s="1"/>
  <c r="AH291" i="1"/>
  <c r="AH219" i="1"/>
  <c r="AI219" i="1" s="1"/>
  <c r="AH236" i="1"/>
  <c r="AI236" i="1" s="1"/>
  <c r="AH244" i="1"/>
  <c r="AI244" i="1" s="1"/>
  <c r="AH273" i="1"/>
  <c r="AI273" i="1" s="1"/>
  <c r="AH349" i="1"/>
  <c r="AI349" i="1" s="1"/>
  <c r="AH410" i="1"/>
  <c r="AH334" i="1"/>
  <c r="AI334" i="1" s="1"/>
  <c r="AH338" i="1"/>
  <c r="AI338" i="1" s="1"/>
  <c r="AH342" i="1"/>
  <c r="AI342" i="1" s="1"/>
  <c r="AH330" i="1"/>
  <c r="AI330" i="1" s="1"/>
  <c r="AH357" i="1"/>
  <c r="AH361" i="1"/>
  <c r="AH365" i="1"/>
  <c r="AI365" i="1" s="1"/>
  <c r="AH369" i="1"/>
  <c r="AH373" i="1"/>
  <c r="AH377" i="1"/>
  <c r="AH381" i="1"/>
  <c r="AH400" i="1"/>
  <c r="AH405" i="1"/>
  <c r="AH424" i="1"/>
  <c r="AI424" i="1" s="1"/>
  <c r="BD123" i="1" l="1" a="1"/>
  <c r="BD123" i="1" s="1"/>
  <c r="BE123" i="1" s="1"/>
  <c r="BG123" i="1" s="1"/>
  <c r="BD253" i="1" a="1"/>
  <c r="BD253" i="1" s="1"/>
  <c r="BE253" i="1" s="1"/>
  <c r="BG253" i="1" s="1"/>
  <c r="BD252" i="1" a="1"/>
  <c r="BD252" i="1" s="1"/>
  <c r="BE252" i="1" s="1"/>
  <c r="BG252" i="1" s="1"/>
  <c r="BD191" i="1" a="1"/>
  <c r="BD191" i="1" s="1"/>
  <c r="BE191" i="1" s="1"/>
  <c r="BG191" i="1" s="1"/>
  <c r="BD310" i="1" a="1"/>
  <c r="BD310" i="1" s="1"/>
  <c r="BE310" i="1" s="1"/>
  <c r="BG310" i="1" s="1"/>
  <c r="BD238" i="1" a="1"/>
  <c r="BD238" i="1" s="1"/>
  <c r="BE238" i="1" s="1"/>
  <c r="BG238" i="1" s="1"/>
  <c r="BD397" i="1" a="1"/>
  <c r="BD397" i="1" s="1"/>
  <c r="BE397" i="1" s="1"/>
  <c r="BG397" i="1" s="1"/>
  <c r="BD133" i="1" a="1"/>
  <c r="BD133" i="1" s="1"/>
  <c r="BE133" i="1" s="1"/>
  <c r="BG133" i="1" s="1"/>
  <c r="BD447" i="1" a="1"/>
  <c r="BD447" i="1" s="1"/>
  <c r="BE447" i="1" s="1"/>
  <c r="BG447" i="1" s="1"/>
  <c r="BD121" i="1" a="1"/>
  <c r="BD121" i="1" s="1"/>
  <c r="BE121" i="1" s="1"/>
  <c r="BG121" i="1" s="1"/>
  <c r="BD371" i="1" a="1"/>
  <c r="BD371" i="1" s="1"/>
  <c r="BE371" i="1" s="1"/>
  <c r="BG371" i="1" s="1"/>
  <c r="BD446" i="1" a="1"/>
  <c r="BD446" i="1" s="1"/>
  <c r="BE446" i="1" s="1"/>
  <c r="BG446" i="1" s="1"/>
  <c r="BD281" i="1" a="1"/>
  <c r="BD281" i="1" s="1"/>
  <c r="BE281" i="1" s="1"/>
  <c r="BG281" i="1" s="1"/>
  <c r="AI47" i="1"/>
  <c r="BD87" i="1" a="1"/>
  <c r="BD87" i="1" s="1"/>
  <c r="BE87" i="1" s="1"/>
  <c r="BG87" i="1" s="1"/>
  <c r="BD99" i="1" a="1"/>
  <c r="BD99" i="1" s="1"/>
  <c r="BE99" i="1" s="1"/>
  <c r="BG99" i="1" s="1"/>
  <c r="BD218" i="1" a="1"/>
  <c r="BD218" i="1" s="1"/>
  <c r="BE218" i="1" s="1"/>
  <c r="BG218" i="1" s="1"/>
  <c r="AI377" i="1"/>
  <c r="AJ377" i="1" s="1"/>
  <c r="AO377" i="1" s="1"/>
  <c r="AI413" i="1"/>
  <c r="AI87" i="1"/>
  <c r="AJ87" i="1" s="1"/>
  <c r="AO87" i="1" s="1"/>
  <c r="BU87" i="1" s="1"/>
  <c r="AI11" i="1"/>
  <c r="AJ11" i="1" s="1"/>
  <c r="AO11" i="1" s="1"/>
  <c r="BD349" i="1" a="1"/>
  <c r="BD349" i="1" s="1"/>
  <c r="BE349" i="1" s="1"/>
  <c r="BG349" i="1" s="1"/>
  <c r="AI361" i="1"/>
  <c r="AI311" i="1"/>
  <c r="AJ311" i="1" s="1"/>
  <c r="AO311" i="1" s="1"/>
  <c r="BD154" i="1" a="1"/>
  <c r="BD154" i="1" s="1"/>
  <c r="BE154" i="1" s="1"/>
  <c r="BG154" i="1" s="1"/>
  <c r="AI88" i="1"/>
  <c r="AJ88" i="1" s="1"/>
  <c r="AO88" i="1" s="1"/>
  <c r="BU88" i="1" s="1"/>
  <c r="BD76" i="1" a="1"/>
  <c r="BD76" i="1" s="1"/>
  <c r="BE76" i="1" s="1"/>
  <c r="BG76" i="1" s="1"/>
  <c r="BD274" i="1" a="1"/>
  <c r="BD274" i="1" s="1"/>
  <c r="BE274" i="1" s="1"/>
  <c r="BG274" i="1" s="1"/>
  <c r="BD239" i="1" a="1"/>
  <c r="BD239" i="1" s="1"/>
  <c r="BE239" i="1" s="1"/>
  <c r="BG239" i="1" s="1"/>
  <c r="BD423" i="1" a="1"/>
  <c r="BD423" i="1" s="1"/>
  <c r="BE423" i="1" s="1"/>
  <c r="BG423" i="1" s="1"/>
  <c r="BD327" i="1" a="1"/>
  <c r="BD327" i="1" s="1"/>
  <c r="BE327" i="1" s="1"/>
  <c r="BG327" i="1" s="1"/>
  <c r="BD171" i="1" a="1"/>
  <c r="BD171" i="1" s="1"/>
  <c r="BE171" i="1" s="1"/>
  <c r="BG171" i="1" s="1"/>
  <c r="BD303" i="1" a="1"/>
  <c r="BD303" i="1" s="1"/>
  <c r="BE303" i="1" s="1"/>
  <c r="BG303" i="1" s="1"/>
  <c r="BD159" i="1" a="1"/>
  <c r="BD159" i="1" s="1"/>
  <c r="BE159" i="1" s="1"/>
  <c r="BG159" i="1" s="1"/>
  <c r="BD221" i="1" a="1"/>
  <c r="BD221" i="1" s="1"/>
  <c r="BE221" i="1" s="1"/>
  <c r="BG221" i="1" s="1"/>
  <c r="BD80" i="1" a="1"/>
  <c r="BD80" i="1" s="1"/>
  <c r="BE80" i="1" s="1"/>
  <c r="BG80" i="1" s="1"/>
  <c r="AI162" i="1"/>
  <c r="AJ162" i="1" s="1"/>
  <c r="AO162" i="1" s="1"/>
  <c r="BD360" i="1" a="1"/>
  <c r="BD360" i="1" s="1"/>
  <c r="BE360" i="1" s="1"/>
  <c r="BG360" i="1" s="1"/>
  <c r="BD11" i="1" a="1"/>
  <c r="BD11" i="1" s="1"/>
  <c r="BE11" i="1" s="1"/>
  <c r="BG11" i="1" s="1"/>
  <c r="AI287" i="1"/>
  <c r="AJ287" i="1" s="1"/>
  <c r="AO287" i="1" s="1"/>
  <c r="BD217" i="1" a="1"/>
  <c r="BD217" i="1" s="1"/>
  <c r="BE217" i="1" s="1"/>
  <c r="BG217" i="1" s="1"/>
  <c r="AI439" i="1"/>
  <c r="AJ439" i="1" s="1"/>
  <c r="AO439" i="1" s="1"/>
  <c r="BD430" i="1" a="1"/>
  <c r="BD430" i="1" s="1"/>
  <c r="BE430" i="1" s="1"/>
  <c r="BG430" i="1" s="1"/>
  <c r="AI422" i="1"/>
  <c r="AJ422" i="1" s="1"/>
  <c r="AO422" i="1" s="1"/>
  <c r="BD424" i="1" a="1"/>
  <c r="BD424" i="1" s="1"/>
  <c r="BE424" i="1" s="1"/>
  <c r="BG424" i="1" s="1"/>
  <c r="AI438" i="1"/>
  <c r="BD162" i="1" a="1"/>
  <c r="BD162" i="1" s="1"/>
  <c r="BE162" i="1" s="1"/>
  <c r="BG162" i="1" s="1"/>
  <c r="BD316" i="1" a="1"/>
  <c r="BD316" i="1" s="1"/>
  <c r="BE316" i="1" s="1"/>
  <c r="BG316" i="1" s="1"/>
  <c r="BD339" i="1" a="1"/>
  <c r="BD339" i="1" s="1"/>
  <c r="BE339" i="1" s="1"/>
  <c r="BG339" i="1" s="1"/>
  <c r="BD275" i="1" a="1"/>
  <c r="BD275" i="1" s="1"/>
  <c r="BE275" i="1" s="1"/>
  <c r="BG275" i="1" s="1"/>
  <c r="BD160" i="1" a="1"/>
  <c r="BD160" i="1" s="1"/>
  <c r="BE160" i="1" s="1"/>
  <c r="BG160" i="1" s="1"/>
  <c r="AI76" i="1"/>
  <c r="AJ76" i="1" s="1"/>
  <c r="AO76" i="1" s="1"/>
  <c r="BU76" i="1" s="1"/>
  <c r="AI434" i="1"/>
  <c r="AJ434" i="1" s="1"/>
  <c r="AO434" i="1" s="1"/>
  <c r="BD434" i="1" a="1"/>
  <c r="BD434" i="1" s="1"/>
  <c r="BE434" i="1" s="1"/>
  <c r="BG434" i="1" s="1"/>
  <c r="BD206" i="1" a="1"/>
  <c r="BD206" i="1" s="1"/>
  <c r="BE206" i="1" s="1"/>
  <c r="BG206" i="1" s="1"/>
  <c r="BD383" i="1" a="1"/>
  <c r="BD383" i="1" s="1"/>
  <c r="BE383" i="1" s="1"/>
  <c r="BG383" i="1" s="1"/>
  <c r="BD443" i="1" a="1"/>
  <c r="BD443" i="1" s="1"/>
  <c r="BE443" i="1" s="1"/>
  <c r="BG443" i="1" s="1"/>
  <c r="BD368" i="1" a="1"/>
  <c r="BD368" i="1" s="1"/>
  <c r="BE368" i="1" s="1"/>
  <c r="BG368" i="1" s="1"/>
  <c r="BD119" i="1" a="1"/>
  <c r="BD119" i="1" s="1"/>
  <c r="BE119" i="1" s="1"/>
  <c r="BG119" i="1" s="1"/>
  <c r="BD411" i="1" a="1"/>
  <c r="BD411" i="1" s="1"/>
  <c r="BE411" i="1" s="1"/>
  <c r="BG411" i="1" s="1"/>
  <c r="BD291" i="1" a="1"/>
  <c r="BD291" i="1" s="1"/>
  <c r="BE291" i="1" s="1"/>
  <c r="BG291" i="1" s="1"/>
  <c r="BD41" i="1" a="1"/>
  <c r="BD41" i="1" s="1"/>
  <c r="BE41" i="1" s="1"/>
  <c r="BG41" i="1" s="1"/>
  <c r="BD444" i="1" a="1"/>
  <c r="BD444" i="1" s="1"/>
  <c r="BE444" i="1" s="1"/>
  <c r="BG444" i="1" s="1"/>
  <c r="BD344" i="1" a="1"/>
  <c r="BD344" i="1" s="1"/>
  <c r="BE344" i="1" s="1"/>
  <c r="BG344" i="1" s="1"/>
  <c r="BD71" i="1" a="1"/>
  <c r="BD71" i="1" s="1"/>
  <c r="BE71" i="1" s="1"/>
  <c r="BG71" i="1" s="1"/>
  <c r="AI25" i="1"/>
  <c r="AJ25" i="1" s="1"/>
  <c r="AO25" i="1" s="1"/>
  <c r="BD318" i="1" a="1"/>
  <c r="BD318" i="1" s="1"/>
  <c r="BE318" i="1" s="1"/>
  <c r="BG318" i="1" s="1"/>
  <c r="BD329" i="1" a="1"/>
  <c r="BD329" i="1" s="1"/>
  <c r="BE329" i="1" s="1"/>
  <c r="BG329" i="1" s="1"/>
  <c r="BD161" i="1" a="1"/>
  <c r="BD161" i="1" s="1"/>
  <c r="BE161" i="1" s="1"/>
  <c r="BG161" i="1" s="1"/>
  <c r="BD400" i="1" a="1"/>
  <c r="BD400" i="1" s="1"/>
  <c r="BE400" i="1" s="1"/>
  <c r="BG400" i="1" s="1"/>
  <c r="BD292" i="1" a="1"/>
  <c r="BD292" i="1" s="1"/>
  <c r="BE292" i="1" s="1"/>
  <c r="BG292" i="1" s="1"/>
  <c r="BD55" i="1" a="1"/>
  <c r="BD55" i="1" s="1"/>
  <c r="BE55" i="1" s="1"/>
  <c r="BG55" i="1" s="1"/>
  <c r="BD405" i="1" a="1"/>
  <c r="BD405" i="1" s="1"/>
  <c r="BE405" i="1" s="1"/>
  <c r="BG405" i="1" s="1"/>
  <c r="BD72" i="1" a="1"/>
  <c r="BD72" i="1" s="1"/>
  <c r="BE72" i="1" s="1"/>
  <c r="BG72" i="1" s="1"/>
  <c r="BD449" i="1" a="1"/>
  <c r="BD449" i="1" s="1"/>
  <c r="BE449" i="1" s="1"/>
  <c r="BG449" i="1" s="1"/>
  <c r="BD178" i="1" a="1"/>
  <c r="BD178" i="1" s="1"/>
  <c r="BE178" i="1" s="1"/>
  <c r="BG178" i="1" s="1"/>
  <c r="AI315" i="1"/>
  <c r="AJ315" i="1" s="1"/>
  <c r="AO315" i="1" s="1"/>
  <c r="AI290" i="1"/>
  <c r="AJ290" i="1" s="1"/>
  <c r="AO290" i="1" s="1"/>
  <c r="BD319" i="1" a="1"/>
  <c r="BD319" i="1" s="1"/>
  <c r="BE319" i="1" s="1"/>
  <c r="BG319" i="1" s="1"/>
  <c r="BD23" i="1" a="1"/>
  <c r="BD23" i="1" s="1"/>
  <c r="BE23" i="1" s="1"/>
  <c r="BG23" i="1" s="1"/>
  <c r="AI285" i="1"/>
  <c r="BD260" i="1" a="1"/>
  <c r="BD260" i="1" s="1"/>
  <c r="BE260" i="1" s="1"/>
  <c r="BG260" i="1" s="1"/>
  <c r="BD59" i="1" a="1"/>
  <c r="BD59" i="1" s="1"/>
  <c r="BE59" i="1" s="1"/>
  <c r="BG59" i="1" s="1"/>
  <c r="BD438" i="1" a="1"/>
  <c r="BD438" i="1" s="1"/>
  <c r="BE438" i="1" s="1"/>
  <c r="BG438" i="1" s="1"/>
  <c r="BD117" i="1" a="1"/>
  <c r="BD117" i="1" s="1"/>
  <c r="BE117" i="1" s="1"/>
  <c r="BG117" i="1" s="1"/>
  <c r="BD412" i="1" a="1"/>
  <c r="BD412" i="1" s="1"/>
  <c r="BE412" i="1" s="1"/>
  <c r="BG412" i="1" s="1"/>
  <c r="BD304" i="1" a="1"/>
  <c r="BD304" i="1" s="1"/>
  <c r="BE304" i="1" s="1"/>
  <c r="BG304" i="1" s="1"/>
  <c r="BD127" i="1" a="1"/>
  <c r="BD127" i="1" s="1"/>
  <c r="BE127" i="1" s="1"/>
  <c r="BG127" i="1" s="1"/>
  <c r="BD350" i="1" a="1"/>
  <c r="BD350" i="1" s="1"/>
  <c r="BE350" i="1" s="1"/>
  <c r="BG350" i="1" s="1"/>
  <c r="BD77" i="1" a="1"/>
  <c r="BD77" i="1" s="1"/>
  <c r="BE77" i="1" s="1"/>
  <c r="BG77" i="1" s="1"/>
  <c r="BD355" i="1" a="1"/>
  <c r="BD355" i="1" s="1"/>
  <c r="BE355" i="1" s="1"/>
  <c r="BG355" i="1" s="1"/>
  <c r="BD151" i="1" a="1"/>
  <c r="BD151" i="1" s="1"/>
  <c r="BE151" i="1" s="1"/>
  <c r="BG151" i="1" s="1"/>
  <c r="BD387" i="1" a="1"/>
  <c r="BD387" i="1" s="1"/>
  <c r="BE387" i="1" s="1"/>
  <c r="BG387" i="1" s="1"/>
  <c r="BD219" i="1" a="1"/>
  <c r="BD219" i="1" s="1"/>
  <c r="BE219" i="1" s="1"/>
  <c r="BG219" i="1" s="1"/>
  <c r="BD7" i="1" a="1"/>
  <c r="BD7" i="1" s="1"/>
  <c r="BE7" i="1" s="1"/>
  <c r="BG7" i="1" s="1"/>
  <c r="BD337" i="1" a="1"/>
  <c r="BD337" i="1" s="1"/>
  <c r="BE337" i="1" s="1"/>
  <c r="BG337" i="1" s="1"/>
  <c r="AI130" i="1"/>
  <c r="AJ130" i="1" s="1"/>
  <c r="AO130" i="1" s="1"/>
  <c r="BU130" i="1" s="1"/>
  <c r="BD311" i="1" a="1"/>
  <c r="BD311" i="1" s="1"/>
  <c r="BE311" i="1" s="1"/>
  <c r="BG311" i="1" s="1"/>
  <c r="AI194" i="1"/>
  <c r="AJ194" i="1" s="1"/>
  <c r="AO194" i="1" s="1"/>
  <c r="BD343" i="1" a="1"/>
  <c r="BD343" i="1" s="1"/>
  <c r="BE343" i="1" s="1"/>
  <c r="BG343" i="1" s="1"/>
  <c r="BD82" i="1" a="1"/>
  <c r="BD82" i="1" s="1"/>
  <c r="BE82" i="1" s="1"/>
  <c r="BG82" i="1" s="1"/>
  <c r="AI48" i="1"/>
  <c r="AJ48" i="1" s="1"/>
  <c r="AO48" i="1" s="1"/>
  <c r="BD375" i="1" a="1"/>
  <c r="BD375" i="1" s="1"/>
  <c r="BE375" i="1" s="1"/>
  <c r="BG375" i="1" s="1"/>
  <c r="BD195" i="1" a="1"/>
  <c r="BD195" i="1" s="1"/>
  <c r="BE195" i="1" s="1"/>
  <c r="BG195" i="1" s="1"/>
  <c r="AI367" i="1"/>
  <c r="AJ367" i="1" s="1"/>
  <c r="AO367" i="1" s="1"/>
  <c r="AI309" i="1"/>
  <c r="AJ309" i="1" s="1"/>
  <c r="AO309" i="1" s="1"/>
  <c r="AI60" i="1"/>
  <c r="AJ60" i="1" s="1"/>
  <c r="AO60" i="1" s="1"/>
  <c r="AI223" i="1"/>
  <c r="AJ223" i="1" s="1"/>
  <c r="AO223" i="1" s="1"/>
  <c r="AI441" i="1"/>
  <c r="AJ441" i="1" s="1"/>
  <c r="AO441" i="1" s="1"/>
  <c r="AI175" i="1"/>
  <c r="AJ175" i="1" s="1"/>
  <c r="AO175" i="1" s="1"/>
  <c r="AI92" i="1"/>
  <c r="AJ92" i="1" s="1"/>
  <c r="AO92" i="1" s="1"/>
  <c r="BU92" i="1" s="1"/>
  <c r="AI337" i="1"/>
  <c r="AJ337" i="1" s="1"/>
  <c r="AO337" i="1" s="1"/>
  <c r="BD389" i="1" a="1"/>
  <c r="BD389" i="1" s="1"/>
  <c r="BE389" i="1" s="1"/>
  <c r="BG389" i="1" s="1"/>
  <c r="BD9" i="1" a="1"/>
  <c r="BD9" i="1" s="1"/>
  <c r="BE9" i="1" s="1"/>
  <c r="BG9" i="1" s="1"/>
  <c r="BD328" i="1" a="1"/>
  <c r="BD328" i="1" s="1"/>
  <c r="BE328" i="1" s="1"/>
  <c r="BG328" i="1" s="1"/>
  <c r="BD172" i="1" a="1"/>
  <c r="BD172" i="1" s="1"/>
  <c r="BE172" i="1" s="1"/>
  <c r="BG172" i="1" s="1"/>
  <c r="AI331" i="1"/>
  <c r="AJ331" i="1" s="1"/>
  <c r="AO331" i="1" s="1"/>
  <c r="AI128" i="1"/>
  <c r="AJ128" i="1" s="1"/>
  <c r="AO128" i="1" s="1"/>
  <c r="BU128" i="1" s="1"/>
  <c r="AI421" i="1"/>
  <c r="AJ421" i="1" s="1"/>
  <c r="AO421" i="1" s="1"/>
  <c r="AI455" i="1"/>
  <c r="AJ455" i="1" s="1"/>
  <c r="AO455" i="1" s="1"/>
  <c r="AI339" i="1"/>
  <c r="AJ339" i="1" s="1"/>
  <c r="AO339" i="1" s="1"/>
  <c r="BD169" i="1" a="1"/>
  <c r="BD169" i="1" s="1"/>
  <c r="BE169" i="1" s="1"/>
  <c r="BG169" i="1" s="1"/>
  <c r="BD212" i="1" a="1"/>
  <c r="BD212" i="1" s="1"/>
  <c r="BE212" i="1" s="1"/>
  <c r="BG212" i="1" s="1"/>
  <c r="BD192" i="1" a="1"/>
  <c r="BD192" i="1" s="1"/>
  <c r="BE192" i="1" s="1"/>
  <c r="BG192" i="1" s="1"/>
  <c r="BD100" i="1" a="1"/>
  <c r="BD100" i="1" s="1"/>
  <c r="BE100" i="1" s="1"/>
  <c r="BG100" i="1" s="1"/>
  <c r="BD321" i="1" a="1"/>
  <c r="BD321" i="1" s="1"/>
  <c r="BE321" i="1" s="1"/>
  <c r="BG321" i="1" s="1"/>
  <c r="BD47" i="1" a="1"/>
  <c r="BD47" i="1" s="1"/>
  <c r="BE47" i="1" s="1"/>
  <c r="BG47" i="1" s="1"/>
  <c r="BD111" i="1" a="1"/>
  <c r="BD111" i="1" s="1"/>
  <c r="BE111" i="1" s="1"/>
  <c r="BG111" i="1" s="1"/>
  <c r="BD331" i="1" a="1"/>
  <c r="BD331" i="1" s="1"/>
  <c r="BE331" i="1" s="1"/>
  <c r="BG331" i="1" s="1"/>
  <c r="BD58" i="1" a="1"/>
  <c r="BD58" i="1" s="1"/>
  <c r="BE58" i="1" s="1"/>
  <c r="BG58" i="1" s="1"/>
  <c r="AI305" i="1"/>
  <c r="AJ305" i="1" s="1"/>
  <c r="AO305" i="1" s="1"/>
  <c r="AI237" i="1"/>
  <c r="AJ237" i="1" s="1"/>
  <c r="AO237" i="1" s="1"/>
  <c r="AI168" i="1"/>
  <c r="AJ168" i="1" s="1"/>
  <c r="AO168" i="1" s="1"/>
  <c r="AI371" i="1"/>
  <c r="AJ371" i="1" s="1"/>
  <c r="AO371" i="1" s="1"/>
  <c r="AI263" i="1"/>
  <c r="AJ263" i="1" s="1"/>
  <c r="AO263" i="1" s="1"/>
  <c r="AI243" i="1"/>
  <c r="AJ243" i="1" s="1"/>
  <c r="AO243" i="1" s="1"/>
  <c r="BD138" i="1" a="1"/>
  <c r="BD138" i="1" s="1"/>
  <c r="BE138" i="1" s="1"/>
  <c r="BG138" i="1" s="1"/>
  <c r="BD377" i="1" a="1"/>
  <c r="BD377" i="1" s="1"/>
  <c r="BE377" i="1" s="1"/>
  <c r="BG377" i="1" s="1"/>
  <c r="BD197" i="1" a="1"/>
  <c r="BD197" i="1" s="1"/>
  <c r="BE197" i="1" s="1"/>
  <c r="BG197" i="1" s="1"/>
  <c r="AI307" i="1"/>
  <c r="AJ307" i="1" s="1"/>
  <c r="AO307" i="1" s="1"/>
  <c r="AI359" i="1"/>
  <c r="AJ359" i="1" s="1"/>
  <c r="AO359" i="1" s="1"/>
  <c r="AI355" i="1"/>
  <c r="BD452" i="1" a="1"/>
  <c r="BD452" i="1" s="1"/>
  <c r="BE452" i="1" s="1"/>
  <c r="BG452" i="1" s="1"/>
  <c r="BD12" i="1" a="1"/>
  <c r="BD12" i="1" s="1"/>
  <c r="BE12" i="1" s="1"/>
  <c r="BG12" i="1" s="1"/>
  <c r="AI9" i="1"/>
  <c r="AJ9" i="1" s="1"/>
  <c r="AO9" i="1" s="1"/>
  <c r="AI215" i="1"/>
  <c r="AJ215" i="1" s="1"/>
  <c r="AO215" i="1" s="1"/>
  <c r="AI430" i="1"/>
  <c r="AJ430" i="1" s="1"/>
  <c r="AO430" i="1" s="1"/>
  <c r="BD52" i="1" a="1"/>
  <c r="BD52" i="1" s="1"/>
  <c r="BE52" i="1" s="1"/>
  <c r="BG52" i="1" s="1"/>
  <c r="AI139" i="1"/>
  <c r="AJ139" i="1" s="1"/>
  <c r="AO139" i="1" s="1"/>
  <c r="BU139" i="1" s="1"/>
  <c r="AI124" i="1"/>
  <c r="AJ124" i="1" s="1"/>
  <c r="AO124" i="1" s="1"/>
  <c r="BU124" i="1" s="1"/>
  <c r="AI283" i="1"/>
  <c r="AJ283" i="1" s="1"/>
  <c r="AO283" i="1" s="1"/>
  <c r="AI385" i="1"/>
  <c r="AJ385" i="1" s="1"/>
  <c r="AO385" i="1" s="1"/>
  <c r="AI112" i="1"/>
  <c r="BD306" i="1" a="1"/>
  <c r="BD306" i="1" s="1"/>
  <c r="BE306" i="1" s="1"/>
  <c r="BG306" i="1" s="1"/>
  <c r="BD419" i="1" a="1"/>
  <c r="BD419" i="1" s="1"/>
  <c r="BE419" i="1" s="1"/>
  <c r="BG419" i="1" s="1"/>
  <c r="BD305" i="1" a="1"/>
  <c r="BD305" i="1" s="1"/>
  <c r="BE305" i="1" s="1"/>
  <c r="BG305" i="1" s="1"/>
  <c r="BD149" i="1" a="1"/>
  <c r="BD149" i="1" s="1"/>
  <c r="BE149" i="1" s="1"/>
  <c r="BG149" i="1" s="1"/>
  <c r="BD408" i="1" a="1"/>
  <c r="BD408" i="1" s="1"/>
  <c r="BE408" i="1" s="1"/>
  <c r="BG408" i="1" s="1"/>
  <c r="AI335" i="1"/>
  <c r="AJ335" i="1" s="1"/>
  <c r="AO335" i="1" s="1"/>
  <c r="BD376" i="1" a="1"/>
  <c r="BD376" i="1" s="1"/>
  <c r="BE376" i="1" s="1"/>
  <c r="BG376" i="1" s="1"/>
  <c r="BD232" i="1" a="1"/>
  <c r="BD232" i="1" s="1"/>
  <c r="BE232" i="1" s="1"/>
  <c r="BG232" i="1" s="1"/>
  <c r="BD8" i="1" a="1"/>
  <c r="BD8" i="1" s="1"/>
  <c r="BE8" i="1" s="1"/>
  <c r="BG8" i="1" s="1"/>
  <c r="AI141" i="1"/>
  <c r="AJ141" i="1" s="1"/>
  <c r="AO141" i="1" s="1"/>
  <c r="AI417" i="1"/>
  <c r="AJ417" i="1" s="1"/>
  <c r="AO417" i="1" s="1"/>
  <c r="BD338" i="1" a="1"/>
  <c r="BD338" i="1" s="1"/>
  <c r="BE338" i="1" s="1"/>
  <c r="BG338" i="1" s="1"/>
  <c r="BD285" i="1" a="1"/>
  <c r="BD285" i="1" s="1"/>
  <c r="BE285" i="1" s="1"/>
  <c r="BG285" i="1" s="1"/>
  <c r="AI379" i="1"/>
  <c r="AJ379" i="1" s="1"/>
  <c r="AO379" i="1" s="1"/>
  <c r="AI387" i="1"/>
  <c r="AJ387" i="1" s="1"/>
  <c r="AO387" i="1" s="1"/>
  <c r="AI267" i="1"/>
  <c r="AJ267" i="1" s="1"/>
  <c r="AO267" i="1" s="1"/>
  <c r="AI217" i="1"/>
  <c r="AJ217" i="1" s="1"/>
  <c r="AO217" i="1" s="1"/>
  <c r="BD364" i="1" a="1"/>
  <c r="BD364" i="1" s="1"/>
  <c r="BE364" i="1" s="1"/>
  <c r="BG364" i="1" s="1"/>
  <c r="BD184" i="1" a="1"/>
  <c r="BD184" i="1" s="1"/>
  <c r="BE184" i="1" s="1"/>
  <c r="BG184" i="1" s="1"/>
  <c r="AI401" i="1"/>
  <c r="AJ401" i="1" s="1"/>
  <c r="AO401" i="1" s="1"/>
  <c r="AI108" i="1"/>
  <c r="AJ108" i="1" s="1"/>
  <c r="AO108" i="1" s="1"/>
  <c r="BU108" i="1" s="1"/>
  <c r="AI107" i="1"/>
  <c r="AJ107" i="1" s="1"/>
  <c r="AO107" i="1" s="1"/>
  <c r="BU107" i="1" s="1"/>
  <c r="AI256" i="1"/>
  <c r="AJ256" i="1" s="1"/>
  <c r="AO256" i="1" s="1"/>
  <c r="BD429" i="1" a="1"/>
  <c r="BD429" i="1" s="1"/>
  <c r="BE429" i="1" s="1"/>
  <c r="BG429" i="1" s="1"/>
  <c r="BD141" i="1" a="1"/>
  <c r="BD141" i="1" s="1"/>
  <c r="BE141" i="1" s="1"/>
  <c r="BG141" i="1" s="1"/>
  <c r="AI247" i="1"/>
  <c r="AJ247" i="1" s="1"/>
  <c r="AO247" i="1" s="1"/>
  <c r="BD415" i="1" a="1"/>
  <c r="BD415" i="1" s="1"/>
  <c r="BE415" i="1" s="1"/>
  <c r="BG415" i="1" s="1"/>
  <c r="BD163" i="1" a="1"/>
  <c r="BD163" i="1" s="1"/>
  <c r="BE163" i="1" s="1"/>
  <c r="BG163" i="1" s="1"/>
  <c r="AI96" i="1"/>
  <c r="AJ96" i="1" s="1"/>
  <c r="AO96" i="1" s="1"/>
  <c r="BU96" i="1" s="1"/>
  <c r="AI72" i="1"/>
  <c r="AJ72" i="1" s="1"/>
  <c r="AO72" i="1" s="1"/>
  <c r="AI159" i="1"/>
  <c r="AJ159" i="1" s="1"/>
  <c r="AO159" i="1" s="1"/>
  <c r="AI398" i="1"/>
  <c r="AJ398" i="1" s="1"/>
  <c r="AO398" i="1" s="1"/>
  <c r="AI206" i="1"/>
  <c r="AJ206" i="1" s="1"/>
  <c r="AO206" i="1" s="1"/>
  <c r="AI189" i="1"/>
  <c r="AJ189" i="1" s="1"/>
  <c r="AO189" i="1" s="1"/>
  <c r="AI84" i="1"/>
  <c r="AJ84" i="1" s="1"/>
  <c r="AO84" i="1" s="1"/>
  <c r="BU84" i="1" s="1"/>
  <c r="AI405" i="1"/>
  <c r="AJ405" i="1" s="1"/>
  <c r="AO405" i="1" s="1"/>
  <c r="BD392" i="1" a="1"/>
  <c r="BD392" i="1" s="1"/>
  <c r="BE392" i="1" s="1"/>
  <c r="BG392" i="1" s="1"/>
  <c r="BD140" i="1" a="1"/>
  <c r="BD140" i="1" s="1"/>
  <c r="BE140" i="1" s="1"/>
  <c r="BG140" i="1" s="1"/>
  <c r="AI458" i="1"/>
  <c r="AJ458" i="1" s="1"/>
  <c r="AO458" i="1" s="1"/>
  <c r="AI300" i="1"/>
  <c r="AJ300" i="1" s="1"/>
  <c r="AO300" i="1" s="1"/>
  <c r="AI203" i="1"/>
  <c r="AJ203" i="1" s="1"/>
  <c r="AO203" i="1" s="1"/>
  <c r="AI104" i="1"/>
  <c r="AJ104" i="1" s="1"/>
  <c r="AO104" i="1" s="1"/>
  <c r="BU104" i="1" s="1"/>
  <c r="BD226" i="1" a="1"/>
  <c r="BD226" i="1" s="1"/>
  <c r="BE226" i="1" s="1"/>
  <c r="BG226" i="1" s="1"/>
  <c r="BD26" i="1" a="1"/>
  <c r="BD26" i="1" s="1"/>
  <c r="BE26" i="1" s="1"/>
  <c r="BG26" i="1" s="1"/>
  <c r="BD28" i="1" a="1"/>
  <c r="BD28" i="1" s="1"/>
  <c r="BE28" i="1" s="1"/>
  <c r="BG28" i="1" s="1"/>
  <c r="BD407" i="1" a="1"/>
  <c r="BD407" i="1" s="1"/>
  <c r="BE407" i="1" s="1"/>
  <c r="BG407" i="1" s="1"/>
  <c r="AI375" i="1"/>
  <c r="AJ375" i="1" s="1"/>
  <c r="AO375" i="1" s="1"/>
  <c r="AI288" i="1"/>
  <c r="AJ288" i="1" s="1"/>
  <c r="AO288" i="1" s="1"/>
  <c r="AI395" i="1"/>
  <c r="AJ395" i="1" s="1"/>
  <c r="AO395" i="1" s="1"/>
  <c r="BD204" i="1" a="1"/>
  <c r="BD204" i="1" s="1"/>
  <c r="BE204" i="1" s="1"/>
  <c r="BG204" i="1" s="1"/>
  <c r="AI402" i="1"/>
  <c r="AJ402" i="1" s="1"/>
  <c r="AO402" i="1" s="1"/>
  <c r="AI437" i="1"/>
  <c r="AJ437" i="1" s="1"/>
  <c r="AO437" i="1" s="1"/>
  <c r="AI250" i="1"/>
  <c r="AJ250" i="1" s="1"/>
  <c r="AO250" i="1" s="1"/>
  <c r="AI393" i="1"/>
  <c r="AJ393" i="1" s="1"/>
  <c r="AO393" i="1" s="1"/>
  <c r="BD326" i="1" a="1"/>
  <c r="BD326" i="1" s="1"/>
  <c r="BE326" i="1" s="1"/>
  <c r="BG326" i="1" s="1"/>
  <c r="BD18" i="1" a="1"/>
  <c r="BD18" i="1" s="1"/>
  <c r="BE18" i="1" s="1"/>
  <c r="BG18" i="1" s="1"/>
  <c r="AI425" i="1"/>
  <c r="AJ425" i="1" s="1"/>
  <c r="AO425" i="1" s="1"/>
  <c r="BD453" i="1" a="1"/>
  <c r="BD453" i="1" s="1"/>
  <c r="BE453" i="1" s="1"/>
  <c r="BG453" i="1" s="1"/>
  <c r="BD177" i="1" a="1"/>
  <c r="BD177" i="1" s="1"/>
  <c r="BE177" i="1" s="1"/>
  <c r="BG177" i="1" s="1"/>
  <c r="AI426" i="1"/>
  <c r="AJ426" i="1" s="1"/>
  <c r="AO426" i="1" s="1"/>
  <c r="AI180" i="1"/>
  <c r="AJ180" i="1" s="1"/>
  <c r="AO180" i="1" s="1"/>
  <c r="BD372" i="1" a="1"/>
  <c r="BD372" i="1" s="1"/>
  <c r="BE372" i="1" s="1"/>
  <c r="BG372" i="1" s="1"/>
  <c r="AI383" i="1"/>
  <c r="AJ383" i="1" s="1"/>
  <c r="AO383" i="1" s="1"/>
  <c r="AI238" i="1"/>
  <c r="AJ238" i="1" s="1"/>
  <c r="AO238" i="1" s="1"/>
  <c r="AI120" i="1"/>
  <c r="AJ120" i="1" s="1"/>
  <c r="AO120" i="1" s="1"/>
  <c r="BU120" i="1" s="1"/>
  <c r="BD290" i="1" a="1"/>
  <c r="BD290" i="1" s="1"/>
  <c r="BE290" i="1" s="1"/>
  <c r="BG290" i="1" s="1"/>
  <c r="AI197" i="1"/>
  <c r="AJ197" i="1" s="1"/>
  <c r="AO197" i="1" s="1"/>
  <c r="BD322" i="1" a="1"/>
  <c r="BD322" i="1" s="1"/>
  <c r="BE322" i="1" s="1"/>
  <c r="BG322" i="1" s="1"/>
  <c r="BD166" i="1" a="1"/>
  <c r="BD166" i="1" s="1"/>
  <c r="BE166" i="1" s="1"/>
  <c r="BG166" i="1" s="1"/>
  <c r="AI445" i="1"/>
  <c r="AJ445" i="1" s="1"/>
  <c r="AO445" i="1" s="1"/>
  <c r="AI433" i="1"/>
  <c r="AJ433" i="1" s="1"/>
  <c r="AO433" i="1" s="1"/>
  <c r="AI154" i="1"/>
  <c r="AJ154" i="1" s="1"/>
  <c r="AO154" i="1" s="1"/>
  <c r="AI412" i="1"/>
  <c r="AJ412" i="1" s="1"/>
  <c r="AO412" i="1" s="1"/>
  <c r="AI187" i="1"/>
  <c r="AJ187" i="1" s="1"/>
  <c r="AO187" i="1" s="1"/>
  <c r="AI207" i="1"/>
  <c r="AJ207" i="1" s="1"/>
  <c r="AO207" i="1" s="1"/>
  <c r="AI414" i="1"/>
  <c r="AJ414" i="1" s="1"/>
  <c r="AO414" i="1" s="1"/>
  <c r="AI101" i="1"/>
  <c r="AJ101" i="1" s="1"/>
  <c r="AI325" i="1"/>
  <c r="AJ325" i="1" s="1"/>
  <c r="AO325" i="1" s="1"/>
  <c r="AI64" i="1"/>
  <c r="AJ64" i="1" s="1"/>
  <c r="AO64" i="1" s="1"/>
  <c r="AI450" i="1"/>
  <c r="AJ450" i="1" s="1"/>
  <c r="AO450" i="1" s="1"/>
  <c r="BD27" i="1" a="1"/>
  <c r="BD27" i="1" s="1"/>
  <c r="BE27" i="1" s="1"/>
  <c r="BG27" i="1" s="1"/>
  <c r="AI370" i="1"/>
  <c r="AJ370" i="1" s="1"/>
  <c r="AO370" i="1" s="1"/>
  <c r="AI91" i="1"/>
  <c r="AJ91" i="1" s="1"/>
  <c r="AO91" i="1" s="1"/>
  <c r="BU91" i="1" s="1"/>
  <c r="AI411" i="1"/>
  <c r="AJ411" i="1" s="1"/>
  <c r="AO411" i="1" s="1"/>
  <c r="BD353" i="1" a="1"/>
  <c r="BD353" i="1" s="1"/>
  <c r="BE353" i="1" s="1"/>
  <c r="BG353" i="1" s="1"/>
  <c r="BD185" i="1" a="1"/>
  <c r="BD185" i="1" s="1"/>
  <c r="BE185" i="1" s="1"/>
  <c r="BG185" i="1" s="1"/>
  <c r="AI453" i="1"/>
  <c r="AJ453" i="1" s="1"/>
  <c r="AO453" i="1" s="1"/>
  <c r="AI95" i="1"/>
  <c r="AJ95" i="1" s="1"/>
  <c r="AO95" i="1" s="1"/>
  <c r="BU95" i="1" s="1"/>
  <c r="BD385" i="1" a="1"/>
  <c r="BD385" i="1" s="1"/>
  <c r="BE385" i="1" s="1"/>
  <c r="BG385" i="1" s="1"/>
  <c r="BD229" i="1" a="1"/>
  <c r="BD229" i="1" s="1"/>
  <c r="BE229" i="1" s="1"/>
  <c r="BG229" i="1" s="1"/>
  <c r="BD29" i="1" a="1"/>
  <c r="BD29" i="1" s="1"/>
  <c r="BE29" i="1" s="1"/>
  <c r="BG29" i="1" s="1"/>
  <c r="AI312" i="1"/>
  <c r="AJ312" i="1" s="1"/>
  <c r="AO312" i="1" s="1"/>
  <c r="AI216" i="1"/>
  <c r="AJ216" i="1" s="1"/>
  <c r="AO216" i="1" s="1"/>
  <c r="AI353" i="1"/>
  <c r="AJ353" i="1" s="1"/>
  <c r="AO353" i="1" s="1"/>
  <c r="AI257" i="1"/>
  <c r="AJ257" i="1" s="1"/>
  <c r="AO257" i="1" s="1"/>
  <c r="AI147" i="1"/>
  <c r="AJ147" i="1" s="1"/>
  <c r="AO147" i="1" s="1"/>
  <c r="BD404" i="1" a="1"/>
  <c r="BD404" i="1" s="1"/>
  <c r="BE404" i="1" s="1"/>
  <c r="BG404" i="1" s="1"/>
  <c r="BD176" i="1" a="1"/>
  <c r="BD176" i="1" s="1"/>
  <c r="BE176" i="1" s="1"/>
  <c r="BG176" i="1" s="1"/>
  <c r="AI77" i="1"/>
  <c r="AJ77" i="1" s="1"/>
  <c r="AO77" i="1" s="1"/>
  <c r="AI391" i="1"/>
  <c r="AJ391" i="1" s="1"/>
  <c r="AO391" i="1" s="1"/>
  <c r="AI27" i="1"/>
  <c r="AJ27" i="1" s="1"/>
  <c r="AO27" i="1" s="1"/>
  <c r="AI10" i="1"/>
  <c r="AJ10" i="1" s="1"/>
  <c r="AO10" i="1" s="1"/>
  <c r="AI103" i="1"/>
  <c r="AJ103" i="1" s="1"/>
  <c r="AO103" i="1" s="1"/>
  <c r="BU103" i="1" s="1"/>
  <c r="AI258" i="1"/>
  <c r="AJ258" i="1" s="1"/>
  <c r="AO258" i="1" s="1"/>
  <c r="AI406" i="1"/>
  <c r="AJ406" i="1" s="1"/>
  <c r="AO406" i="1" s="1"/>
  <c r="AI119" i="1"/>
  <c r="AJ119" i="1" s="1"/>
  <c r="AO119" i="1" s="1"/>
  <c r="BU119" i="1" s="1"/>
  <c r="BD396" i="1" a="1"/>
  <c r="BD396" i="1" s="1"/>
  <c r="BE396" i="1" s="1"/>
  <c r="BG396" i="1" s="1"/>
  <c r="AI378" i="1"/>
  <c r="AJ378" i="1" s="1"/>
  <c r="AO378" i="1" s="1"/>
  <c r="AI363" i="1"/>
  <c r="AJ363" i="1" s="1"/>
  <c r="AO363" i="1" s="1"/>
  <c r="AI255" i="1"/>
  <c r="AJ255" i="1" s="1"/>
  <c r="AO255" i="1" s="1"/>
  <c r="AI326" i="1"/>
  <c r="AJ326" i="1" s="1"/>
  <c r="AO326" i="1" s="1"/>
  <c r="AI89" i="1"/>
  <c r="AJ89" i="1" s="1"/>
  <c r="AO89" i="1" s="1"/>
  <c r="BU89" i="1" s="1"/>
  <c r="AI409" i="1"/>
  <c r="AJ409" i="1" s="1"/>
  <c r="AO409" i="1" s="1"/>
  <c r="AI100" i="1"/>
  <c r="AJ100" i="1" s="1"/>
  <c r="AO100" i="1" s="1"/>
  <c r="BU100" i="1" s="1"/>
  <c r="AI204" i="1"/>
  <c r="AJ204" i="1" s="1"/>
  <c r="AO204" i="1" s="1"/>
  <c r="AI123" i="1"/>
  <c r="AJ123" i="1" s="1"/>
  <c r="AO123" i="1" s="1"/>
  <c r="BU123" i="1" s="1"/>
  <c r="AI222" i="1"/>
  <c r="AJ222" i="1" s="1"/>
  <c r="AO222" i="1" s="1"/>
  <c r="AI443" i="1"/>
  <c r="AJ443" i="1" s="1"/>
  <c r="AO443" i="1" s="1"/>
  <c r="AI394" i="1"/>
  <c r="AJ394" i="1" s="1"/>
  <c r="AO394" i="1" s="1"/>
  <c r="AI317" i="1"/>
  <c r="AJ317" i="1" s="1"/>
  <c r="AO317" i="1" s="1"/>
  <c r="AI447" i="1"/>
  <c r="AJ447" i="1" s="1"/>
  <c r="AO447" i="1" s="1"/>
  <c r="AI446" i="1"/>
  <c r="AJ446" i="1" s="1"/>
  <c r="AO446" i="1" s="1"/>
  <c r="AI397" i="1"/>
  <c r="AJ397" i="1" s="1"/>
  <c r="AO397" i="1" s="1"/>
  <c r="AI313" i="1"/>
  <c r="AJ313" i="1" s="1"/>
  <c r="AO313" i="1" s="1"/>
  <c r="BD258" i="1" a="1"/>
  <c r="BD258" i="1" s="1"/>
  <c r="BE258" i="1" s="1"/>
  <c r="BG258" i="1" s="1"/>
  <c r="AI431" i="1"/>
  <c r="AJ431" i="1" s="1"/>
  <c r="AO431" i="1" s="1"/>
  <c r="AI80" i="1"/>
  <c r="AJ80" i="1" s="1"/>
  <c r="AO80" i="1" s="1"/>
  <c r="BU80" i="1" s="1"/>
  <c r="AI282" i="1"/>
  <c r="AJ282" i="1" s="1"/>
  <c r="AO282" i="1" s="1"/>
  <c r="AI291" i="1"/>
  <c r="AJ291" i="1" s="1"/>
  <c r="AO291" i="1" s="1"/>
  <c r="AI435" i="1"/>
  <c r="AJ435" i="1" s="1"/>
  <c r="AO435" i="1" s="1"/>
  <c r="AI111" i="1"/>
  <c r="AJ111" i="1" s="1"/>
  <c r="AO111" i="1" s="1"/>
  <c r="BU111" i="1" s="1"/>
  <c r="AI210" i="1"/>
  <c r="AJ210" i="1" s="1"/>
  <c r="AO210" i="1" s="1"/>
  <c r="AI419" i="1"/>
  <c r="AJ419" i="1" s="1"/>
  <c r="AO419" i="1" s="1"/>
  <c r="AI454" i="1"/>
  <c r="AJ454" i="1" s="1"/>
  <c r="AO454" i="1" s="1"/>
  <c r="AI381" i="1"/>
  <c r="AJ381" i="1" s="1"/>
  <c r="AO381" i="1" s="1"/>
  <c r="AI161" i="1"/>
  <c r="AJ161" i="1" s="1"/>
  <c r="AO161" i="1" s="1"/>
  <c r="AI115" i="1"/>
  <c r="AJ115" i="1" s="1"/>
  <c r="AO115" i="1" s="1"/>
  <c r="BU115" i="1" s="1"/>
  <c r="AI403" i="1"/>
  <c r="AJ403" i="1" s="1"/>
  <c r="AO403" i="1" s="1"/>
  <c r="AI451" i="1"/>
  <c r="AJ451" i="1" s="1"/>
  <c r="AO451" i="1" s="1"/>
  <c r="AI429" i="1"/>
  <c r="AJ429" i="1" s="1"/>
  <c r="AO429" i="1" s="1"/>
  <c r="AI423" i="1"/>
  <c r="AJ423" i="1" s="1"/>
  <c r="AO423" i="1" s="1"/>
  <c r="AI158" i="1"/>
  <c r="AJ158" i="1" s="1"/>
  <c r="AO158" i="1" s="1"/>
  <c r="AI289" i="1"/>
  <c r="AJ289" i="1" s="1"/>
  <c r="AO289" i="1" s="1"/>
  <c r="AI145" i="1"/>
  <c r="AJ145" i="1" s="1"/>
  <c r="AO145" i="1" s="1"/>
  <c r="AI99" i="1"/>
  <c r="AJ99" i="1" s="1"/>
  <c r="AO99" i="1" s="1"/>
  <c r="BU99" i="1" s="1"/>
  <c r="AI407" i="1"/>
  <c r="AJ407" i="1" s="1"/>
  <c r="AO407" i="1" s="1"/>
  <c r="AI235" i="1"/>
  <c r="AJ235" i="1" s="1"/>
  <c r="AO235" i="1" s="1"/>
  <c r="AI442" i="1"/>
  <c r="AJ442" i="1" s="1"/>
  <c r="AO442" i="1" s="1"/>
  <c r="AI214" i="1"/>
  <c r="AJ214" i="1" s="1"/>
  <c r="AO214" i="1" s="1"/>
  <c r="AI369" i="1"/>
  <c r="AJ369" i="1" s="1"/>
  <c r="AO369" i="1" s="1"/>
  <c r="BD143" i="1" a="1"/>
  <c r="BD143" i="1" s="1"/>
  <c r="BE143" i="1" s="1"/>
  <c r="BG143" i="1" s="1"/>
  <c r="AI389" i="1"/>
  <c r="AJ389" i="1" s="1"/>
  <c r="AO389" i="1" s="1"/>
  <c r="AI149" i="1"/>
  <c r="AJ149" i="1" s="1"/>
  <c r="AO149" i="1" s="1"/>
  <c r="AI357" i="1"/>
  <c r="AJ357" i="1" s="1"/>
  <c r="AO357" i="1" s="1"/>
  <c r="AI427" i="1"/>
  <c r="AJ427" i="1" s="1"/>
  <c r="AO427" i="1" s="1"/>
  <c r="AI195" i="1"/>
  <c r="AJ195" i="1" s="1"/>
  <c r="AO195" i="1" s="1"/>
  <c r="AI280" i="1"/>
  <c r="AJ280" i="1" s="1"/>
  <c r="AO280" i="1" s="1"/>
  <c r="BD309" i="1" a="1"/>
  <c r="BD309" i="1" s="1"/>
  <c r="BE309" i="1" s="1"/>
  <c r="BG309" i="1" s="1"/>
  <c r="BD13" i="1" a="1"/>
  <c r="BD13" i="1" s="1"/>
  <c r="BE13" i="1" s="1"/>
  <c r="BG13" i="1" s="1"/>
  <c r="AI390" i="1"/>
  <c r="AJ390" i="1" s="1"/>
  <c r="AO390" i="1" s="1"/>
  <c r="AI399" i="1"/>
  <c r="AJ399" i="1" s="1"/>
  <c r="AO399" i="1" s="1"/>
  <c r="AI146" i="1"/>
  <c r="AJ146" i="1" s="1"/>
  <c r="AO146" i="1" s="1"/>
  <c r="AI135" i="1"/>
  <c r="AJ135" i="1" s="1"/>
  <c r="AO135" i="1" s="1"/>
  <c r="BU135" i="1" s="1"/>
  <c r="AI306" i="1"/>
  <c r="AJ306" i="1" s="1"/>
  <c r="AO306" i="1" s="1"/>
  <c r="AI202" i="1"/>
  <c r="AJ202" i="1" s="1"/>
  <c r="AO202" i="1" s="1"/>
  <c r="AI345" i="1"/>
  <c r="AJ345" i="1" s="1"/>
  <c r="AO345" i="1" s="1"/>
  <c r="AI213" i="1"/>
  <c r="AJ213" i="1" s="1"/>
  <c r="AO213" i="1" s="1"/>
  <c r="AI452" i="1"/>
  <c r="AJ452" i="1" s="1"/>
  <c r="AO452" i="1" s="1"/>
  <c r="AI56" i="1"/>
  <c r="AJ56" i="1" s="1"/>
  <c r="AO56" i="1" s="1"/>
  <c r="AI410" i="1"/>
  <c r="AI51" i="1"/>
  <c r="AJ51" i="1" s="1"/>
  <c r="AO51" i="1" s="1"/>
  <c r="AI268" i="1"/>
  <c r="AJ268" i="1" s="1"/>
  <c r="AO268" i="1" s="1"/>
  <c r="AI19" i="1"/>
  <c r="AJ19" i="1" s="1"/>
  <c r="AO19" i="1" s="1"/>
  <c r="AI174" i="1"/>
  <c r="AJ174" i="1" s="1"/>
  <c r="AO174" i="1" s="1"/>
  <c r="AI230" i="1"/>
  <c r="AJ230" i="1" s="1"/>
  <c r="AO230" i="1" s="1"/>
  <c r="BD187" i="1" a="1"/>
  <c r="BD187" i="1" s="1"/>
  <c r="BE187" i="1" s="1"/>
  <c r="BG187" i="1" s="1"/>
  <c r="AI129" i="1"/>
  <c r="AJ129" i="1" s="1"/>
  <c r="AO129" i="1" s="1"/>
  <c r="BU129" i="1" s="1"/>
  <c r="AI420" i="1"/>
  <c r="AJ420" i="1" s="1"/>
  <c r="AO420" i="1" s="1"/>
  <c r="AI109" i="1"/>
  <c r="AJ109" i="1" s="1"/>
  <c r="AO109" i="1" s="1"/>
  <c r="BU109" i="1" s="1"/>
  <c r="AI333" i="1"/>
  <c r="AJ333" i="1" s="1"/>
  <c r="AO333" i="1" s="1"/>
  <c r="AI116" i="1"/>
  <c r="AJ116" i="1" s="1"/>
  <c r="AO116" i="1" s="1"/>
  <c r="BU116" i="1" s="1"/>
  <c r="AI242" i="1"/>
  <c r="AJ242" i="1" s="1"/>
  <c r="AO242" i="1" s="1"/>
  <c r="AI373" i="1"/>
  <c r="AJ373" i="1" s="1"/>
  <c r="AO373" i="1" s="1"/>
  <c r="AI319" i="1"/>
  <c r="AJ319" i="1" s="1"/>
  <c r="AO319" i="1" s="1"/>
  <c r="AI228" i="1"/>
  <c r="AJ228" i="1" s="1"/>
  <c r="AO228" i="1" s="1"/>
  <c r="AI415" i="1"/>
  <c r="AJ415" i="1" s="1"/>
  <c r="AO415" i="1" s="1"/>
  <c r="AI86" i="1"/>
  <c r="AJ86" i="1" s="1"/>
  <c r="AO86" i="1" s="1"/>
  <c r="BU86" i="1" s="1"/>
  <c r="AI418" i="1"/>
  <c r="AJ418" i="1" s="1"/>
  <c r="AO418" i="1" s="1"/>
  <c r="AI262" i="1"/>
  <c r="AJ262" i="1" s="1"/>
  <c r="AO262" i="1" s="1"/>
  <c r="AI449" i="1"/>
  <c r="AJ449" i="1" s="1"/>
  <c r="AO449" i="1" s="1"/>
  <c r="AI341" i="1"/>
  <c r="AJ341" i="1" s="1"/>
  <c r="AO341" i="1" s="1"/>
  <c r="AI245" i="1"/>
  <c r="AJ245" i="1" s="1"/>
  <c r="AO245" i="1" s="1"/>
  <c r="AI460" i="1"/>
  <c r="AJ460" i="1" s="1"/>
  <c r="AO460" i="1" s="1"/>
  <c r="AI364" i="1"/>
  <c r="AJ364" i="1" s="1"/>
  <c r="AO364" i="1" s="1"/>
  <c r="AI196" i="1"/>
  <c r="AJ196" i="1" s="1"/>
  <c r="AO196" i="1" s="1"/>
  <c r="AI327" i="1"/>
  <c r="AJ327" i="1" s="1"/>
  <c r="AO327" i="1" s="1"/>
  <c r="AI78" i="1"/>
  <c r="AJ78" i="1" s="1"/>
  <c r="AO78" i="1" s="1"/>
  <c r="BU78" i="1" s="1"/>
  <c r="AI350" i="1"/>
  <c r="AJ350" i="1" s="1"/>
  <c r="AO350" i="1" s="1"/>
  <c r="AI70" i="1"/>
  <c r="AJ70" i="1" s="1"/>
  <c r="AO70" i="1" s="1"/>
  <c r="AI348" i="1"/>
  <c r="AJ348" i="1" s="1"/>
  <c r="AO348" i="1" s="1"/>
  <c r="AI50" i="1"/>
  <c r="AJ50" i="1" s="1"/>
  <c r="AO50" i="1" s="1"/>
  <c r="AI251" i="1"/>
  <c r="AJ251" i="1" s="1"/>
  <c r="AO251" i="1" s="1"/>
  <c r="AI58" i="1"/>
  <c r="AJ58" i="1" s="1"/>
  <c r="AO58" i="1" s="1"/>
  <c r="AI298" i="1"/>
  <c r="AJ298" i="1" s="1"/>
  <c r="AO298" i="1" s="1"/>
  <c r="AI321" i="1"/>
  <c r="AJ321" i="1" s="1"/>
  <c r="AO321" i="1" s="1"/>
  <c r="AI153" i="1"/>
  <c r="AJ153" i="1" s="1"/>
  <c r="AO153" i="1" s="1"/>
  <c r="AI392" i="1"/>
  <c r="AJ392" i="1" s="1"/>
  <c r="AO392" i="1" s="1"/>
  <c r="AI320" i="1"/>
  <c r="AJ320" i="1" s="1"/>
  <c r="AO320" i="1" s="1"/>
  <c r="AI224" i="1"/>
  <c r="AJ224" i="1" s="1"/>
  <c r="AO224" i="1" s="1"/>
  <c r="AI140" i="1"/>
  <c r="AJ140" i="1" s="1"/>
  <c r="AO140" i="1" s="1"/>
  <c r="AI83" i="1"/>
  <c r="AJ83" i="1" s="1"/>
  <c r="AO83" i="1" s="1"/>
  <c r="BU83" i="1" s="1"/>
  <c r="AI281" i="1"/>
  <c r="AJ281" i="1" s="1"/>
  <c r="AO281" i="1" s="1"/>
  <c r="AI352" i="1"/>
  <c r="AJ352" i="1" s="1"/>
  <c r="AO352" i="1" s="1"/>
  <c r="AI184" i="1"/>
  <c r="AJ184" i="1" s="1"/>
  <c r="AO184" i="1" s="1"/>
  <c r="AI66" i="1"/>
  <c r="AJ66" i="1" s="1"/>
  <c r="AO66" i="1" s="1"/>
  <c r="AI57" i="1"/>
  <c r="AJ57" i="1" s="1"/>
  <c r="AO57" i="1" s="1"/>
  <c r="AI336" i="1"/>
  <c r="AJ336" i="1" s="1"/>
  <c r="AO336" i="1" s="1"/>
  <c r="AI252" i="1"/>
  <c r="AJ252" i="1" s="1"/>
  <c r="AO252" i="1" s="1"/>
  <c r="AI150" i="1"/>
  <c r="AJ150" i="1" s="1"/>
  <c r="AO150" i="1" s="1"/>
  <c r="AI286" i="1"/>
  <c r="AJ286" i="1" s="1"/>
  <c r="AO286" i="1" s="1"/>
  <c r="AI142" i="1"/>
  <c r="AJ142" i="1" s="1"/>
  <c r="AO142" i="1" s="1"/>
  <c r="AI12" i="1"/>
  <c r="AJ12" i="1" s="1"/>
  <c r="AO12" i="1" s="1"/>
  <c r="AI380" i="1"/>
  <c r="AJ380" i="1" s="1"/>
  <c r="AO380" i="1" s="1"/>
  <c r="AI212" i="1"/>
  <c r="AJ212" i="1" s="1"/>
  <c r="AO212" i="1" s="1"/>
  <c r="AI131" i="1"/>
  <c r="AJ131" i="1" s="1"/>
  <c r="AO131" i="1" s="1"/>
  <c r="AI71" i="1"/>
  <c r="AJ71" i="1" s="1"/>
  <c r="AO71" i="1" s="1"/>
  <c r="AJ155" i="1"/>
  <c r="AO155" i="1" s="1"/>
  <c r="AI181" i="1"/>
  <c r="AJ181" i="1" s="1"/>
  <c r="AO181" i="1" s="1"/>
  <c r="AI340" i="1"/>
  <c r="AJ340" i="1" s="1"/>
  <c r="AO340" i="1" s="1"/>
  <c r="AI172" i="1"/>
  <c r="AJ172" i="1" s="1"/>
  <c r="AO172" i="1" s="1"/>
  <c r="AI54" i="1"/>
  <c r="AJ54" i="1" s="1"/>
  <c r="AO54" i="1" s="1"/>
  <c r="AI211" i="1"/>
  <c r="AJ211" i="1" s="1"/>
  <c r="AO211" i="1" s="1"/>
  <c r="AI396" i="1"/>
  <c r="AJ396" i="1" s="1"/>
  <c r="AO396" i="1" s="1"/>
  <c r="AI299" i="1"/>
  <c r="AJ299" i="1" s="1"/>
  <c r="AO299" i="1" s="1"/>
  <c r="AI133" i="1"/>
  <c r="AJ133" i="1" s="1"/>
  <c r="AO133" i="1" s="1"/>
  <c r="AI259" i="1"/>
  <c r="AJ259" i="1" s="1"/>
  <c r="AO259" i="1" s="1"/>
  <c r="AI368" i="1"/>
  <c r="AJ368" i="1" s="1"/>
  <c r="AO368" i="1" s="1"/>
  <c r="AI284" i="1"/>
  <c r="AJ284" i="1" s="1"/>
  <c r="AO284" i="1" s="1"/>
  <c r="AJ296" i="1"/>
  <c r="AO296" i="1" s="1"/>
  <c r="AI241" i="1"/>
  <c r="AJ241" i="1" s="1"/>
  <c r="AO241" i="1" s="1"/>
  <c r="AI169" i="1"/>
  <c r="AJ169" i="1" s="1"/>
  <c r="AO169" i="1" s="1"/>
  <c r="AI201" i="1"/>
  <c r="AJ201" i="1" s="1"/>
  <c r="AO201" i="1" s="1"/>
  <c r="AI440" i="1"/>
  <c r="AJ440" i="1" s="1"/>
  <c r="AO440" i="1" s="1"/>
  <c r="AI188" i="1"/>
  <c r="AJ188" i="1" s="1"/>
  <c r="AO188" i="1" s="1"/>
  <c r="AI329" i="1"/>
  <c r="AJ329" i="1" s="1"/>
  <c r="AO329" i="1" s="1"/>
  <c r="AI328" i="1"/>
  <c r="AJ328" i="1" s="1"/>
  <c r="AO328" i="1" s="1"/>
  <c r="AI82" i="1"/>
  <c r="AJ82" i="1" s="1"/>
  <c r="AO82" i="1" s="1"/>
  <c r="BU82" i="1" s="1"/>
  <c r="AI384" i="1"/>
  <c r="AJ384" i="1" s="1"/>
  <c r="AO384" i="1" s="1"/>
  <c r="AI144" i="1"/>
  <c r="AJ144" i="1" s="1"/>
  <c r="AO144" i="1" s="1"/>
  <c r="AI190" i="1"/>
  <c r="AJ190" i="1" s="1"/>
  <c r="AO190" i="1" s="1"/>
  <c r="AI354" i="1"/>
  <c r="AJ354" i="1" s="1"/>
  <c r="AO354" i="1" s="1"/>
  <c r="AI199" i="1"/>
  <c r="AJ199" i="1" s="1"/>
  <c r="AO199" i="1" s="1"/>
  <c r="AI356" i="1"/>
  <c r="AJ356" i="1" s="1"/>
  <c r="AO356" i="1" s="1"/>
  <c r="AI272" i="1"/>
  <c r="AJ272" i="1" s="1"/>
  <c r="AO272" i="1" s="1"/>
  <c r="AI20" i="1"/>
  <c r="AJ20" i="1" s="1"/>
  <c r="AO20" i="1" s="1"/>
  <c r="AI138" i="1"/>
  <c r="AJ138" i="1" s="1"/>
  <c r="AO138" i="1" s="1"/>
  <c r="BU138" i="1" s="1"/>
  <c r="AI400" i="1"/>
  <c r="AJ400" i="1" s="1"/>
  <c r="AO400" i="1" s="1"/>
  <c r="AI229" i="1"/>
  <c r="AJ229" i="1" s="1"/>
  <c r="AO229" i="1" s="1"/>
  <c r="AI358" i="1"/>
  <c r="AJ358" i="1" s="1"/>
  <c r="AO358" i="1" s="1"/>
  <c r="AI21" i="1"/>
  <c r="AJ21" i="1" s="1"/>
  <c r="AO21" i="1" s="1"/>
  <c r="AJ26" i="1"/>
  <c r="AO26" i="1" s="1"/>
  <c r="AI388" i="1"/>
  <c r="AJ388" i="1" s="1"/>
  <c r="AO388" i="1" s="1"/>
  <c r="AI316" i="1"/>
  <c r="AJ316" i="1" s="1"/>
  <c r="AO316" i="1" s="1"/>
  <c r="AI232" i="1"/>
  <c r="AJ232" i="1" s="1"/>
  <c r="AO232" i="1" s="1"/>
  <c r="AI67" i="1"/>
  <c r="AJ67" i="1" s="1"/>
  <c r="AO67" i="1" s="1"/>
  <c r="AI52" i="1"/>
  <c r="AJ52" i="1" s="1"/>
  <c r="AO52" i="1" s="1"/>
  <c r="AI372" i="1"/>
  <c r="AJ372" i="1" s="1"/>
  <c r="AO372" i="1" s="1"/>
  <c r="AI22" i="1"/>
  <c r="AJ22" i="1" s="1"/>
  <c r="AO22" i="1" s="1"/>
  <c r="AI347" i="1"/>
  <c r="AJ347" i="1" s="1"/>
  <c r="AO347" i="1" s="1"/>
  <c r="AI178" i="1"/>
  <c r="AJ178" i="1" s="1"/>
  <c r="AO178" i="1" s="1"/>
  <c r="AI81" i="1"/>
  <c r="AJ81" i="1" s="1"/>
  <c r="AO81" i="1" s="1"/>
  <c r="BU81" i="1" s="1"/>
  <c r="AI117" i="1"/>
  <c r="AJ117" i="1" s="1"/>
  <c r="AO117" i="1" s="1"/>
  <c r="BU117" i="1" s="1"/>
  <c r="AI416" i="1"/>
  <c r="AJ416" i="1" s="1"/>
  <c r="AO416" i="1" s="1"/>
  <c r="AI344" i="1"/>
  <c r="AJ344" i="1" s="1"/>
  <c r="AO344" i="1" s="1"/>
  <c r="AI260" i="1"/>
  <c r="AJ260" i="1" s="1"/>
  <c r="AO260" i="1" s="1"/>
  <c r="AI164" i="1"/>
  <c r="AJ164" i="1" s="1"/>
  <c r="AO164" i="1" s="1"/>
  <c r="AI233" i="1"/>
  <c r="AJ233" i="1" s="1"/>
  <c r="AO233" i="1" s="1"/>
  <c r="AI8" i="1"/>
  <c r="AJ8" i="1" s="1"/>
  <c r="AO8" i="1" s="1"/>
  <c r="AI69" i="1"/>
  <c r="AJ69" i="1" s="1"/>
  <c r="AO69" i="1" s="1"/>
  <c r="AJ227" i="1"/>
  <c r="AO227" i="1" s="1"/>
  <c r="AJ438" i="1"/>
  <c r="AO438" i="1" s="1"/>
  <c r="AI97" i="1"/>
  <c r="AJ97" i="1" s="1"/>
  <c r="AO97" i="1" s="1"/>
  <c r="BU97" i="1" s="1"/>
  <c r="AJ157" i="1"/>
  <c r="AO157" i="1" s="1"/>
  <c r="AJ3" i="1"/>
  <c r="AO3" i="1" s="1"/>
  <c r="AJ28" i="1"/>
  <c r="AO28" i="1" s="1"/>
  <c r="AJ47" i="1"/>
  <c r="AO47" i="1" s="1"/>
  <c r="AJ274" i="1"/>
  <c r="AO274" i="1" s="1"/>
  <c r="AI376" i="1"/>
  <c r="AJ376" i="1" s="1"/>
  <c r="AO376" i="1" s="1"/>
  <c r="AI304" i="1"/>
  <c r="AJ304" i="1" s="1"/>
  <c r="AO304" i="1" s="1"/>
  <c r="AI90" i="1"/>
  <c r="AJ90" i="1" s="1"/>
  <c r="AO90" i="1" s="1"/>
  <c r="BU90" i="1" s="1"/>
  <c r="AI444" i="1"/>
  <c r="AJ444" i="1" s="1"/>
  <c r="AO444" i="1" s="1"/>
  <c r="AI360" i="1"/>
  <c r="AJ360" i="1" s="1"/>
  <c r="AO360" i="1" s="1"/>
  <c r="AI166" i="1"/>
  <c r="AJ166" i="1" s="1"/>
  <c r="AO166" i="1" s="1"/>
  <c r="AI404" i="1"/>
  <c r="AJ404" i="1" s="1"/>
  <c r="AO404" i="1" s="1"/>
  <c r="AI332" i="1"/>
  <c r="AJ332" i="1" s="1"/>
  <c r="AO332" i="1" s="1"/>
  <c r="AI248" i="1"/>
  <c r="AJ248" i="1" s="1"/>
  <c r="AO248" i="1" s="1"/>
  <c r="AI152" i="1"/>
  <c r="AJ152" i="1" s="1"/>
  <c r="AO152" i="1" s="1"/>
  <c r="AJ457" i="1"/>
  <c r="AO457" i="1" s="1"/>
  <c r="AI208" i="1"/>
  <c r="AJ208" i="1" s="1"/>
  <c r="AO208" i="1" s="1"/>
  <c r="AI41" i="1"/>
  <c r="AJ41" i="1" s="1"/>
  <c r="AO41" i="1" s="1"/>
  <c r="AI459" i="1"/>
  <c r="AJ459" i="1" s="1"/>
  <c r="AO459" i="1" s="1"/>
  <c r="AI254" i="1"/>
  <c r="AJ254" i="1" s="1"/>
  <c r="AO254" i="1" s="1"/>
  <c r="AI205" i="1"/>
  <c r="AJ205" i="1" s="1"/>
  <c r="AO205" i="1" s="1"/>
  <c r="AI276" i="1"/>
  <c r="AJ276" i="1" s="1"/>
  <c r="AO276" i="1" s="1"/>
  <c r="AI192" i="1"/>
  <c r="AJ192" i="1" s="1"/>
  <c r="AO192" i="1" s="1"/>
  <c r="AI226" i="1"/>
  <c r="AJ226" i="1" s="1"/>
  <c r="AO226" i="1" s="1"/>
  <c r="AI209" i="1"/>
  <c r="AJ209" i="1" s="1"/>
  <c r="AO209" i="1" s="1"/>
  <c r="AJ278" i="1"/>
  <c r="AO278" i="1" s="1"/>
  <c r="AJ179" i="1"/>
  <c r="AO179" i="1" s="1"/>
  <c r="AJ6" i="1"/>
  <c r="AO6" i="1" s="1"/>
  <c r="AJ293" i="1"/>
  <c r="AO293" i="1" s="1"/>
  <c r="AJ18" i="1"/>
  <c r="AO18" i="1" s="1"/>
  <c r="AJ432" i="1"/>
  <c r="AO432" i="1" s="1"/>
  <c r="AJ436" i="1"/>
  <c r="AO436" i="1" s="1"/>
  <c r="AJ240" i="1"/>
  <c r="AO240" i="1" s="1"/>
  <c r="AJ308" i="1"/>
  <c r="AO308" i="1" s="1"/>
  <c r="AJ173" i="1"/>
  <c r="AO173" i="1" s="1"/>
  <c r="BD351" i="1" a="1"/>
  <c r="BD351" i="1" s="1"/>
  <c r="BE351" i="1" s="1"/>
  <c r="BG351" i="1" s="1"/>
  <c r="AJ310" i="1"/>
  <c r="AO310" i="1" s="1"/>
  <c r="BD426" i="1" a="1"/>
  <c r="BD426" i="1" s="1"/>
  <c r="BE426" i="1" s="1"/>
  <c r="BG426" i="1" s="1"/>
  <c r="AJ4" i="1"/>
  <c r="AO4" i="1" s="1"/>
  <c r="AJ5" i="1"/>
  <c r="AO5" i="1" s="1"/>
  <c r="AJ374" i="1"/>
  <c r="AO374" i="1" s="1"/>
  <c r="BD152" i="1" a="1"/>
  <c r="BD152" i="1" s="1"/>
  <c r="BE152" i="1" s="1"/>
  <c r="BG152" i="1" s="1"/>
  <c r="AJ148" i="1"/>
  <c r="AO148" i="1" s="1"/>
  <c r="AJ176" i="1"/>
  <c r="AO176" i="1" s="1"/>
  <c r="BD294" i="1" a="1"/>
  <c r="BD294" i="1" s="1"/>
  <c r="BE294" i="1" s="1"/>
  <c r="BG294" i="1" s="1"/>
  <c r="AJ366" i="1"/>
  <c r="AO366" i="1" s="1"/>
  <c r="BD393" i="1" a="1"/>
  <c r="BD393" i="1" s="1"/>
  <c r="BE393" i="1" s="1"/>
  <c r="BG393" i="1" s="1"/>
  <c r="AJ74" i="1"/>
  <c r="AO74" i="1" s="1"/>
  <c r="AJ13" i="1"/>
  <c r="AO13" i="1" s="1"/>
  <c r="AJ105" i="1"/>
  <c r="AO105" i="1" s="1"/>
  <c r="BU105" i="1" s="1"/>
  <c r="AJ73" i="1"/>
  <c r="AO73" i="1" s="1"/>
  <c r="AJ183" i="1"/>
  <c r="AO183" i="1" s="1"/>
  <c r="AJ93" i="1"/>
  <c r="AO93" i="1" s="1"/>
  <c r="BU93" i="1" s="1"/>
  <c r="AJ112" i="1"/>
  <c r="AJ236" i="1"/>
  <c r="AO236" i="1" s="1"/>
  <c r="AJ177" i="1"/>
  <c r="AO177" i="1" s="1"/>
  <c r="AJ342" i="1"/>
  <c r="AO342" i="1" s="1"/>
  <c r="AJ264" i="1"/>
  <c r="AO264" i="1" s="1"/>
  <c r="AJ17" i="1"/>
  <c r="AO17" i="1" s="1"/>
  <c r="AJ113" i="1"/>
  <c r="AO113" i="1" s="1"/>
  <c r="BU113" i="1" s="1"/>
  <c r="AJ428" i="1"/>
  <c r="AO428" i="1" s="1"/>
  <c r="AJ171" i="1"/>
  <c r="AO171" i="1" s="1"/>
  <c r="AJ45" i="1"/>
  <c r="AO45" i="1" s="1"/>
  <c r="AJ55" i="1"/>
  <c r="AO55" i="1" s="1"/>
  <c r="AJ68" i="1"/>
  <c r="AO68" i="1" s="1"/>
  <c r="BD230" i="1" a="1"/>
  <c r="BD230" i="1" s="1"/>
  <c r="BE230" i="1" s="1"/>
  <c r="BG230" i="1" s="1"/>
  <c r="BD101" i="1" a="1"/>
  <c r="BD101" i="1" s="1"/>
  <c r="BE101" i="1" s="1"/>
  <c r="BG101" i="1" s="1"/>
  <c r="AJ44" i="1"/>
  <c r="AO44" i="1" s="1"/>
  <c r="BD208" i="1" a="1"/>
  <c r="BD208" i="1" s="1"/>
  <c r="BE208" i="1" s="1"/>
  <c r="BG208" i="1" s="1"/>
  <c r="BD365" i="1" a="1"/>
  <c r="BD365" i="1" s="1"/>
  <c r="BE365" i="1" s="1"/>
  <c r="BG365" i="1" s="1"/>
  <c r="AJ165" i="1"/>
  <c r="AO165" i="1" s="1"/>
  <c r="AJ182" i="1"/>
  <c r="AO182" i="1" s="1"/>
  <c r="AJ424" i="1"/>
  <c r="AO424" i="1" s="1"/>
  <c r="AJ362" i="1"/>
  <c r="AO362" i="1" s="1"/>
  <c r="AJ219" i="1"/>
  <c r="AO219" i="1" s="1"/>
  <c r="AJ322" i="1"/>
  <c r="AO322" i="1" s="1"/>
  <c r="AJ382" i="1"/>
  <c r="AO382" i="1" s="1"/>
  <c r="AJ277" i="1"/>
  <c r="AO277" i="1" s="1"/>
  <c r="AJ7" i="1"/>
  <c r="AO7" i="1" s="1"/>
  <c r="AJ40" i="1"/>
  <c r="AO40" i="1" s="1"/>
  <c r="AJ234" i="1"/>
  <c r="AO234" i="1" s="1"/>
  <c r="AJ121" i="1"/>
  <c r="AO121" i="1" s="1"/>
  <c r="BU121" i="1" s="1"/>
  <c r="BD173" i="1" a="1"/>
  <c r="BD173" i="1" s="1"/>
  <c r="BE173" i="1" s="1"/>
  <c r="BG173" i="1" s="1"/>
  <c r="BD15" i="1" a="1"/>
  <c r="BD15" i="1" s="1"/>
  <c r="BE15" i="1" s="1"/>
  <c r="BG15" i="1" s="1"/>
  <c r="BD425" i="1" a="1"/>
  <c r="BD425" i="1" s="1"/>
  <c r="BE425" i="1" s="1"/>
  <c r="BG425" i="1" s="1"/>
  <c r="BD19" i="1" a="1"/>
  <c r="BD19" i="1" s="1"/>
  <c r="BE19" i="1" s="1"/>
  <c r="BG19" i="1" s="1"/>
  <c r="BD356" i="1" a="1"/>
  <c r="BD356" i="1" s="1"/>
  <c r="BE356" i="1" s="1"/>
  <c r="BG356" i="1" s="1"/>
  <c r="AJ61" i="1"/>
  <c r="AO61" i="1" s="1"/>
  <c r="AJ127" i="1"/>
  <c r="AO127" i="1" s="1"/>
  <c r="BU127" i="1" s="1"/>
  <c r="BD451" i="1" a="1"/>
  <c r="BD451" i="1" s="1"/>
  <c r="BE451" i="1" s="1"/>
  <c r="BG451" i="1" s="1"/>
  <c r="AJ218" i="1"/>
  <c r="AO218" i="1" s="1"/>
  <c r="AJ265" i="1"/>
  <c r="AO265" i="1" s="1"/>
  <c r="BD295" i="1" a="1"/>
  <c r="BD295" i="1" s="1"/>
  <c r="BE295" i="1" s="1"/>
  <c r="BG295" i="1" s="1"/>
  <c r="BD246" i="1" a="1"/>
  <c r="BD246" i="1" s="1"/>
  <c r="BE246" i="1" s="1"/>
  <c r="BG246" i="1" s="1"/>
  <c r="AJ249" i="1"/>
  <c r="AO249" i="1" s="1"/>
  <c r="AJ23" i="1"/>
  <c r="AO23" i="1" s="1"/>
  <c r="BD450" i="1" a="1"/>
  <c r="BD450" i="1" s="1"/>
  <c r="BE450" i="1" s="1"/>
  <c r="BG450" i="1" s="1"/>
  <c r="BD335" i="1" a="1"/>
  <c r="BD335" i="1" s="1"/>
  <c r="BE335" i="1" s="1"/>
  <c r="BG335" i="1" s="1"/>
  <c r="AJ170" i="1"/>
  <c r="AO170" i="1" s="1"/>
  <c r="AJ65" i="1"/>
  <c r="AO65" i="1" s="1"/>
  <c r="BD107" i="1" a="1"/>
  <c r="BD107" i="1" s="1"/>
  <c r="BE107" i="1" s="1"/>
  <c r="BG107" i="1" s="1"/>
  <c r="BD5" i="1" a="1"/>
  <c r="BD5" i="1" s="1"/>
  <c r="BE5" i="1" s="1"/>
  <c r="BG5" i="1" s="1"/>
  <c r="BD273" i="1" a="1"/>
  <c r="BD273" i="1" s="1"/>
  <c r="BE273" i="1" s="1"/>
  <c r="BG273" i="1" s="1"/>
  <c r="AJ279" i="1"/>
  <c r="AO279" i="1" s="1"/>
  <c r="BD158" i="1" a="1"/>
  <c r="BD158" i="1" s="1"/>
  <c r="BE158" i="1" s="1"/>
  <c r="BG158" i="1" s="1"/>
  <c r="AJ75" i="1"/>
  <c r="AO75" i="1" s="1"/>
  <c r="BD346" i="1" a="1"/>
  <c r="BD346" i="1" s="1"/>
  <c r="BE346" i="1" s="1"/>
  <c r="BG346" i="1" s="1"/>
  <c r="BD374" i="1" a="1"/>
  <c r="BD374" i="1" s="1"/>
  <c r="BE374" i="1" s="1"/>
  <c r="BG374" i="1" s="1"/>
  <c r="BD459" i="1" a="1"/>
  <c r="BD459" i="1" s="1"/>
  <c r="BE459" i="1" s="1"/>
  <c r="BG459" i="1" s="1"/>
  <c r="BD250" i="1" a="1"/>
  <c r="BD250" i="1" s="1"/>
  <c r="BE250" i="1" s="1"/>
  <c r="BG250" i="1" s="1"/>
  <c r="AJ318" i="1"/>
  <c r="AO318" i="1" s="1"/>
  <c r="AJ408" i="1"/>
  <c r="AO408" i="1" s="1"/>
  <c r="AJ244" i="1"/>
  <c r="AO244" i="1" s="1"/>
  <c r="BD348" i="1" a="1"/>
  <c r="BD348" i="1" s="1"/>
  <c r="BE348" i="1" s="1"/>
  <c r="BG348" i="1" s="1"/>
  <c r="AJ185" i="1"/>
  <c r="AO185" i="1" s="1"/>
  <c r="BD63" i="1" a="1"/>
  <c r="BD63" i="1" s="1"/>
  <c r="BE63" i="1" s="1"/>
  <c r="BG63" i="1" s="1"/>
  <c r="BD98" i="1" a="1"/>
  <c r="BD98" i="1" s="1"/>
  <c r="BE98" i="1" s="1"/>
  <c r="BG98" i="1" s="1"/>
  <c r="AJ273" i="1"/>
  <c r="AO273" i="1" s="1"/>
  <c r="AJ167" i="1"/>
  <c r="AO167" i="1" s="1"/>
  <c r="AJ191" i="1"/>
  <c r="AO191" i="1" s="1"/>
  <c r="AJ118" i="1"/>
  <c r="AO118" i="1" s="1"/>
  <c r="BU118" i="1" s="1"/>
  <c r="BD268" i="1" a="1"/>
  <c r="BD268" i="1" s="1"/>
  <c r="BE268" i="1" s="1"/>
  <c r="BG268" i="1" s="1"/>
  <c r="BD180" i="1" a="1"/>
  <c r="BD180" i="1" s="1"/>
  <c r="BE180" i="1" s="1"/>
  <c r="BG180" i="1" s="1"/>
  <c r="AJ413" i="1"/>
  <c r="AO413" i="1" s="1"/>
  <c r="AJ156" i="1"/>
  <c r="AO156" i="1" s="1"/>
  <c r="AJ14" i="1"/>
  <c r="AO14" i="1" s="1"/>
  <c r="AJ351" i="1"/>
  <c r="AO351" i="1" s="1"/>
  <c r="AJ266" i="1"/>
  <c r="AO266" i="1" s="1"/>
  <c r="AJ346" i="1"/>
  <c r="AO346" i="1" s="1"/>
  <c r="AJ456" i="1"/>
  <c r="AO456" i="1" s="1"/>
  <c r="BD116" i="1" a="1"/>
  <c r="BD116" i="1" s="1"/>
  <c r="BE116" i="1" s="1"/>
  <c r="BG116" i="1" s="1"/>
  <c r="AJ269" i="1"/>
  <c r="AO269" i="1" s="1"/>
  <c r="AJ49" i="1"/>
  <c r="AO49" i="1" s="1"/>
  <c r="AJ134" i="1"/>
  <c r="AO134" i="1" s="1"/>
  <c r="BD17" i="1" a="1"/>
  <c r="BD17" i="1" s="1"/>
  <c r="BE17" i="1" s="1"/>
  <c r="BG17" i="1" s="1"/>
  <c r="AJ221" i="1"/>
  <c r="AO221" i="1" s="1"/>
  <c r="AJ163" i="1"/>
  <c r="AO163" i="1" s="1"/>
  <c r="AJ125" i="1"/>
  <c r="AO125" i="1" s="1"/>
  <c r="BU125" i="1" s="1"/>
  <c r="AJ24" i="1"/>
  <c r="AO24" i="1" s="1"/>
  <c r="AJ448" i="1"/>
  <c r="AO448" i="1" s="1"/>
  <c r="AJ246" i="1"/>
  <c r="AO246" i="1" s="1"/>
  <c r="AJ85" i="1"/>
  <c r="AO85" i="1" s="1"/>
  <c r="BU85" i="1" s="1"/>
  <c r="AJ365" i="1"/>
  <c r="AO365" i="1" s="1"/>
  <c r="AJ261" i="1"/>
  <c r="AO261" i="1" s="1"/>
  <c r="AJ361" i="1"/>
  <c r="AO361" i="1" s="1"/>
  <c r="AJ355" i="1"/>
  <c r="AO355" i="1" s="1"/>
  <c r="BD132" i="1" a="1"/>
  <c r="BD132" i="1" s="1"/>
  <c r="BE132" i="1" s="1"/>
  <c r="BG132" i="1" s="1"/>
  <c r="AJ349" i="1"/>
  <c r="AO349" i="1" s="1"/>
  <c r="AJ151" i="1"/>
  <c r="AO151" i="1" s="1"/>
  <c r="AJ186" i="1"/>
  <c r="AO186" i="1" s="1"/>
  <c r="BD113" i="1" a="1"/>
  <c r="BD113" i="1" s="1"/>
  <c r="BE113" i="1" s="1"/>
  <c r="BG113" i="1" s="1"/>
  <c r="BD93" i="1" a="1"/>
  <c r="BD93" i="1" s="1"/>
  <c r="BE93" i="1" s="1"/>
  <c r="BG93" i="1" s="1"/>
  <c r="AJ239" i="1"/>
  <c r="AO239" i="1" s="1"/>
  <c r="AJ114" i="1"/>
  <c r="AO114" i="1" s="1"/>
  <c r="BU114" i="1" s="1"/>
  <c r="AJ62" i="1"/>
  <c r="AO62" i="1" s="1"/>
  <c r="BD340" i="1" a="1"/>
  <c r="BD340" i="1" s="1"/>
  <c r="BE340" i="1" s="1"/>
  <c r="BG340" i="1" s="1"/>
  <c r="BD282" i="1" a="1"/>
  <c r="BD282" i="1" s="1"/>
  <c r="BE282" i="1" s="1"/>
  <c r="BG282" i="1" s="1"/>
  <c r="BE137" i="1"/>
  <c r="BG137" i="1" s="1"/>
  <c r="AJ143" i="1"/>
  <c r="AO143" i="1" s="1"/>
  <c r="AJ15" i="1"/>
  <c r="AO15" i="1" s="1"/>
  <c r="BD108" i="1" a="1"/>
  <c r="BD108" i="1" s="1"/>
  <c r="BE108" i="1" s="1"/>
  <c r="BG108" i="1" s="1"/>
  <c r="BD334" i="1" a="1"/>
  <c r="BD334" i="1" s="1"/>
  <c r="BE334" i="1" s="1"/>
  <c r="BG334" i="1" s="1"/>
  <c r="BD421" i="1" a="1"/>
  <c r="BD421" i="1" s="1"/>
  <c r="BE421" i="1" s="1"/>
  <c r="BG421" i="1" s="1"/>
  <c r="BD324" i="1" a="1"/>
  <c r="BD324" i="1" s="1"/>
  <c r="BE324" i="1" s="1"/>
  <c r="BG324" i="1" s="1"/>
  <c r="BD201" i="1" a="1"/>
  <c r="BD201" i="1" s="1"/>
  <c r="BE201" i="1" s="1"/>
  <c r="BG201" i="1" s="1"/>
  <c r="BD417" i="1" a="1"/>
  <c r="BD417" i="1" s="1"/>
  <c r="BE417" i="1" s="1"/>
  <c r="BG417" i="1" s="1"/>
  <c r="BD6" i="1" a="1"/>
  <c r="BD6" i="1" s="1"/>
  <c r="BE6" i="1" s="1"/>
  <c r="BG6" i="1" s="1"/>
  <c r="AJ294" i="1"/>
  <c r="AO294" i="1" s="1"/>
  <c r="AJ122" i="1"/>
  <c r="AO122" i="1" s="1"/>
  <c r="BU122" i="1" s="1"/>
  <c r="BD382" i="1" a="1"/>
  <c r="BD382" i="1" s="1"/>
  <c r="BE382" i="1" s="1"/>
  <c r="BG382" i="1" s="1"/>
  <c r="AJ270" i="1"/>
  <c r="AO270" i="1" s="1"/>
  <c r="BD56" i="1" a="1"/>
  <c r="BD56" i="1" s="1"/>
  <c r="BE56" i="1" s="1"/>
  <c r="BG56" i="1" s="1"/>
  <c r="BD441" i="1" a="1"/>
  <c r="BD441" i="1" s="1"/>
  <c r="BE441" i="1" s="1"/>
  <c r="BG441" i="1" s="1"/>
  <c r="BD406" i="1" a="1"/>
  <c r="BD406" i="1" s="1"/>
  <c r="BE406" i="1" s="1"/>
  <c r="BG406" i="1" s="1"/>
  <c r="BD363" i="1" a="1"/>
  <c r="BD363" i="1" s="1"/>
  <c r="BE363" i="1" s="1"/>
  <c r="BG363" i="1" s="1"/>
  <c r="BD42" i="1" a="1"/>
  <c r="BD42" i="1" s="1"/>
  <c r="BE42" i="1" s="1"/>
  <c r="BG42" i="1" s="1"/>
  <c r="AJ285" i="1"/>
  <c r="AO285" i="1" s="1"/>
  <c r="BD333" i="1" a="1"/>
  <c r="BD333" i="1" s="1"/>
  <c r="BE333" i="1" s="1"/>
  <c r="BG333" i="1" s="1"/>
  <c r="BD436" i="1" a="1"/>
  <c r="BD436" i="1" s="1"/>
  <c r="BE436" i="1" s="1"/>
  <c r="BG436" i="1" s="1"/>
  <c r="BD267" i="1" a="1"/>
  <c r="BD267" i="1" s="1"/>
  <c r="BE267" i="1" s="1"/>
  <c r="BG267" i="1" s="1"/>
  <c r="AJ314" i="1"/>
  <c r="AO314" i="1" s="1"/>
  <c r="AJ295" i="1"/>
  <c r="AO295" i="1" s="1"/>
  <c r="AJ106" i="1"/>
  <c r="AO106" i="1" s="1"/>
  <c r="BU106" i="1" s="1"/>
  <c r="AJ137" i="1"/>
  <c r="BD228" i="1" a="1"/>
  <c r="BD228" i="1" s="1"/>
  <c r="BE228" i="1" s="1"/>
  <c r="BG228" i="1" s="1"/>
  <c r="BD455" i="1" a="1"/>
  <c r="BD455" i="1" s="1"/>
  <c r="BE455" i="1" s="1"/>
  <c r="BG455" i="1" s="1"/>
  <c r="BD245" i="1" a="1"/>
  <c r="BD245" i="1" s="1"/>
  <c r="BE245" i="1" s="1"/>
  <c r="BG245" i="1" s="1"/>
  <c r="BD445" i="1" a="1"/>
  <c r="BD445" i="1" s="1"/>
  <c r="BE445" i="1" s="1"/>
  <c r="BG445" i="1" s="1"/>
  <c r="AJ253" i="1"/>
  <c r="AO253" i="1" s="1"/>
  <c r="AJ110" i="1"/>
  <c r="AO110" i="1" s="1"/>
  <c r="BU110" i="1" s="1"/>
  <c r="BD386" i="1" a="1"/>
  <c r="BD386" i="1" s="1"/>
  <c r="BE386" i="1" s="1"/>
  <c r="BG386" i="1" s="1"/>
  <c r="BD65" i="1" a="1"/>
  <c r="BD65" i="1" s="1"/>
  <c r="BE65" i="1" s="1"/>
  <c r="BG65" i="1" s="1"/>
  <c r="BD332" i="1" a="1"/>
  <c r="BD332" i="1" s="1"/>
  <c r="BE332" i="1" s="1"/>
  <c r="BG332" i="1" s="1"/>
  <c r="BD352" i="1" a="1"/>
  <c r="BD352" i="1" s="1"/>
  <c r="BE352" i="1" s="1"/>
  <c r="BG352" i="1" s="1"/>
  <c r="BD120" i="1" a="1"/>
  <c r="BD120" i="1" s="1"/>
  <c r="BE120" i="1" s="1"/>
  <c r="BG120" i="1" s="1"/>
  <c r="BD370" i="1" a="1"/>
  <c r="BD370" i="1" s="1"/>
  <c r="BE370" i="1" s="1"/>
  <c r="BG370" i="1" s="1"/>
  <c r="AJ160" i="1"/>
  <c r="AO160" i="1" s="1"/>
  <c r="BD237" i="1" a="1"/>
  <c r="BD237" i="1" s="1"/>
  <c r="BE237" i="1" s="1"/>
  <c r="BG237" i="1" s="1"/>
  <c r="AJ136" i="1"/>
  <c r="AO136" i="1" s="1"/>
  <c r="BU136" i="1" s="1"/>
  <c r="AJ42" i="1"/>
  <c r="AO42" i="1" s="1"/>
  <c r="AJ198" i="1"/>
  <c r="AO198" i="1" s="1"/>
  <c r="BD428" i="1" a="1"/>
  <c r="BD428" i="1" s="1"/>
  <c r="BE428" i="1" s="1"/>
  <c r="BG428" i="1" s="1"/>
  <c r="BD106" i="1" a="1"/>
  <c r="BD106" i="1" s="1"/>
  <c r="BE106" i="1" s="1"/>
  <c r="BG106" i="1" s="1"/>
  <c r="BD57" i="1" a="1"/>
  <c r="BD57" i="1" s="1"/>
  <c r="BE57" i="1" s="1"/>
  <c r="BG57" i="1" s="1"/>
  <c r="BD46" i="1" a="1"/>
  <c r="BD46" i="1" s="1"/>
  <c r="BE46" i="1" s="1"/>
  <c r="BG46" i="1" s="1"/>
  <c r="BD16" i="1" a="1"/>
  <c r="BD16" i="1" s="1"/>
  <c r="BE16" i="1" s="1"/>
  <c r="BG16" i="1" s="1"/>
  <c r="BD255" i="1" a="1"/>
  <c r="BD255" i="1" s="1"/>
  <c r="BE255" i="1" s="1"/>
  <c r="BG255" i="1" s="1"/>
  <c r="AJ225" i="1"/>
  <c r="AO225" i="1" s="1"/>
  <c r="AJ297" i="1"/>
  <c r="AO297" i="1" s="1"/>
  <c r="AJ330" i="1"/>
  <c r="AO330" i="1" s="1"/>
  <c r="AJ301" i="1"/>
  <c r="AO301" i="1" s="1"/>
  <c r="AJ220" i="1"/>
  <c r="AO220" i="1" s="1"/>
  <c r="BD293" i="1" a="1"/>
  <c r="BD293" i="1" s="1"/>
  <c r="BE293" i="1" s="1"/>
  <c r="BG293" i="1" s="1"/>
  <c r="BD320" i="1" a="1"/>
  <c r="BD320" i="1" s="1"/>
  <c r="BE320" i="1" s="1"/>
  <c r="BG320" i="1" s="1"/>
  <c r="BD222" i="1" a="1"/>
  <c r="BD222" i="1" s="1"/>
  <c r="BE222" i="1" s="1"/>
  <c r="BG222" i="1" s="1"/>
  <c r="BD67" i="1" a="1"/>
  <c r="BD67" i="1" s="1"/>
  <c r="BE67" i="1" s="1"/>
  <c r="BG67" i="1" s="1"/>
  <c r="BD128" i="1" a="1"/>
  <c r="BD128" i="1" s="1"/>
  <c r="BE128" i="1" s="1"/>
  <c r="BG128" i="1" s="1"/>
  <c r="BD45" i="1" a="1"/>
  <c r="BD45" i="1" s="1"/>
  <c r="BE45" i="1" s="1"/>
  <c r="BG45" i="1" s="1"/>
  <c r="AJ193" i="1"/>
  <c r="AO193" i="1" s="1"/>
  <c r="BD418" i="1" a="1"/>
  <c r="BD418" i="1" s="1"/>
  <c r="BE418" i="1" s="1"/>
  <c r="BG418" i="1" s="1"/>
  <c r="BD130" i="1" a="1"/>
  <c r="BD130" i="1" s="1"/>
  <c r="BE130" i="1" s="1"/>
  <c r="BG130" i="1" s="1"/>
  <c r="BD384" i="1" a="1"/>
  <c r="BD384" i="1" s="1"/>
  <c r="BE384" i="1" s="1"/>
  <c r="BG384" i="1" s="1"/>
  <c r="AJ29" i="1"/>
  <c r="AO29" i="1" s="1"/>
  <c r="BD420" i="1" a="1"/>
  <c r="BD420" i="1" s="1"/>
  <c r="BE420" i="1" s="1"/>
  <c r="BG420" i="1" s="1"/>
  <c r="BD200" i="1" a="1"/>
  <c r="BD200" i="1" s="1"/>
  <c r="BE200" i="1" s="1"/>
  <c r="BG200" i="1" s="1"/>
  <c r="BD263" i="1" a="1"/>
  <c r="BD263" i="1" s="1"/>
  <c r="BE263" i="1" s="1"/>
  <c r="BG263" i="1" s="1"/>
  <c r="BD25" i="1" a="1"/>
  <c r="BD25" i="1" s="1"/>
  <c r="BE25" i="1" s="1"/>
  <c r="BG25" i="1" s="1"/>
  <c r="AJ79" i="1"/>
  <c r="AO79" i="1" s="1"/>
  <c r="BU79" i="1" s="1"/>
  <c r="BD131" i="1" a="1"/>
  <c r="BD131" i="1" s="1"/>
  <c r="BE131" i="1" s="1"/>
  <c r="BG131" i="1" s="1"/>
  <c r="BD144" i="1" a="1"/>
  <c r="BD144" i="1" s="1"/>
  <c r="BE144" i="1" s="1"/>
  <c r="BG144" i="1" s="1"/>
  <c r="BD416" i="1" a="1"/>
  <c r="BD416" i="1" s="1"/>
  <c r="BE416" i="1" s="1"/>
  <c r="BG416" i="1" s="1"/>
  <c r="AJ94" i="1"/>
  <c r="AO94" i="1" s="1"/>
  <c r="BU94" i="1" s="1"/>
  <c r="BD410" i="1" a="1"/>
  <c r="BD410" i="1" s="1"/>
  <c r="BE410" i="1" s="1"/>
  <c r="BG410" i="1" s="1"/>
  <c r="BD345" i="1" a="1"/>
  <c r="BD345" i="1" s="1"/>
  <c r="BE345" i="1" s="1"/>
  <c r="BG345" i="1" s="1"/>
  <c r="BD115" i="1" a="1"/>
  <c r="BD115" i="1" s="1"/>
  <c r="BE115" i="1" s="1"/>
  <c r="BG115" i="1" s="1"/>
  <c r="BD179" i="1" a="1"/>
  <c r="BD179" i="1" s="1"/>
  <c r="BE179" i="1" s="1"/>
  <c r="BG179" i="1" s="1"/>
  <c r="AJ126" i="1"/>
  <c r="AO126" i="1" s="1"/>
  <c r="BU126" i="1" s="1"/>
  <c r="AJ98" i="1"/>
  <c r="AO98" i="1" s="1"/>
  <c r="BU98" i="1" s="1"/>
  <c r="BD454" i="1" a="1"/>
  <c r="BD454" i="1" s="1"/>
  <c r="BE454" i="1" s="1"/>
  <c r="BG454" i="1" s="1"/>
  <c r="BD167" i="1" a="1"/>
  <c r="BD167" i="1" s="1"/>
  <c r="BE167" i="1" s="1"/>
  <c r="BG167" i="1" s="1"/>
  <c r="AJ324" i="1"/>
  <c r="AO324" i="1" s="1"/>
  <c r="AJ303" i="1"/>
  <c r="AO303" i="1" s="1"/>
  <c r="BD380" i="1" a="1"/>
  <c r="BD380" i="1" s="1"/>
  <c r="BE380" i="1" s="1"/>
  <c r="BG380" i="1" s="1"/>
  <c r="BD215" i="1" a="1"/>
  <c r="BD215" i="1" s="1"/>
  <c r="BE215" i="1" s="1"/>
  <c r="BG215" i="1" s="1"/>
  <c r="BD307" i="1" a="1"/>
  <c r="BD307" i="1" s="1"/>
  <c r="BE307" i="1" s="1"/>
  <c r="BG307" i="1" s="1"/>
  <c r="BD432" i="1" a="1"/>
  <c r="BD432" i="1" s="1"/>
  <c r="BE432" i="1" s="1"/>
  <c r="BG432" i="1" s="1"/>
  <c r="BD189" i="1" a="1"/>
  <c r="BD189" i="1" s="1"/>
  <c r="BE189" i="1" s="1"/>
  <c r="BG189" i="1" s="1"/>
  <c r="BD188" i="1" a="1"/>
  <c r="BD188" i="1" s="1"/>
  <c r="BE188" i="1" s="1"/>
  <c r="BG188" i="1" s="1"/>
  <c r="AJ386" i="1"/>
  <c r="AO386" i="1" s="1"/>
  <c r="AJ102" i="1"/>
  <c r="AO102" i="1" s="1"/>
  <c r="BD456" i="1" a="1"/>
  <c r="BD456" i="1" s="1"/>
  <c r="BE456" i="1" s="1"/>
  <c r="BG456" i="1" s="1"/>
  <c r="BD369" i="1" a="1"/>
  <c r="BD369" i="1" s="1"/>
  <c r="BE369" i="1" s="1"/>
  <c r="BG369" i="1" s="1"/>
  <c r="BD288" i="1" a="1"/>
  <c r="BD288" i="1" s="1"/>
  <c r="BE288" i="1" s="1"/>
  <c r="BG288" i="1" s="1"/>
  <c r="BD297" i="1" a="1"/>
  <c r="BD297" i="1" s="1"/>
  <c r="BE297" i="1" s="1"/>
  <c r="BG297" i="1" s="1"/>
  <c r="BD243" i="1" a="1"/>
  <c r="BD243" i="1" s="1"/>
  <c r="BE243" i="1" s="1"/>
  <c r="BG243" i="1" s="1"/>
  <c r="BD89" i="1" a="1"/>
  <c r="BD89" i="1" s="1"/>
  <c r="BE89" i="1" s="1"/>
  <c r="BG89" i="1" s="1"/>
  <c r="BD157" i="1" a="1"/>
  <c r="BD157" i="1" s="1"/>
  <c r="BE157" i="1" s="1"/>
  <c r="BG157" i="1" s="1"/>
  <c r="BD279" i="1" a="1"/>
  <c r="BD279" i="1" s="1"/>
  <c r="BE279" i="1" s="1"/>
  <c r="BG279" i="1" s="1"/>
  <c r="BD431" i="1" a="1"/>
  <c r="BD431" i="1" s="1"/>
  <c r="BE431" i="1" s="1"/>
  <c r="BG431" i="1" s="1"/>
  <c r="BD280" i="1" a="1"/>
  <c r="BD280" i="1" s="1"/>
  <c r="BE280" i="1" s="1"/>
  <c r="BG280" i="1" s="1"/>
  <c r="AJ200" i="1"/>
  <c r="AO200" i="1" s="1"/>
  <c r="BD236" i="1" a="1"/>
  <c r="BD236" i="1" s="1"/>
  <c r="BE236" i="1" s="1"/>
  <c r="BG236" i="1" s="1"/>
  <c r="BD73" i="1" a="1"/>
  <c r="BD73" i="1" s="1"/>
  <c r="BE73" i="1" s="1"/>
  <c r="BG73" i="1" s="1"/>
  <c r="BD373" i="1" a="1"/>
  <c r="BD373" i="1" s="1"/>
  <c r="BE373" i="1" s="1"/>
  <c r="BG373" i="1" s="1"/>
  <c r="AJ231" i="1"/>
  <c r="AO231" i="1" s="1"/>
  <c r="BD125" i="1" a="1"/>
  <c r="BD125" i="1" s="1"/>
  <c r="BE125" i="1" s="1"/>
  <c r="BG125" i="1" s="1"/>
  <c r="AJ292" i="1"/>
  <c r="AO292" i="1" s="1"/>
  <c r="AJ132" i="1"/>
  <c r="AO132" i="1" s="1"/>
  <c r="BU132" i="1" s="1"/>
  <c r="BD83" i="1" a="1"/>
  <c r="BD83" i="1" s="1"/>
  <c r="BE83" i="1" s="1"/>
  <c r="BG83" i="1" s="1"/>
  <c r="BD181" i="1" a="1"/>
  <c r="BD181" i="1" s="1"/>
  <c r="BE181" i="1" s="1"/>
  <c r="BG181" i="1" s="1"/>
  <c r="BD62" i="1" a="1"/>
  <c r="BD62" i="1" s="1"/>
  <c r="BE62" i="1" s="1"/>
  <c r="BG62" i="1" s="1"/>
  <c r="BD435" i="1" a="1"/>
  <c r="BD435" i="1" s="1"/>
  <c r="BE435" i="1" s="1"/>
  <c r="BG435" i="1" s="1"/>
  <c r="BD124" i="1" a="1"/>
  <c r="BD124" i="1" s="1"/>
  <c r="BE124" i="1" s="1"/>
  <c r="BG124" i="1" s="1"/>
  <c r="BD220" i="1" a="1"/>
  <c r="BD220" i="1" s="1"/>
  <c r="BE220" i="1" s="1"/>
  <c r="BG220" i="1" s="1"/>
  <c r="BD398" i="1" a="1"/>
  <c r="BD398" i="1" s="1"/>
  <c r="BE398" i="1" s="1"/>
  <c r="BG398" i="1" s="1"/>
  <c r="BD261" i="1" a="1"/>
  <c r="BD261" i="1" s="1"/>
  <c r="BE261" i="1" s="1"/>
  <c r="BG261" i="1" s="1"/>
  <c r="BD40" i="1" a="1"/>
  <c r="BD40" i="1" s="1"/>
  <c r="BE40" i="1" s="1"/>
  <c r="BG40" i="1" s="1"/>
  <c r="AJ46" i="1"/>
  <c r="AO46" i="1" s="1"/>
  <c r="BD448" i="1" a="1"/>
  <c r="BD448" i="1" s="1"/>
  <c r="BE448" i="1" s="1"/>
  <c r="BG448" i="1" s="1"/>
  <c r="BD105" i="1" a="1"/>
  <c r="BD105" i="1" s="1"/>
  <c r="BE105" i="1" s="1"/>
  <c r="BG105" i="1" s="1"/>
  <c r="BD302" i="1" a="1"/>
  <c r="BD302" i="1" s="1"/>
  <c r="BE302" i="1" s="1"/>
  <c r="BG302" i="1" s="1"/>
  <c r="BD442" i="1" a="1"/>
  <c r="BD442" i="1" s="1"/>
  <c r="BE442" i="1" s="1"/>
  <c r="BG442" i="1" s="1"/>
  <c r="BD367" i="1" a="1"/>
  <c r="BD367" i="1" s="1"/>
  <c r="BE367" i="1" s="1"/>
  <c r="BG367" i="1" s="1"/>
  <c r="BD323" i="1" a="1"/>
  <c r="BD323" i="1" s="1"/>
  <c r="BE323" i="1" s="1"/>
  <c r="BG323" i="1" s="1"/>
  <c r="BD317" i="1" a="1"/>
  <c r="BD317" i="1" s="1"/>
  <c r="BE317" i="1" s="1"/>
  <c r="BG317" i="1" s="1"/>
  <c r="BD112" i="1" a="1"/>
  <c r="BD112" i="1" s="1"/>
  <c r="BE112" i="1" s="1"/>
  <c r="BG112" i="1" s="1"/>
  <c r="BD241" i="1" a="1"/>
  <c r="BD241" i="1" s="1"/>
  <c r="BE241" i="1" s="1"/>
  <c r="BG241" i="1" s="1"/>
  <c r="AJ410" i="1"/>
  <c r="AO410" i="1" s="1"/>
  <c r="BD359" i="1" a="1"/>
  <c r="BD359" i="1" s="1"/>
  <c r="BE359" i="1" s="1"/>
  <c r="BG359" i="1" s="1"/>
  <c r="BD265" i="1" a="1"/>
  <c r="BD265" i="1" s="1"/>
  <c r="BE265" i="1" s="1"/>
  <c r="BG265" i="1" s="1"/>
  <c r="BD458" i="1" a="1"/>
  <c r="BD458" i="1" s="1"/>
  <c r="BE458" i="1" s="1"/>
  <c r="BG458" i="1" s="1"/>
  <c r="BD388" i="1" a="1"/>
  <c r="BD388" i="1" s="1"/>
  <c r="BE388" i="1" s="1"/>
  <c r="BG388" i="1" s="1"/>
  <c r="BD196" i="1" a="1"/>
  <c r="BD196" i="1" s="1"/>
  <c r="BE196" i="1" s="1"/>
  <c r="BG196" i="1" s="1"/>
  <c r="BD69" i="1" a="1"/>
  <c r="BD69" i="1" s="1"/>
  <c r="BE69" i="1" s="1"/>
  <c r="BG69" i="1" s="1"/>
  <c r="BD68" i="1" a="1"/>
  <c r="BD68" i="1" s="1"/>
  <c r="BE68" i="1" s="1"/>
  <c r="BG68" i="1" s="1"/>
  <c r="BD50" i="1" a="1"/>
  <c r="BD50" i="1" s="1"/>
  <c r="BE50" i="1" s="1"/>
  <c r="BG50" i="1" s="1"/>
  <c r="AJ302" i="1"/>
  <c r="AO302" i="1" s="1"/>
  <c r="AJ16" i="1"/>
  <c r="AO16" i="1" s="1"/>
  <c r="BD394" i="1" a="1"/>
  <c r="BD394" i="1" s="1"/>
  <c r="BE394" i="1" s="1"/>
  <c r="BG394" i="1" s="1"/>
  <c r="BD354" i="1" a="1"/>
  <c r="BD354" i="1" s="1"/>
  <c r="BE354" i="1" s="1"/>
  <c r="BG354" i="1" s="1"/>
  <c r="BD422" i="1" a="1"/>
  <c r="BD422" i="1" s="1"/>
  <c r="BE422" i="1" s="1"/>
  <c r="BG422" i="1" s="1"/>
  <c r="BD289" i="1" a="1"/>
  <c r="BD289" i="1" s="1"/>
  <c r="BE289" i="1" s="1"/>
  <c r="BG289" i="1" s="1"/>
  <c r="BD96" i="1" a="1"/>
  <c r="BD96" i="1" s="1"/>
  <c r="BE96" i="1" s="1"/>
  <c r="BG96" i="1" s="1"/>
  <c r="BD24" i="1" a="1"/>
  <c r="BD24" i="1" s="1"/>
  <c r="BE24" i="1" s="1"/>
  <c r="BG24" i="1" s="1"/>
  <c r="AJ338" i="1"/>
  <c r="AO338" i="1" s="1"/>
  <c r="AJ343" i="1"/>
  <c r="AO343" i="1" s="1"/>
  <c r="BD48" i="1" a="1"/>
  <c r="BD48" i="1" s="1"/>
  <c r="BE48" i="1" s="1"/>
  <c r="BG48" i="1" s="1"/>
  <c r="AJ275" i="1"/>
  <c r="AO275" i="1" s="1"/>
  <c r="AJ323" i="1"/>
  <c r="AO323" i="1" s="1"/>
  <c r="AJ59" i="1"/>
  <c r="AO59" i="1" s="1"/>
  <c r="AJ63" i="1"/>
  <c r="AO63" i="1" s="1"/>
  <c r="BD248" i="1" a="1"/>
  <c r="BD248" i="1" s="1"/>
  <c r="BE248" i="1" s="1"/>
  <c r="BG248" i="1" s="1"/>
  <c r="BD256" i="1" a="1"/>
  <c r="BD256" i="1" s="1"/>
  <c r="BE256" i="1" s="1"/>
  <c r="BG256" i="1" s="1"/>
  <c r="AJ334" i="1"/>
  <c r="AO334" i="1" s="1"/>
  <c r="AJ271" i="1"/>
  <c r="AO271" i="1" s="1"/>
  <c r="BD249" i="1" a="1"/>
  <c r="BD249" i="1" s="1"/>
  <c r="BE249" i="1" s="1"/>
  <c r="BG249" i="1" s="1"/>
  <c r="BD296" i="1" a="1"/>
  <c r="BD296" i="1" s="1"/>
  <c r="BE296" i="1" s="1"/>
  <c r="BG296" i="1" s="1"/>
  <c r="AO137" i="1" l="1"/>
  <c r="BU137" i="1" s="1"/>
  <c r="AO101" i="1"/>
  <c r="BU101" i="1" s="1"/>
  <c r="AO112" i="1"/>
  <c r="BU112"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Schelley, Emily</author>
    <author>Amy Macrellis</author>
  </authors>
  <commentList>
    <comment ref="AW1" authorId="0" shapeId="0" xr:uid="{70F1396C-5593-4295-91E0-200BB727000F}">
      <text>
        <r>
          <rPr>
            <sz val="9"/>
            <color indexed="81"/>
            <rFont val="Tahoma"/>
            <family val="2"/>
          </rPr>
          <t xml:space="preserve">If the BMP has been upgraded multiple times, specifications entered in this section should be the last configuration that is not eligible for credit under the phosphorus control plan. </t>
        </r>
      </text>
    </comment>
    <comment ref="B2" authorId="1" shapeId="0" xr:uid="{7CE72B43-D4E9-4ED7-98C6-D32AA3F958A1}">
      <text>
        <r>
          <rPr>
            <sz val="9"/>
            <color indexed="81"/>
            <rFont val="Tahoma"/>
            <family val="2"/>
          </rPr>
          <t>An indentifier assigned by the MS4, such as from a FRP or PCP.</t>
        </r>
      </text>
    </comment>
    <comment ref="AF2" authorId="0" shapeId="0" xr:uid="{0D1A9507-C4E6-4F01-8212-D151694F27CB}">
      <text>
        <r>
          <rPr>
            <sz val="9"/>
            <color indexed="81"/>
            <rFont val="Tahoma"/>
            <family val="2"/>
          </rPr>
          <t>Storage depth maxes out at 2", which is the max value on the EPA performance curves.</t>
        </r>
      </text>
    </comment>
    <comment ref="AK2" authorId="0" shapeId="0" xr:uid="{A08E9D2F-6D62-408E-9919-11CB447CBCAB}">
      <text>
        <r>
          <rPr>
            <sz val="9"/>
            <color indexed="81"/>
            <rFont val="Tahoma"/>
            <family val="2"/>
          </rPr>
          <t>Use only if the worksheet does not accomodate the situation, such as if there are practices in series. Manual values will override calculated values if present</t>
        </r>
      </text>
    </comment>
    <comment ref="AN2" authorId="0" shapeId="0" xr:uid="{CBB6BC95-FE40-4EEB-A2BB-9221196699BB}">
      <text>
        <r>
          <rPr>
            <b/>
            <sz val="9"/>
            <color indexed="81"/>
            <rFont val="Tahoma"/>
            <family val="2"/>
          </rPr>
          <t>Administrator:</t>
        </r>
        <r>
          <rPr>
            <sz val="9"/>
            <color indexed="81"/>
            <rFont val="Tahoma"/>
            <family val="2"/>
          </rPr>
          <t xml:space="preserve">
If credit for the practice is going to be shared between MS4s, put the % credit received by your MS4 here.</t>
        </r>
      </text>
    </comment>
    <comment ref="BA2" authorId="0" shapeId="0" xr:uid="{22E2B3A9-F97B-4BD2-9981-7277C1BDB38D}">
      <text>
        <r>
          <rPr>
            <sz val="9"/>
            <color indexed="81"/>
            <rFont val="Tahoma"/>
            <family val="2"/>
          </rPr>
          <t>Storage depth maxes out at 2", which is the max value on the EPA performance curves.</t>
        </r>
      </text>
    </comment>
    <comment ref="U10" authorId="2" shapeId="0" xr:uid="{4D0DAACB-CFE4-4638-A4C4-014D892BDB82}">
      <text>
        <r>
          <rPr>
            <b/>
            <sz val="9"/>
            <color indexed="81"/>
            <rFont val="Tahoma"/>
            <family val="2"/>
          </rPr>
          <t>Amy Macrellis:</t>
        </r>
        <r>
          <rPr>
            <sz val="9"/>
            <color indexed="81"/>
            <rFont val="Tahoma"/>
            <family val="2"/>
          </rPr>
          <t xml:space="preserve">
This practice is detention chambers - no infiltration - using dry ED pond performance curve to estimate limited P reduction benefit for pretreatment, 2021 02 26</t>
        </r>
      </text>
    </comment>
    <comment ref="AO10" authorId="2" shapeId="0" xr:uid="{71220A2A-E529-4F0D-AE62-4667A655A0B7}">
      <text>
        <r>
          <rPr>
            <b/>
            <sz val="9"/>
            <color indexed="81"/>
            <rFont val="Tahoma"/>
            <family val="2"/>
          </rPr>
          <t>Amy Macrellis:</t>
        </r>
        <r>
          <rPr>
            <sz val="9"/>
            <color indexed="81"/>
            <rFont val="Tahoma"/>
            <family val="2"/>
          </rPr>
          <t xml:space="preserve">
2021 02 26 no P credit is intentional - detention for peak flow reduction only</t>
        </r>
      </text>
    </comment>
    <comment ref="AK14" authorId="2" shapeId="0" xr:uid="{525798FB-A660-4B72-807E-BC88BF195A1D}">
      <text>
        <r>
          <rPr>
            <b/>
            <sz val="9"/>
            <color indexed="81"/>
            <rFont val="Tahoma"/>
            <family val="2"/>
          </rPr>
          <t>Amy Macrellis:</t>
        </r>
        <r>
          <rPr>
            <sz val="9"/>
            <color indexed="81"/>
            <rFont val="Tahoma"/>
            <family val="2"/>
          </rPr>
          <t xml:space="preserve">
This credit calc assumes wet swale was designed to 2002 VSMM and thus receives the blanket 40% P reduction efficiency assumed for all STPs designed under that manual.</t>
        </r>
      </text>
    </comment>
    <comment ref="U15" authorId="2" shapeId="0" xr:uid="{6FC2EACA-74DC-4D21-ACD8-FF8CFEFC3183}">
      <text>
        <r>
          <rPr>
            <b/>
            <sz val="9"/>
            <color indexed="81"/>
            <rFont val="Tahoma"/>
            <family val="2"/>
          </rPr>
          <t>Amy Macrellis:</t>
        </r>
        <r>
          <rPr>
            <sz val="9"/>
            <color indexed="81"/>
            <rFont val="Tahoma"/>
            <family val="2"/>
          </rPr>
          <t xml:space="preserve">
Was "Infiltration Chambers with conservative infiltration rate, changed to Underground Detention per Chelsea 2021 03 16</t>
        </r>
      </text>
    </comment>
    <comment ref="U16" authorId="2" shapeId="0" xr:uid="{CEA87BE9-1EF3-4339-B676-80E4BB7BA95A}">
      <text>
        <r>
          <rPr>
            <b/>
            <sz val="9"/>
            <color indexed="81"/>
            <rFont val="Tahoma"/>
            <family val="2"/>
          </rPr>
          <t>Amy Macrellis:</t>
        </r>
        <r>
          <rPr>
            <sz val="9"/>
            <color indexed="81"/>
            <rFont val="Tahoma"/>
            <family val="2"/>
          </rPr>
          <t xml:space="preserve">
Was "Underground Storage Chamber" - assume infiltration chambers and conservative infiltration rate</t>
        </r>
      </text>
    </comment>
    <comment ref="E17" authorId="2" shapeId="0" xr:uid="{63A3F0C4-5929-458D-B806-FB01D3BEF5FC}">
      <text>
        <r>
          <rPr>
            <b/>
            <sz val="9"/>
            <color indexed="81"/>
            <rFont val="Tahoma"/>
            <family val="2"/>
          </rPr>
          <t>Amy Macrellis:</t>
        </r>
        <r>
          <rPr>
            <sz val="9"/>
            <color indexed="81"/>
            <rFont val="Tahoma"/>
            <family val="2"/>
          </rPr>
          <t xml:space="preserve">
Essex Junction MS4 and Vtrans TS4</t>
        </r>
      </text>
    </comment>
    <comment ref="U17" authorId="2" shapeId="0" xr:uid="{91C70F40-B7EF-4A15-9998-4F5F73D2BBB4}">
      <text>
        <r>
          <rPr>
            <b/>
            <sz val="9"/>
            <color indexed="81"/>
            <rFont val="Tahoma"/>
            <family val="2"/>
          </rPr>
          <t>Amy Macrellis:</t>
        </r>
        <r>
          <rPr>
            <sz val="9"/>
            <color indexed="81"/>
            <rFont val="Tahoma"/>
            <family val="2"/>
          </rPr>
          <t xml:space="preserve">
Was "underground infiltration basin" - assume Infiltration Chambers</t>
        </r>
      </text>
    </comment>
    <comment ref="AD17" authorId="2" shapeId="0" xr:uid="{680D0B3A-3027-4E83-90AC-913513384A35}">
      <text>
        <r>
          <rPr>
            <b/>
            <sz val="9"/>
            <color indexed="81"/>
            <rFont val="Tahoma"/>
            <family val="2"/>
          </rPr>
          <t>Amy Macrellis:</t>
        </r>
        <r>
          <rPr>
            <sz val="9"/>
            <color indexed="81"/>
            <rFont val="Tahoma"/>
            <family val="2"/>
          </rPr>
          <t xml:space="preserve">
6 in previous table</t>
        </r>
      </text>
    </comment>
    <comment ref="U18" authorId="2" shapeId="0" xr:uid="{0955DE92-54E6-47A0-B366-965CCC7FF5E1}">
      <text>
        <r>
          <rPr>
            <b/>
            <sz val="9"/>
            <color indexed="81"/>
            <rFont val="Tahoma"/>
            <family val="2"/>
          </rPr>
          <t>Amy Macrellis:</t>
        </r>
        <r>
          <rPr>
            <sz val="9"/>
            <color indexed="81"/>
            <rFont val="Tahoma"/>
            <family val="2"/>
          </rPr>
          <t xml:space="preserve">
Was "Dry Well" - assume infiltration trench?</t>
        </r>
      </text>
    </comment>
    <comment ref="AD18" authorId="2" shapeId="0" xr:uid="{1AC0F1B4-91C5-46C1-84EF-8DC50C2DBFFE}">
      <text>
        <r>
          <rPr>
            <b/>
            <sz val="9"/>
            <color indexed="81"/>
            <rFont val="Tahoma"/>
            <family val="2"/>
          </rPr>
          <t>Amy Macrellis:</t>
        </r>
        <r>
          <rPr>
            <sz val="9"/>
            <color indexed="81"/>
            <rFont val="Tahoma"/>
            <family val="2"/>
          </rPr>
          <t xml:space="preserve">
12 in previous table</t>
        </r>
      </text>
    </comment>
    <comment ref="U19" authorId="2" shapeId="0" xr:uid="{57AA2BCA-9114-4F43-8BB1-5DAB6185D24E}">
      <text>
        <r>
          <rPr>
            <b/>
            <sz val="9"/>
            <color indexed="81"/>
            <rFont val="Tahoma"/>
            <family val="2"/>
          </rPr>
          <t>Amy Macrellis:</t>
        </r>
        <r>
          <rPr>
            <sz val="9"/>
            <color indexed="81"/>
            <rFont val="Tahoma"/>
            <family val="2"/>
          </rPr>
          <t xml:space="preserve">
Was "Dry Well" - assume infiltration trench?</t>
        </r>
      </text>
    </comment>
    <comment ref="AD19" authorId="2" shapeId="0" xr:uid="{5596A535-D13D-40EF-978D-048ADDAB1619}">
      <text>
        <r>
          <rPr>
            <b/>
            <sz val="9"/>
            <color indexed="81"/>
            <rFont val="Tahoma"/>
            <family val="2"/>
          </rPr>
          <t>Amy Macrellis:</t>
        </r>
        <r>
          <rPr>
            <sz val="9"/>
            <color indexed="81"/>
            <rFont val="Tahoma"/>
            <family val="2"/>
          </rPr>
          <t xml:space="preserve">
5 in previous table</t>
        </r>
      </text>
    </comment>
    <comment ref="E20" authorId="2" shapeId="0" xr:uid="{BC98376C-7064-4D3B-9E4E-CB512A565166}">
      <text>
        <r>
          <rPr>
            <b/>
            <sz val="9"/>
            <color indexed="81"/>
            <rFont val="Tahoma"/>
            <family val="2"/>
          </rPr>
          <t>Amy Macrellis:</t>
        </r>
        <r>
          <rPr>
            <sz val="9"/>
            <color indexed="81"/>
            <rFont val="Tahoma"/>
            <family val="2"/>
          </rPr>
          <t xml:space="preserve">
Essex Town and UVM -02-26-2021. Per Annie - Town easement for future stormwater system completed; anticipated that Town will fund this project so will receive 100% credit. </t>
        </r>
      </text>
    </comment>
    <comment ref="K20" authorId="2" shapeId="0" xr:uid="{323B6E55-5F78-48C8-9ACB-161C42CFDDA6}">
      <text>
        <r>
          <rPr>
            <b/>
            <sz val="9"/>
            <color indexed="81"/>
            <rFont val="Tahoma"/>
            <family val="2"/>
          </rPr>
          <t>Amy Macrellis:</t>
        </r>
        <r>
          <rPr>
            <sz val="9"/>
            <color indexed="81"/>
            <rFont val="Tahoma"/>
            <family val="2"/>
          </rPr>
          <t xml:space="preserve">
January 2015 = $390,000
VHB 2023: $613,000, 20% contingency, infiltration chambers</t>
        </r>
      </text>
    </comment>
    <comment ref="AC20" authorId="2" shapeId="0" xr:uid="{6A5089BC-2FFB-47D7-B399-5AEC8392397F}">
      <text>
        <r>
          <rPr>
            <b/>
            <sz val="9"/>
            <color indexed="81"/>
            <rFont val="Tahoma"/>
            <family val="2"/>
          </rPr>
          <t>Amy Macrellis:</t>
        </r>
        <r>
          <rPr>
            <sz val="9"/>
            <color indexed="81"/>
            <rFont val="Tahoma"/>
            <family val="2"/>
          </rPr>
          <t xml:space="preserve">
Was 41,600 CF for FRP; VHB prelim design is for WQv only. VHB provided WQv of 12,240 CF 2024 03 15.
</t>
        </r>
      </text>
    </comment>
    <comment ref="AD20" authorId="2" shapeId="0" xr:uid="{0517CE98-1F2A-4259-AB6C-C65AA479DD88}">
      <text>
        <r>
          <rPr>
            <b/>
            <sz val="9"/>
            <color indexed="81"/>
            <rFont val="Tahoma"/>
            <family val="2"/>
          </rPr>
          <t>Amy Macrellis:</t>
        </r>
        <r>
          <rPr>
            <sz val="9"/>
            <color indexed="81"/>
            <rFont val="Tahoma"/>
            <family val="2"/>
          </rPr>
          <t xml:space="preserve">
VHB prelim design calcs use 6.1"/hr, tested rate 12.2"/hr.</t>
        </r>
      </text>
    </comment>
    <comment ref="AE20" authorId="2" shapeId="0" xr:uid="{3D8BCE14-AEE5-46B7-B4E1-7121FDEA5C48}">
      <text>
        <r>
          <rPr>
            <b/>
            <sz val="9"/>
            <color indexed="81"/>
            <rFont val="Tahoma"/>
            <charset val="1"/>
          </rPr>
          <t>Amy Macrellis:</t>
        </r>
        <r>
          <rPr>
            <sz val="9"/>
            <color indexed="81"/>
            <rFont val="Tahoma"/>
            <charset val="1"/>
          </rPr>
          <t xml:space="preserve">
VHB P base load is 3.410 kg/yr based on 2023 06 30 deliverable</t>
        </r>
      </text>
    </comment>
    <comment ref="AJ20" authorId="2" shapeId="0" xr:uid="{79CB77D7-388A-4C2A-A58F-CB2162934508}">
      <text>
        <r>
          <rPr>
            <b/>
            <sz val="9"/>
            <color indexed="81"/>
            <rFont val="Tahoma"/>
            <charset val="1"/>
          </rPr>
          <t>Amy Macrellis:</t>
        </r>
        <r>
          <rPr>
            <sz val="9"/>
            <color indexed="81"/>
            <rFont val="Tahoma"/>
            <charset val="1"/>
          </rPr>
          <t xml:space="preserve">
VHB estimated P reduction is 3.069 kg/yr per 2023 06 30 deliverable</t>
        </r>
      </text>
    </comment>
    <comment ref="K21" authorId="2" shapeId="0" xr:uid="{C9F83C62-03E9-4669-9379-C8C90208E22F}">
      <text>
        <r>
          <rPr>
            <b/>
            <sz val="9"/>
            <color indexed="81"/>
            <rFont val="Tahoma"/>
            <family val="2"/>
          </rPr>
          <t>Amy Macrellis:</t>
        </r>
        <r>
          <rPr>
            <sz val="9"/>
            <color indexed="81"/>
            <rFont val="Tahoma"/>
            <family val="2"/>
          </rPr>
          <t xml:space="preserve">
January 2015 = $36,200</t>
        </r>
      </text>
    </comment>
    <comment ref="AD21" authorId="2" shapeId="0" xr:uid="{66782DBF-DA9E-4C20-A739-8FE64AEF55DE}">
      <text>
        <r>
          <rPr>
            <b/>
            <sz val="9"/>
            <color indexed="81"/>
            <rFont val="Tahoma"/>
            <family val="2"/>
          </rPr>
          <t>Amy Macrellis:</t>
        </r>
        <r>
          <rPr>
            <sz val="9"/>
            <color indexed="81"/>
            <rFont val="Tahoma"/>
            <family val="2"/>
          </rPr>
          <t xml:space="preserve">
12.5 in previous table</t>
        </r>
      </text>
    </comment>
    <comment ref="K22" authorId="2" shapeId="0" xr:uid="{B891E4F7-ABF8-4C1F-A7BD-9AC457073135}">
      <text>
        <r>
          <rPr>
            <b/>
            <sz val="9"/>
            <color indexed="81"/>
            <rFont val="Tahoma"/>
            <family val="2"/>
          </rPr>
          <t>Amy Macrellis:</t>
        </r>
        <r>
          <rPr>
            <sz val="9"/>
            <color indexed="81"/>
            <rFont val="Tahoma"/>
            <family val="2"/>
          </rPr>
          <t xml:space="preserve">
January 2015 = $800,400
</t>
        </r>
      </text>
    </comment>
    <comment ref="U23" authorId="2" shapeId="0" xr:uid="{06939C27-6A48-414D-ADB8-156F3AC9A109}">
      <text>
        <r>
          <rPr>
            <b/>
            <sz val="9"/>
            <color indexed="81"/>
            <rFont val="Tahoma"/>
            <family val="2"/>
          </rPr>
          <t>Amy Macrellis:</t>
        </r>
        <r>
          <rPr>
            <sz val="9"/>
            <color indexed="81"/>
            <rFont val="Tahoma"/>
            <family val="2"/>
          </rPr>
          <t xml:space="preserve">
Detention Pond in prior version</t>
        </r>
      </text>
    </comment>
    <comment ref="AK24" authorId="2" shapeId="0" xr:uid="{4EC64318-A801-406D-97CA-1AC247471116}">
      <text>
        <r>
          <rPr>
            <b/>
            <sz val="9"/>
            <color indexed="81"/>
            <rFont val="Tahoma"/>
            <family val="2"/>
          </rPr>
          <t>Amy Macrellis:</t>
        </r>
        <r>
          <rPr>
            <sz val="9"/>
            <color indexed="81"/>
            <rFont val="Tahoma"/>
            <family val="2"/>
          </rPr>
          <t xml:space="preserve">
2023 03 17 - manual P reduction assumes 90% P removal efficiency based on UVM research demonstrating up to 97.5% (method detection limit) for particulate and dissolved P for runoff passing  through filter. Assumed that near-complete removal acheived for portion of runoff passing through filter, but that filter bypass is possible for some high-intensity or long-duration events. Previous manual reduction was 84% P removal efficiency based on NH Berry Brook CB filters, as calculated Jan. 2020.</t>
        </r>
      </text>
    </comment>
    <comment ref="AK25" authorId="2" shapeId="0" xr:uid="{CFEC3799-BC63-4A5F-B27D-19B14B86D746}">
      <text>
        <r>
          <rPr>
            <b/>
            <sz val="9"/>
            <color indexed="81"/>
            <rFont val="Tahoma"/>
            <family val="2"/>
          </rPr>
          <t>Amy Macrellis:</t>
        </r>
        <r>
          <rPr>
            <sz val="9"/>
            <color indexed="81"/>
            <rFont val="Tahoma"/>
            <family val="2"/>
          </rPr>
          <t xml:space="preserve">
2020 10 12 - entered P credit for change in land cover due to impervious removal in center of cul de sac from Jan. 2020 calcs</t>
        </r>
      </text>
    </comment>
    <comment ref="AK26" authorId="2" shapeId="0" xr:uid="{D562850F-3BCA-4B25-B954-6F8D4BABE6DA}">
      <text>
        <r>
          <rPr>
            <b/>
            <sz val="9"/>
            <color indexed="81"/>
            <rFont val="Tahoma"/>
            <family val="2"/>
          </rPr>
          <t>Amy Macrellis:</t>
        </r>
        <r>
          <rPr>
            <sz val="9"/>
            <color indexed="81"/>
            <rFont val="Tahoma"/>
            <family val="2"/>
          </rPr>
          <t xml:space="preserve">
2023 03 17 - manual P reduction assumes 90% P removal efficiency based on UVM research demonstrating up to 97.5% (method detection limit) for particulate and dissolved P for runoff passing  through filter. Assumed that near-complete removal acheived for portion of runoff passing through filter, but that filter bypass is possible for some high-intensity or long-duration events. Previous manual reduction was 84% P removal efficiency based on NH Berry Brook CB filters, as calculated Jan. 2020</t>
        </r>
      </text>
    </comment>
    <comment ref="AK27" authorId="2" shapeId="0" xr:uid="{F1046BDB-636E-4D71-8B26-8F0DA83A7FB1}">
      <text>
        <r>
          <rPr>
            <b/>
            <sz val="9"/>
            <color indexed="81"/>
            <rFont val="Tahoma"/>
            <family val="2"/>
          </rPr>
          <t>Amy Macrellis:</t>
        </r>
        <r>
          <rPr>
            <sz val="9"/>
            <color indexed="81"/>
            <rFont val="Tahoma"/>
            <family val="2"/>
          </rPr>
          <t xml:space="preserve">
2020 10 12 - entered P credit for change in land cover due to impervious removal in center of cul de sac from Jan. 2020 calcs</t>
        </r>
      </text>
    </comment>
    <comment ref="AK29" authorId="2" shapeId="0" xr:uid="{7B8F3090-E8AE-49DC-9327-6495270518E2}">
      <text>
        <r>
          <rPr>
            <b/>
            <sz val="9"/>
            <color indexed="81"/>
            <rFont val="Tahoma"/>
            <family val="2"/>
          </rPr>
          <t>Amy Macrellis:</t>
        </r>
        <r>
          <rPr>
            <sz val="9"/>
            <color indexed="81"/>
            <rFont val="Tahoma"/>
            <family val="2"/>
          </rPr>
          <t xml:space="preserve">
2020 10 12 - entered P credit for change in land cover due to impervious removal in center of cul de sac from Jan. 2020 calcs</t>
        </r>
      </text>
    </comment>
    <comment ref="AN30" authorId="2" shapeId="0" xr:uid="{61F136F2-187C-46DF-9B75-0821339B598A}">
      <text>
        <r>
          <rPr>
            <b/>
            <sz val="9"/>
            <color indexed="81"/>
            <rFont val="Tahoma"/>
            <family val="2"/>
          </rPr>
          <t>Amy Macrellis:</t>
        </r>
        <r>
          <rPr>
            <sz val="9"/>
            <color indexed="81"/>
            <rFont val="Tahoma"/>
            <family val="2"/>
          </rPr>
          <t xml:space="preserve">
Adjusted based on Stantec calcuation of contribution of MS4/roadway impervious, 2020 12 07</t>
        </r>
      </text>
    </comment>
    <comment ref="AN31" authorId="2" shapeId="0" xr:uid="{18B66EA7-F240-4E26-9BB9-105AE789CB1C}">
      <text>
        <r>
          <rPr>
            <b/>
            <sz val="9"/>
            <color indexed="81"/>
            <rFont val="Tahoma"/>
            <family val="2"/>
          </rPr>
          <t>Amy Macrellis:</t>
        </r>
        <r>
          <rPr>
            <sz val="9"/>
            <color indexed="81"/>
            <rFont val="Tahoma"/>
            <family val="2"/>
          </rPr>
          <t xml:space="preserve">
Adjusted based on Stantec calcuation of contribution of MS4/roadway impervious, 2020 12 07</t>
        </r>
      </text>
    </comment>
    <comment ref="AN32" authorId="2" shapeId="0" xr:uid="{A02DB940-B104-49E3-9521-6B6494AFA292}">
      <text>
        <r>
          <rPr>
            <b/>
            <sz val="9"/>
            <color indexed="81"/>
            <rFont val="Tahoma"/>
            <family val="2"/>
          </rPr>
          <t>Amy Macrellis:</t>
        </r>
        <r>
          <rPr>
            <sz val="9"/>
            <color indexed="81"/>
            <rFont val="Tahoma"/>
            <family val="2"/>
          </rPr>
          <t xml:space="preserve">
Adjusted based on Stantec calcuation of contribution of MS4/roadway impervious, 2020 12 07</t>
        </r>
      </text>
    </comment>
    <comment ref="AN33" authorId="2" shapeId="0" xr:uid="{B4243E30-F175-4D82-8093-7854EFBCAD98}">
      <text>
        <r>
          <rPr>
            <b/>
            <sz val="9"/>
            <color indexed="81"/>
            <rFont val="Tahoma"/>
            <family val="2"/>
          </rPr>
          <t>Amy Macrellis:</t>
        </r>
        <r>
          <rPr>
            <sz val="9"/>
            <color indexed="81"/>
            <rFont val="Tahoma"/>
            <family val="2"/>
          </rPr>
          <t xml:space="preserve">
Adjusted based on Stantec calcuation of contribution of MS4/roadway impervious, 2020 12 07</t>
        </r>
      </text>
    </comment>
    <comment ref="AN34" authorId="2" shapeId="0" xr:uid="{C2B6483D-8B62-46B2-A733-7A8F6FC66402}">
      <text>
        <r>
          <rPr>
            <b/>
            <sz val="9"/>
            <color indexed="81"/>
            <rFont val="Tahoma"/>
            <family val="2"/>
          </rPr>
          <t>Amy Macrellis:</t>
        </r>
        <r>
          <rPr>
            <sz val="9"/>
            <color indexed="81"/>
            <rFont val="Tahoma"/>
            <family val="2"/>
          </rPr>
          <t xml:space="preserve">
Adjusted based on Stantec calcuation of contribution of MS4/roadway impervious, 2020 12 07</t>
        </r>
      </text>
    </comment>
    <comment ref="AN35" authorId="2" shapeId="0" xr:uid="{8757AD44-A051-4905-B8AD-CE7F5642030E}">
      <text>
        <r>
          <rPr>
            <b/>
            <sz val="9"/>
            <color indexed="81"/>
            <rFont val="Tahoma"/>
            <family val="2"/>
          </rPr>
          <t>Amy Macrellis:</t>
        </r>
        <r>
          <rPr>
            <sz val="9"/>
            <color indexed="81"/>
            <rFont val="Tahoma"/>
            <family val="2"/>
          </rPr>
          <t xml:space="preserve">
Adjusted based on Stantec calcuation of contribution of MS4/roadway impervious, 2020 12 07</t>
        </r>
      </text>
    </comment>
    <comment ref="AN36" authorId="2" shapeId="0" xr:uid="{B81C3F96-A921-4747-B052-C1B68415EA47}">
      <text>
        <r>
          <rPr>
            <b/>
            <sz val="9"/>
            <color indexed="81"/>
            <rFont val="Tahoma"/>
            <family val="2"/>
          </rPr>
          <t>Amy Macrellis:</t>
        </r>
        <r>
          <rPr>
            <sz val="9"/>
            <color indexed="81"/>
            <rFont val="Tahoma"/>
            <family val="2"/>
          </rPr>
          <t xml:space="preserve">
Adjusted based on Stantec calcuation of contribution of MS4/roadway impervious, 2020 12 07</t>
        </r>
      </text>
    </comment>
    <comment ref="AN37" authorId="2" shapeId="0" xr:uid="{A9CD6CCF-AEEB-460F-BDA7-A98B5D21114A}">
      <text>
        <r>
          <rPr>
            <b/>
            <sz val="9"/>
            <color indexed="81"/>
            <rFont val="Tahoma"/>
            <family val="2"/>
          </rPr>
          <t>Amy Macrellis:</t>
        </r>
        <r>
          <rPr>
            <sz val="9"/>
            <color indexed="81"/>
            <rFont val="Tahoma"/>
            <family val="2"/>
          </rPr>
          <t xml:space="preserve">
Adjusted based on Stantec calcuation of contribution of MS4/roadway impervious, 2020 12 07</t>
        </r>
      </text>
    </comment>
    <comment ref="AN38" authorId="2" shapeId="0" xr:uid="{D50B069F-F44E-4C41-A928-EA6424FAE098}">
      <text>
        <r>
          <rPr>
            <b/>
            <sz val="9"/>
            <color indexed="81"/>
            <rFont val="Tahoma"/>
            <family val="2"/>
          </rPr>
          <t>Amy Macrellis:</t>
        </r>
        <r>
          <rPr>
            <sz val="9"/>
            <color indexed="81"/>
            <rFont val="Tahoma"/>
            <family val="2"/>
          </rPr>
          <t xml:space="preserve">
Adjusted based on Stantec calcuation of contribution of MS4/roadway impervious, 2020 12 07</t>
        </r>
      </text>
    </comment>
    <comment ref="AN39" authorId="2" shapeId="0" xr:uid="{DA54607C-990C-4EF7-80D4-64D2136FA8EA}">
      <text>
        <r>
          <rPr>
            <b/>
            <sz val="9"/>
            <color indexed="81"/>
            <rFont val="Tahoma"/>
            <family val="2"/>
          </rPr>
          <t>Amy Macrellis:</t>
        </r>
        <r>
          <rPr>
            <sz val="9"/>
            <color indexed="81"/>
            <rFont val="Tahoma"/>
            <family val="2"/>
          </rPr>
          <t xml:space="preserve">
Adjusted based on Stantec calcuation of contribution of MS4/roadway impervious, 2020 12 07</t>
        </r>
      </text>
    </comment>
    <comment ref="C40" authorId="2" shapeId="0" xr:uid="{E5551BCF-CAFE-42F6-9F95-C36469C03673}">
      <text>
        <r>
          <rPr>
            <b/>
            <sz val="9"/>
            <color indexed="81"/>
            <rFont val="Tahoma"/>
            <family val="2"/>
          </rPr>
          <t>Amy Macrellis:</t>
        </r>
        <r>
          <rPr>
            <sz val="9"/>
            <color indexed="81"/>
            <rFont val="Tahoma"/>
            <family val="2"/>
          </rPr>
          <t xml:space="preserve">
2020 02 05 - per Amanda, installed 11/3/2010. Creditable. Infiltration chambers retrofit for ponds not installed originally. Updated 2/18/21. Opps for impervious removal in this subdivision, cul-de-sacs that have been extended through.</t>
        </r>
      </text>
    </comment>
    <comment ref="C76" authorId="2" shapeId="0" xr:uid="{CA00A573-3A3C-43E6-92D2-70D28460B70D}">
      <text>
        <r>
          <rPr>
            <b/>
            <sz val="9"/>
            <color indexed="81"/>
            <rFont val="Tahoma"/>
            <family val="2"/>
          </rPr>
          <t>Amy Macrellis:</t>
        </r>
        <r>
          <rPr>
            <sz val="9"/>
            <color indexed="81"/>
            <rFont val="Tahoma"/>
            <family val="2"/>
          </rPr>
          <t xml:space="preserve">
2021 02 04 - Just north of the Winooski-Malletts Bay. Low priority. </t>
        </r>
      </text>
    </comment>
    <comment ref="AK76" authorId="2" shapeId="0" xr:uid="{1A84FA5F-12D4-4711-88D6-CD1761981644}">
      <text>
        <r>
          <rPr>
            <b/>
            <sz val="9"/>
            <color indexed="81"/>
            <rFont val="Tahoma"/>
            <family val="2"/>
          </rPr>
          <t>Amy Macrellis:</t>
        </r>
        <r>
          <rPr>
            <sz val="9"/>
            <color indexed="81"/>
            <rFont val="Tahoma"/>
            <family val="2"/>
          </rPr>
          <t xml:space="preserve">
2021  02 05 - entered P credit for change in land cover due to impervious removal at cul de sac,  assuming any impervious outside road prism is removed. </t>
        </r>
      </text>
    </comment>
    <comment ref="C78" authorId="2" shapeId="0" xr:uid="{7AEDAA25-7B3D-4CCE-8FAD-A6AC6CA850D5}">
      <text>
        <r>
          <rPr>
            <b/>
            <sz val="9"/>
            <color indexed="81"/>
            <rFont val="Tahoma"/>
            <family val="2"/>
          </rPr>
          <t>Amy Macrellis:</t>
        </r>
        <r>
          <rPr>
            <sz val="9"/>
            <color indexed="81"/>
            <rFont val="Tahoma"/>
            <family val="2"/>
          </rPr>
          <t xml:space="preserve">
2021 02 04 - cul de sac and impervious removal similar to Oakwood Dr but with smaller DA. Soils not great, assume sand/enhanced filter. Culverted stream crossing under cul-de-sac. Culdesac is 65' diameter (Acron is 100') - so impervious removal may not be an option in terms of emergency vehicle access/turning radii.</t>
        </r>
      </text>
    </comment>
    <comment ref="C79" authorId="2" shapeId="0" xr:uid="{FABABF0F-F2F5-4B08-B0FF-E829EB52B35C}">
      <text>
        <r>
          <rPr>
            <b/>
            <sz val="9"/>
            <color indexed="81"/>
            <rFont val="Tahoma"/>
            <family val="2"/>
          </rPr>
          <t>Amy Macrellis:</t>
        </r>
        <r>
          <rPr>
            <sz val="9"/>
            <color indexed="81"/>
            <rFont val="Tahoma"/>
            <family val="2"/>
          </rPr>
          <t xml:space="preserve">
2020 02 04 - two cul de sacs in this subdivision with relict impervious, subdivisions have extended past. Opportunity to remove?</t>
        </r>
      </text>
    </comment>
    <comment ref="AK79" authorId="2" shapeId="0" xr:uid="{75CD6F09-F7FC-43EF-B8B8-5F451F9F7864}">
      <text>
        <r>
          <rPr>
            <b/>
            <sz val="9"/>
            <color indexed="81"/>
            <rFont val="Tahoma"/>
            <family val="2"/>
          </rPr>
          <t>Amy Macrellis:</t>
        </r>
        <r>
          <rPr>
            <sz val="9"/>
            <color indexed="81"/>
            <rFont val="Tahoma"/>
            <family val="2"/>
          </rPr>
          <t xml:space="preserve">
2021  02 05 - entered P credit for change in land cover due to impervious removal at two cul de sacs, assuming any impervious outside road prism is removed. </t>
        </r>
      </text>
    </comment>
    <comment ref="AC99" authorId="2" shapeId="0" xr:uid="{3564FFAB-F2A9-49C9-9294-E4689136B7F4}">
      <text>
        <r>
          <rPr>
            <b/>
            <sz val="9"/>
            <color indexed="81"/>
            <rFont val="Tahoma"/>
            <charset val="1"/>
          </rPr>
          <t>Amy Macrellis:</t>
        </r>
        <r>
          <rPr>
            <sz val="9"/>
            <color indexed="81"/>
            <rFont val="Tahoma"/>
            <charset val="1"/>
          </rPr>
          <t xml:space="preserve">
WQv per VHB preliminary eng. deliverable, 2024 03 15</t>
        </r>
      </text>
    </comment>
    <comment ref="AL99" authorId="2" shapeId="0" xr:uid="{18718B92-C54F-48BC-B793-A57223975AC7}">
      <text>
        <r>
          <rPr>
            <b/>
            <sz val="9"/>
            <color indexed="81"/>
            <rFont val="Tahoma"/>
            <charset val="1"/>
          </rPr>
          <t>Amy Macrellis:</t>
        </r>
        <r>
          <rPr>
            <sz val="9"/>
            <color indexed="81"/>
            <rFont val="Tahoma"/>
            <charset val="1"/>
          </rPr>
          <t xml:space="preserve">
This would be an upgrade to existing, pre-2002 wet pond, so P reduction likely smaller but Town can't take any credit at present. Changed to "no" to allow full potential to show up in PCP 2024 03 21</t>
        </r>
      </text>
    </comment>
    <comment ref="AO99" authorId="2" shapeId="0" xr:uid="{73EE11C2-F23F-4664-867C-D90E6724C589}">
      <text>
        <r>
          <rPr>
            <b/>
            <sz val="9"/>
            <color indexed="81"/>
            <rFont val="Tahoma"/>
            <family val="2"/>
          </rPr>
          <t>Amy Macrellis:</t>
        </r>
        <r>
          <rPr>
            <sz val="9"/>
            <color indexed="81"/>
            <rFont val="Tahoma"/>
            <family val="2"/>
          </rPr>
          <t xml:space="preserve">
VHB prelim design calc is for 4.15 kg/yr, pervious modeled as HSG A in their deliverable but their narrative says HSG C/D and D. 2024 03 21</t>
        </r>
      </text>
    </comment>
    <comment ref="A100" authorId="2" shapeId="0" xr:uid="{CED4D78D-9649-4DC3-9E0E-74460CF3521D}">
      <text>
        <r>
          <rPr>
            <b/>
            <sz val="9"/>
            <color indexed="81"/>
            <rFont val="Tahoma"/>
            <family val="2"/>
          </rPr>
          <t>Amy Macrellis:</t>
        </r>
        <r>
          <rPr>
            <sz val="9"/>
            <color indexed="81"/>
            <rFont val="Tahoma"/>
            <family val="2"/>
          </rPr>
          <t xml:space="preserve">
grass swales to infiltration? Low priority.</t>
        </r>
      </text>
    </comment>
    <comment ref="AC101" authorId="2" shapeId="0" xr:uid="{6622DEEB-11A4-4FC6-9733-F5C60E054160}">
      <text>
        <r>
          <rPr>
            <b/>
            <sz val="9"/>
            <color indexed="81"/>
            <rFont val="Tahoma"/>
            <charset val="1"/>
          </rPr>
          <t>Amy Macrellis:</t>
        </r>
        <r>
          <rPr>
            <sz val="9"/>
            <color indexed="81"/>
            <rFont val="Tahoma"/>
            <charset val="1"/>
          </rPr>
          <t xml:space="preserve">
WQv per VHB is 10,846 CF 2024 03 15</t>
        </r>
      </text>
    </comment>
    <comment ref="AK101" authorId="2" shapeId="0" xr:uid="{BD0B8C10-9F02-48B8-B96E-7AD4E919DCA4}">
      <text>
        <r>
          <rPr>
            <b/>
            <sz val="9"/>
            <color indexed="81"/>
            <rFont val="Tahoma"/>
            <charset val="1"/>
          </rPr>
          <t>Amy Macrellis:</t>
        </r>
        <r>
          <rPr>
            <sz val="9"/>
            <color indexed="81"/>
            <rFont val="Tahoma"/>
            <charset val="1"/>
          </rPr>
          <t xml:space="preserve">
This is the VHB-deliverable P reduction, per deliverable 2023 06 30</t>
        </r>
      </text>
    </comment>
    <comment ref="AL101" authorId="2" shapeId="0" xr:uid="{E65B2ECD-5757-4BBE-B192-207D573F53C1}">
      <text>
        <r>
          <rPr>
            <b/>
            <sz val="9"/>
            <color indexed="81"/>
            <rFont val="Tahoma"/>
            <charset val="1"/>
          </rPr>
          <t>Amy Macrellis:</t>
        </r>
        <r>
          <rPr>
            <sz val="9"/>
            <color indexed="81"/>
            <rFont val="Tahoma"/>
            <charset val="1"/>
          </rPr>
          <t xml:space="preserve">
This IS an upgrade to an existing BMP, but one that the Town doesn't get credit for presently. Changed this field to "no" to allow full estimated P reduction/credit to flow to summary for PCP, 2024 03 21.</t>
        </r>
      </text>
    </comment>
    <comment ref="AK104" authorId="2" shapeId="0" xr:uid="{039AA73C-3609-4ABC-963A-D00143CE8F63}">
      <text>
        <r>
          <rPr>
            <b/>
            <sz val="9"/>
            <color indexed="81"/>
            <rFont val="Tahoma"/>
            <family val="2"/>
          </rPr>
          <t>Amy Macrellis:</t>
        </r>
        <r>
          <rPr>
            <sz val="9"/>
            <color indexed="81"/>
            <rFont val="Tahoma"/>
            <family val="2"/>
          </rPr>
          <t xml:space="preserve">
2021  02 24 - entered P credit for change in land cover due to impervious removal at cul de sacs assuming any impervious outside road prism is removed at mid-road site and center impervious removed at north end.</t>
        </r>
      </text>
    </comment>
    <comment ref="AK112" authorId="2" shapeId="0" xr:uid="{286131AB-4959-4743-AA37-1A455BA4B4F0}">
      <text>
        <r>
          <rPr>
            <b/>
            <sz val="9"/>
            <color indexed="81"/>
            <rFont val="Tahoma"/>
            <family val="2"/>
          </rPr>
          <t>Amy Macrellis:</t>
        </r>
        <r>
          <rPr>
            <sz val="9"/>
            <color indexed="81"/>
            <rFont val="Tahoma"/>
            <family val="2"/>
          </rPr>
          <t xml:space="preserve">
2021 02 24 added load from removal of paved road in center of cul de sac as credit</t>
        </r>
      </text>
    </comment>
    <comment ref="B120" authorId="2" shapeId="0" xr:uid="{5EC131B5-6A3D-48CD-803A-41D87676B43D}">
      <text>
        <r>
          <rPr>
            <b/>
            <sz val="9"/>
            <color indexed="81"/>
            <rFont val="Tahoma"/>
            <family val="2"/>
          </rPr>
          <t>Amy Macrellis:</t>
        </r>
        <r>
          <rPr>
            <sz val="9"/>
            <color indexed="81"/>
            <rFont val="Tahoma"/>
            <family val="2"/>
          </rPr>
          <t xml:space="preserve">
combo with outlet not meeting standards</t>
        </r>
      </text>
    </comment>
    <comment ref="B121" authorId="2" shapeId="0" xr:uid="{B324A63A-96A9-4ECD-96FA-7A29B0BDAEDC}">
      <text>
        <r>
          <rPr>
            <b/>
            <sz val="9"/>
            <color indexed="81"/>
            <rFont val="Tahoma"/>
            <family val="2"/>
          </rPr>
          <t>Amy Macrellis:</t>
        </r>
        <r>
          <rPr>
            <sz val="9"/>
            <color indexed="81"/>
            <rFont val="Tahoma"/>
            <family val="2"/>
          </rPr>
          <t xml:space="preserve">
combo with outlet not meeting standards</t>
        </r>
      </text>
    </comment>
    <comment ref="B122" authorId="2" shapeId="0" xr:uid="{FFB15262-9D95-41E5-9533-B0017ADF3C2C}">
      <text>
        <r>
          <rPr>
            <b/>
            <sz val="9"/>
            <color indexed="81"/>
            <rFont val="Tahoma"/>
            <family val="2"/>
          </rPr>
          <t>Amy Macrellis:</t>
        </r>
        <r>
          <rPr>
            <sz val="9"/>
            <color indexed="81"/>
            <rFont val="Tahoma"/>
            <family val="2"/>
          </rPr>
          <t xml:space="preserve">
combo with outlet not meeting standards</t>
        </r>
      </text>
    </comment>
    <comment ref="B123" authorId="2" shapeId="0" xr:uid="{1605E0B8-4BFC-4BEE-834F-74B772097B35}">
      <text>
        <r>
          <rPr>
            <b/>
            <sz val="9"/>
            <color indexed="81"/>
            <rFont val="Tahoma"/>
            <family val="2"/>
          </rPr>
          <t>Amy Macrellis:</t>
        </r>
        <r>
          <rPr>
            <sz val="9"/>
            <color indexed="81"/>
            <rFont val="Tahoma"/>
            <family val="2"/>
          </rPr>
          <t xml:space="preserve">
combo with outlet not meeting standards</t>
        </r>
      </text>
    </comment>
    <comment ref="B124" authorId="2" shapeId="0" xr:uid="{86F78CC4-9DF1-4169-85EB-9CE18C51A0B7}">
      <text>
        <r>
          <rPr>
            <b/>
            <sz val="9"/>
            <color indexed="81"/>
            <rFont val="Tahoma"/>
            <family val="2"/>
          </rPr>
          <t>Amy Macrellis:</t>
        </r>
        <r>
          <rPr>
            <sz val="9"/>
            <color indexed="81"/>
            <rFont val="Tahoma"/>
            <family val="2"/>
          </rPr>
          <t xml:space="preserve">
combo with outlet not meeting standards</t>
        </r>
      </text>
    </comment>
    <comment ref="B127" authorId="2" shapeId="0" xr:uid="{A018676B-2442-4B8C-BE06-C0BC4522A832}">
      <text>
        <r>
          <rPr>
            <b/>
            <sz val="9"/>
            <color indexed="81"/>
            <rFont val="Tahoma"/>
            <family val="2"/>
          </rPr>
          <t>Amy Macrellis:</t>
        </r>
        <r>
          <rPr>
            <sz val="9"/>
            <color indexed="81"/>
            <rFont val="Tahoma"/>
            <family val="2"/>
          </rPr>
          <t xml:space="preserve">
combo with outlet not meeting standards; agawam soil series, still HSG A but finer</t>
        </r>
      </text>
    </comment>
    <comment ref="T131" authorId="2" shapeId="0" xr:uid="{280C29E5-F113-441F-9ADA-5AAFD4ABE20F}">
      <text>
        <r>
          <rPr>
            <b/>
            <sz val="9"/>
            <color indexed="81"/>
            <rFont val="Tahoma"/>
            <family val="2"/>
          </rPr>
          <t>Amy Macrellis:</t>
        </r>
        <r>
          <rPr>
            <sz val="9"/>
            <color indexed="81"/>
            <rFont val="Tahoma"/>
            <family val="2"/>
          </rPr>
          <t xml:space="preserve">
Likely to be incorporated into Essex Town MS4 in 2021 per Annie 2020 02 24</t>
        </r>
      </text>
    </comment>
    <comment ref="T134" authorId="2" shapeId="0" xr:uid="{92C128AD-8D75-4F13-A54C-7480C7435042}">
      <text>
        <r>
          <rPr>
            <b/>
            <sz val="9"/>
            <color indexed="81"/>
            <rFont val="Tahoma"/>
            <family val="2"/>
          </rPr>
          <t>Amy Macrellis:</t>
        </r>
        <r>
          <rPr>
            <sz val="9"/>
            <color indexed="81"/>
            <rFont val="Tahoma"/>
            <family val="2"/>
          </rPr>
          <t xml:space="preserve">
2021 03 16 per Annie, likely to be incorporated into MS4 in 2021-2</t>
        </r>
      </text>
    </comment>
    <comment ref="U134" authorId="2" shapeId="0" xr:uid="{8171C788-45F8-494F-8F40-9E5684B86954}">
      <text>
        <r>
          <rPr>
            <b/>
            <sz val="9"/>
            <color indexed="81"/>
            <rFont val="Tahoma"/>
            <family val="2"/>
          </rPr>
          <t>Amy Macrellis:</t>
        </r>
        <r>
          <rPr>
            <sz val="9"/>
            <color indexed="81"/>
            <rFont val="Tahoma"/>
            <family val="2"/>
          </rPr>
          <t xml:space="preserve">
Multiple STPs including swales, drywells at cul-de-sacs, and dry swale at end of existing discharge pipe</t>
        </r>
      </text>
    </comment>
    <comment ref="X134" authorId="2" shapeId="0" xr:uid="{6FD7411E-3BCE-4917-A236-0F200108F8D9}">
      <text>
        <r>
          <rPr>
            <b/>
            <sz val="9"/>
            <color indexed="81"/>
            <rFont val="Tahoma"/>
            <family val="2"/>
          </rPr>
          <t>Amy Macrellis:</t>
        </r>
        <r>
          <rPr>
            <sz val="9"/>
            <color indexed="81"/>
            <rFont val="Tahoma"/>
            <family val="2"/>
          </rPr>
          <t xml:space="preserve">
ESTIMATED, design files not available as of 2021 03 16</t>
        </r>
      </text>
    </comment>
    <comment ref="AC134" authorId="2" shapeId="0" xr:uid="{53C95B71-DD5F-4401-9B3F-0D117CEA13C8}">
      <text>
        <r>
          <rPr>
            <b/>
            <sz val="9"/>
            <color indexed="81"/>
            <rFont val="Tahoma"/>
            <family val="2"/>
          </rPr>
          <t>Amy Macrellis:</t>
        </r>
        <r>
          <rPr>
            <sz val="9"/>
            <color indexed="81"/>
            <rFont val="Tahoma"/>
            <family val="2"/>
          </rPr>
          <t xml:space="preserve">
Storage volume assumed based on WQv, 2021  03 16</t>
        </r>
      </text>
    </comment>
    <comment ref="K135" authorId="2" shapeId="0" xr:uid="{18C4BA8B-D396-4936-90B0-280F5580981B}">
      <text>
        <r>
          <rPr>
            <b/>
            <sz val="9"/>
            <color indexed="81"/>
            <rFont val="Tahoma"/>
            <family val="2"/>
          </rPr>
          <t>Amy Macrellis:</t>
        </r>
        <r>
          <rPr>
            <sz val="9"/>
            <color indexed="81"/>
            <rFont val="Tahoma"/>
            <family val="2"/>
          </rPr>
          <t xml:space="preserve">
2023 US$</t>
        </r>
      </text>
    </comment>
    <comment ref="AC135" authorId="2" shapeId="0" xr:uid="{82CC187C-2FC6-4BEC-A873-CCD341C3EFDA}">
      <text>
        <r>
          <rPr>
            <b/>
            <sz val="9"/>
            <color indexed="81"/>
            <rFont val="Tahoma"/>
            <family val="2"/>
          </rPr>
          <t>Amy Macrellis:</t>
        </r>
        <r>
          <rPr>
            <sz val="9"/>
            <color indexed="81"/>
            <rFont val="Tahoma"/>
            <family val="2"/>
          </rPr>
          <t xml:space="preserve">
Storage volume is WQv provided by VHB, 2024 03 15. This accounts for EX-WR-041 through 043 as provided in VHB prelim engineering deliverable 2023 06 30. Added 2024 03 21.</t>
        </r>
      </text>
    </comment>
    <comment ref="AO135" authorId="2" shapeId="0" xr:uid="{4D67D692-AE5B-45F1-B4B4-9397A7F3BE37}">
      <text>
        <r>
          <rPr>
            <b/>
            <sz val="9"/>
            <color indexed="81"/>
            <rFont val="Tahoma"/>
            <family val="2"/>
          </rPr>
          <t>Amy Macrellis:</t>
        </r>
        <r>
          <rPr>
            <sz val="9"/>
            <color indexed="81"/>
            <rFont val="Tahoma"/>
            <family val="2"/>
          </rPr>
          <t xml:space="preserve">
2024 03 14 - P reduction in VHB 2023 preliminary design is 3.607 kg/yr</t>
        </r>
      </text>
    </comment>
    <comment ref="K136" authorId="2" shapeId="0" xr:uid="{DBB24DAB-7649-4109-9650-55D168334BD1}">
      <text>
        <r>
          <rPr>
            <b/>
            <sz val="9"/>
            <color indexed="81"/>
            <rFont val="Tahoma"/>
            <family val="2"/>
          </rPr>
          <t>Amy Macrellis:</t>
        </r>
        <r>
          <rPr>
            <sz val="9"/>
            <color indexed="81"/>
            <rFont val="Tahoma"/>
            <family val="2"/>
          </rPr>
          <t xml:space="preserve">
High-end cost, Alternaitve 2, used here. Alt 4 cost estimate is $310,000 as of 3/18/2021</t>
        </r>
      </text>
    </comment>
    <comment ref="AC137" authorId="2" shapeId="0" xr:uid="{C644489D-816A-4C21-88D5-6016730CD641}">
      <text>
        <r>
          <rPr>
            <b/>
            <sz val="9"/>
            <color indexed="81"/>
            <rFont val="Tahoma"/>
            <family val="2"/>
          </rPr>
          <t>Amy Macrellis:</t>
        </r>
        <r>
          <rPr>
            <sz val="9"/>
            <color indexed="81"/>
            <rFont val="Tahoma"/>
            <family val="2"/>
          </rPr>
          <t xml:space="preserve">
Storage volume roughly calculated from as-built drawings; this is a little more than the one-year, 24-hour storm so consider it the max that would be likely creditable by ANR</t>
        </r>
      </text>
    </comment>
    <comment ref="AX137" authorId="2" shapeId="0" xr:uid="{83F59D61-132F-4FD1-9591-DC3CFAE595A4}">
      <text>
        <r>
          <rPr>
            <b/>
            <sz val="9"/>
            <color indexed="81"/>
            <rFont val="Tahoma"/>
            <family val="2"/>
          </rPr>
          <t>Amy Macrellis:</t>
        </r>
        <r>
          <rPr>
            <sz val="9"/>
            <color indexed="81"/>
            <rFont val="Tahoma"/>
            <family val="2"/>
          </rPr>
          <t xml:space="preserve">
Storage volume estimated based on record drawing, 2021 03 18</t>
        </r>
      </text>
    </comment>
    <comment ref="AC138" authorId="2" shapeId="0" xr:uid="{E6951C1D-BD24-4BE6-81B8-7DBB0227E3C0}">
      <text>
        <r>
          <rPr>
            <b/>
            <sz val="9"/>
            <color indexed="81"/>
            <rFont val="Tahoma"/>
            <family val="2"/>
          </rPr>
          <t>Amy Macrellis:</t>
        </r>
        <r>
          <rPr>
            <sz val="9"/>
            <color indexed="81"/>
            <rFont val="Tahoma"/>
            <family val="2"/>
          </rPr>
          <t xml:space="preserve">
Storage volume assumed based on WQv, 2021  03 19</t>
        </r>
      </text>
    </comment>
    <comment ref="AC139" authorId="2" shapeId="0" xr:uid="{53C765DF-1295-418F-9993-3CD1629111D3}">
      <text>
        <r>
          <rPr>
            <b/>
            <sz val="9"/>
            <color indexed="81"/>
            <rFont val="Tahoma"/>
            <family val="2"/>
          </rPr>
          <t>Amy Macrellis:</t>
        </r>
        <r>
          <rPr>
            <sz val="9"/>
            <color indexed="81"/>
            <rFont val="Tahoma"/>
            <family val="2"/>
          </rPr>
          <t xml:space="preserve">
Storage volume assumed based on WQv, 2021  03 19</t>
        </r>
      </text>
    </comment>
    <comment ref="AC140" authorId="2" shapeId="0" xr:uid="{21D04E08-342D-4711-A95C-98D8D93BE0F2}">
      <text>
        <r>
          <rPr>
            <b/>
            <sz val="9"/>
            <color indexed="81"/>
            <rFont val="Tahoma"/>
            <family val="2"/>
          </rPr>
          <t>Amy Macrellis:</t>
        </r>
        <r>
          <rPr>
            <sz val="9"/>
            <color indexed="81"/>
            <rFont val="Tahoma"/>
            <family val="2"/>
          </rPr>
          <t xml:space="preserve">
0.237 acre-feet, 179 Stormtech SC-740 chambers, from Jeff Kershner sketch 2024 02 06</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Amy Macrellis</author>
  </authors>
  <commentList>
    <comment ref="H10" authorId="0" shapeId="0" xr:uid="{2F046F3C-EC9B-4549-8285-CDEE47AF49A6}">
      <text>
        <r>
          <rPr>
            <b/>
            <sz val="9"/>
            <color indexed="81"/>
            <rFont val="Tahoma"/>
            <family val="2"/>
          </rPr>
          <t>Amy Macrellis:</t>
        </r>
        <r>
          <rPr>
            <sz val="9"/>
            <color indexed="81"/>
            <rFont val="Tahoma"/>
            <family val="2"/>
          </rPr>
          <t xml:space="preserve">
2020 12 07 - entered from Essex_OutletErosionCrediting_20201207_Memo.xlsx</t>
        </r>
      </text>
    </comment>
    <comment ref="J10" authorId="0" shapeId="0" xr:uid="{5C256CD9-3794-433C-B255-CAE3049C7A22}">
      <text>
        <r>
          <rPr>
            <b/>
            <sz val="9"/>
            <color indexed="81"/>
            <rFont val="Tahoma"/>
            <family val="2"/>
          </rPr>
          <t>Amy Macrellis:</t>
        </r>
        <r>
          <rPr>
            <sz val="9"/>
            <color indexed="81"/>
            <rFont val="Tahoma"/>
            <family val="2"/>
          </rPr>
          <t xml:space="preserve">
Essex_MunicipalRoad_Calcs_LoadingRates_10302020_4Memo.xlsx - Using the EssexJct tab only for now, this is road segments remaining to be brought to standards, not those already managed. 2020 12 07
</t>
        </r>
      </text>
    </comment>
    <comment ref="L10" authorId="0" shapeId="0" xr:uid="{8D0A4E39-E421-4309-925E-A36C0A87B766}">
      <text>
        <r>
          <rPr>
            <b/>
            <sz val="9"/>
            <color indexed="81"/>
            <rFont val="Tahoma"/>
            <family val="2"/>
          </rPr>
          <t>Amy Macrellis:</t>
        </r>
        <r>
          <rPr>
            <sz val="9"/>
            <color indexed="81"/>
            <rFont val="Tahoma"/>
            <family val="2"/>
          </rPr>
          <t xml:space="preserve">
Values copied from CleanStreetCalcSummary_20201201.xlsx, 2020 12 07</t>
        </r>
      </text>
    </comment>
    <comment ref="M10" authorId="0" shapeId="0" xr:uid="{C98A4615-001D-4BB9-A523-576E7B00EFBB}">
      <text>
        <r>
          <rPr>
            <b/>
            <sz val="9"/>
            <color indexed="81"/>
            <rFont val="Tahoma"/>
            <family val="2"/>
          </rPr>
          <t>Amy Macrellis:</t>
        </r>
        <r>
          <rPr>
            <sz val="9"/>
            <color indexed="81"/>
            <rFont val="Tahoma"/>
            <family val="2"/>
          </rPr>
          <t xml:space="preserve">
Values copied from 'additional sweeping P reduction' summary in CleanStreetCalcSummary_20201201.xlsx, 2020 12 07</t>
        </r>
      </text>
    </comment>
    <comment ref="J11" authorId="0" shapeId="0" xr:uid="{76ABB726-2D56-41EC-BA1A-C4EFDC7723F7}">
      <text>
        <r>
          <rPr>
            <b/>
            <sz val="9"/>
            <color indexed="81"/>
            <rFont val="Tahoma"/>
            <family val="2"/>
          </rPr>
          <t>Amy Macrellis:</t>
        </r>
        <r>
          <rPr>
            <sz val="9"/>
            <color indexed="81"/>
            <rFont val="Tahoma"/>
            <family val="2"/>
          </rPr>
          <t xml:space="preserve">
2020 12 07 - the road segments in Essex not meeting standards are all paved - curbed, so only outlet erosion applies. Otherwise the road segments identified in the REI would get 0.1 kg/yr P credit to meet standards.</t>
        </r>
      </text>
    </comment>
    <comment ref="J12" authorId="0" shapeId="0" xr:uid="{CB4474F7-A0E0-4030-B50F-9D1F52510C74}">
      <text>
        <r>
          <rPr>
            <b/>
            <sz val="9"/>
            <color indexed="81"/>
            <rFont val="Tahoma"/>
            <family val="2"/>
          </rPr>
          <t>Amy Macrellis:</t>
        </r>
        <r>
          <rPr>
            <sz val="9"/>
            <color indexed="81"/>
            <rFont val="Tahoma"/>
            <family val="2"/>
          </rPr>
          <t xml:space="preserve">
2020 12 07 - the road segments in Essex not meeting standards are all paved - curbed, so only outlet erosion applies. Otherwise the road segments identified in the REI would get 2.39 kg/yr P credit to meet standards.</t>
        </r>
      </text>
    </comment>
    <comment ref="H28" authorId="0" shapeId="0" xr:uid="{F7452FB3-75DC-4EE6-9CAB-D8C4EBD45E27}">
      <text>
        <r>
          <rPr>
            <b/>
            <sz val="9"/>
            <color indexed="81"/>
            <rFont val="Tahoma"/>
            <family val="2"/>
          </rPr>
          <t>Amy Macrellis:</t>
        </r>
        <r>
          <rPr>
            <sz val="9"/>
            <color indexed="81"/>
            <rFont val="Tahoma"/>
            <family val="2"/>
          </rPr>
          <t xml:space="preserve">
2020 12 07 - entered from Essex_OutletErosionCrediting_20201207_Memo.xlsx</t>
        </r>
      </text>
    </comment>
    <comment ref="J28" authorId="0" shapeId="0" xr:uid="{583EAC65-A682-4463-850F-A15D51739471}">
      <text>
        <r>
          <rPr>
            <b/>
            <sz val="9"/>
            <color indexed="81"/>
            <rFont val="Tahoma"/>
            <family val="2"/>
          </rPr>
          <t>Amy Macrellis:</t>
        </r>
        <r>
          <rPr>
            <sz val="9"/>
            <color indexed="81"/>
            <rFont val="Tahoma"/>
            <family val="2"/>
          </rPr>
          <t xml:space="preserve">
Essex_MunicipalRoad_Calcs_LoadingRates_10302020_4Memo.xlsx - Using the EssexTown tab only for now, this is road segments remaining to be brought to standards, not those already managed. 2020 12 07
</t>
        </r>
      </text>
    </comment>
    <comment ref="L28" authorId="0" shapeId="0" xr:uid="{B0482041-53AB-46F9-9EC0-932E2F5CCCAB}">
      <text>
        <r>
          <rPr>
            <b/>
            <sz val="9"/>
            <color indexed="81"/>
            <rFont val="Tahoma"/>
            <family val="2"/>
          </rPr>
          <t>Amy Macrellis:</t>
        </r>
        <r>
          <rPr>
            <sz val="9"/>
            <color indexed="81"/>
            <rFont val="Tahoma"/>
            <family val="2"/>
          </rPr>
          <t xml:space="preserve">
Values copied from CleanStreetCalcSummary_20201201.xlsx, 2020 12 07</t>
        </r>
      </text>
    </comment>
    <comment ref="M28" authorId="0" shapeId="0" xr:uid="{5C2A9F00-8B66-4CE4-8FAB-3971AF3DC54D}">
      <text>
        <r>
          <rPr>
            <b/>
            <sz val="9"/>
            <color indexed="81"/>
            <rFont val="Tahoma"/>
            <family val="2"/>
          </rPr>
          <t>Amy Macrellis:</t>
        </r>
        <r>
          <rPr>
            <sz val="9"/>
            <color indexed="81"/>
            <rFont val="Tahoma"/>
            <family val="2"/>
          </rPr>
          <t xml:space="preserve">
Values copied from 'additional sweeping P reduction' summary in CleanStreetCalcSummary_20201201.xlsx, 2020 12 07</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Amy Macrellis</author>
  </authors>
  <commentList>
    <comment ref="D6" authorId="0" shapeId="0" xr:uid="{C086B01C-ECF5-45E3-A1CD-35229FA9F865}">
      <text>
        <r>
          <rPr>
            <b/>
            <sz val="9"/>
            <color indexed="81"/>
            <rFont val="Tahoma"/>
            <family val="2"/>
          </rPr>
          <t>Amy Macrellis:</t>
        </r>
        <r>
          <rPr>
            <sz val="9"/>
            <color indexed="81"/>
            <rFont val="Tahoma"/>
            <family val="2"/>
          </rPr>
          <t xml:space="preserve">
2021 03 22
This is hard coded from PCP table 5 
2024 04 14 ANM deleted the previous 14.7 value.</t>
        </r>
      </text>
    </comment>
    <comment ref="D10" authorId="0" shapeId="0" xr:uid="{93869940-CE80-4EA8-8804-ED1709A09570}">
      <text>
        <r>
          <rPr>
            <b/>
            <sz val="9"/>
            <color indexed="81"/>
            <rFont val="Tahoma"/>
            <family val="2"/>
          </rPr>
          <t>Amy Macrellis:</t>
        </r>
        <r>
          <rPr>
            <sz val="9"/>
            <color indexed="81"/>
            <rFont val="Tahoma"/>
            <family val="2"/>
          </rPr>
          <t xml:space="preserve">
2024 03 14 this is hard coded from PCP table 8</t>
        </r>
      </text>
    </comment>
    <comment ref="D11" authorId="0" shapeId="0" xr:uid="{A645B184-749F-4E92-A50D-2076CD852559}">
      <text>
        <r>
          <rPr>
            <b/>
            <sz val="9"/>
            <color indexed="81"/>
            <rFont val="Tahoma"/>
            <family val="2"/>
          </rPr>
          <t>Amy Macrellis:</t>
        </r>
        <r>
          <rPr>
            <sz val="9"/>
            <color indexed="81"/>
            <rFont val="Tahoma"/>
            <family val="2"/>
          </rPr>
          <t xml:space="preserve">
2024 03 14 hard coded from PCP Table 8</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Schelley, Emily</author>
    <author>Ann Costandi</author>
  </authors>
  <commentList>
    <comment ref="A2" authorId="0" shapeId="0" xr:uid="{A578DF90-7111-462D-8FB3-ADE936E49A4A}">
      <text>
        <r>
          <rPr>
            <sz val="9"/>
            <color indexed="81"/>
            <rFont val="Tahoma"/>
            <family val="2"/>
          </rPr>
          <t>An indentifier assigned by the MS4, such as from a FRP or PCP.</t>
        </r>
      </text>
    </comment>
    <comment ref="E27" authorId="1" shapeId="0" xr:uid="{E9E1D089-830F-4066-B903-E1758516601D}">
      <text>
        <r>
          <rPr>
            <b/>
            <sz val="9"/>
            <color indexed="81"/>
            <rFont val="Tahoma"/>
            <family val="2"/>
          </rPr>
          <t>Ann Costandi:</t>
        </r>
        <r>
          <rPr>
            <sz val="9"/>
            <color indexed="81"/>
            <rFont val="Tahoma"/>
            <family val="2"/>
          </rPr>
          <t xml:space="preserve">
Shared stormwater agreement for maintenance and repairs between Town and Property Owner.</t>
        </r>
      </text>
    </comment>
    <comment ref="E28" authorId="1" shapeId="0" xr:uid="{718922C4-E320-4B94-A651-A2CF7249E688}">
      <text>
        <r>
          <rPr>
            <b/>
            <sz val="9"/>
            <color indexed="81"/>
            <rFont val="Tahoma"/>
            <family val="2"/>
          </rPr>
          <t>Ann Costandi:</t>
        </r>
        <r>
          <rPr>
            <sz val="9"/>
            <color indexed="81"/>
            <rFont val="Tahoma"/>
            <family val="2"/>
          </rPr>
          <t xml:space="preserve">
Shared stormwater agreement for maintenance and repairs between the Town and Property Owner.</t>
        </r>
      </text>
    </comment>
    <comment ref="E29" authorId="1" shapeId="0" xr:uid="{6884C05D-D520-42CD-9B7A-5AD90155896B}">
      <text>
        <r>
          <rPr>
            <b/>
            <sz val="9"/>
            <color indexed="81"/>
            <rFont val="Tahoma"/>
            <family val="2"/>
          </rPr>
          <t>Ann Costandi:</t>
        </r>
        <r>
          <rPr>
            <sz val="9"/>
            <color indexed="81"/>
            <rFont val="Tahoma"/>
            <family val="2"/>
          </rPr>
          <t xml:space="preserve">
Shared stormwater agreement for maintenance and repair between the Town and Property Owner</t>
        </r>
      </text>
    </comment>
    <comment ref="E30" authorId="1" shapeId="0" xr:uid="{1A563267-3CAE-4F47-B764-E904372E03F8}">
      <text>
        <r>
          <rPr>
            <b/>
            <sz val="9"/>
            <color indexed="81"/>
            <rFont val="Tahoma"/>
            <family val="2"/>
          </rPr>
          <t>Ann Costandi:</t>
        </r>
        <r>
          <rPr>
            <sz val="9"/>
            <color indexed="81"/>
            <rFont val="Tahoma"/>
            <family val="2"/>
          </rPr>
          <t xml:space="preserve">
Shared stormwater agreement for maintenance and repairs between the Town and Property Owner</t>
        </r>
      </text>
    </comment>
    <comment ref="E31" authorId="1" shapeId="0" xr:uid="{D7982772-2E87-4417-82CC-6D117A2D031D}">
      <text>
        <r>
          <rPr>
            <b/>
            <sz val="9"/>
            <color indexed="81"/>
            <rFont val="Tahoma"/>
            <family val="2"/>
          </rPr>
          <t>Ann Costandi:</t>
        </r>
        <r>
          <rPr>
            <sz val="9"/>
            <color indexed="81"/>
            <rFont val="Tahoma"/>
            <family val="2"/>
          </rPr>
          <t xml:space="preserve">
Shared stormwater agreement for maintenance and repairs between the Town and Property Owner</t>
        </r>
      </text>
    </comment>
    <comment ref="E35" authorId="1" shapeId="0" xr:uid="{7FB7F9F9-4009-484B-9B78-8752A6042DA2}">
      <text>
        <r>
          <rPr>
            <b/>
            <sz val="9"/>
            <color indexed="81"/>
            <rFont val="Tahoma"/>
            <family val="2"/>
          </rPr>
          <t>Ann Costandi:</t>
        </r>
        <r>
          <rPr>
            <sz val="9"/>
            <color indexed="81"/>
            <rFont val="Tahoma"/>
            <family val="2"/>
          </rPr>
          <t xml:space="preserve">
Shared stormwater agreement for maintenance and repairs between the Town and Property Owner</t>
        </r>
      </text>
    </comment>
    <comment ref="E36" authorId="1" shapeId="0" xr:uid="{81A29024-242C-452B-B49E-9DF99E78F412}">
      <text>
        <r>
          <rPr>
            <b/>
            <sz val="9"/>
            <color indexed="81"/>
            <rFont val="Tahoma"/>
            <family val="2"/>
          </rPr>
          <t>Ann Costandi:</t>
        </r>
        <r>
          <rPr>
            <sz val="9"/>
            <color indexed="81"/>
            <rFont val="Tahoma"/>
            <family val="2"/>
          </rPr>
          <t xml:space="preserve">
Shared stormwater agreement for maintenance and repairs between the Town and Property Owner</t>
        </r>
      </text>
    </comment>
    <comment ref="E37" authorId="1" shapeId="0" xr:uid="{A86440C1-6D40-4488-A8B8-2AF24E8EAB84}">
      <text>
        <r>
          <rPr>
            <b/>
            <sz val="9"/>
            <color indexed="81"/>
            <rFont val="Tahoma"/>
            <family val="2"/>
          </rPr>
          <t>Ann Costandi:</t>
        </r>
        <r>
          <rPr>
            <sz val="9"/>
            <color indexed="81"/>
            <rFont val="Tahoma"/>
            <family val="2"/>
          </rPr>
          <t xml:space="preserve">
Shared stormwater agreement for maintenance and repairs between the Town and Property Owner</t>
        </r>
      </text>
    </comment>
    <comment ref="E38" authorId="1" shapeId="0" xr:uid="{623E24EF-0D92-4501-983D-A89C7FD57B28}">
      <text>
        <r>
          <rPr>
            <b/>
            <sz val="9"/>
            <color indexed="81"/>
            <rFont val="Tahoma"/>
            <family val="2"/>
          </rPr>
          <t>Ann Costandi:</t>
        </r>
        <r>
          <rPr>
            <sz val="9"/>
            <color indexed="81"/>
            <rFont val="Tahoma"/>
            <family val="2"/>
          </rPr>
          <t xml:space="preserve">
Shared stormwater agreement for maintenance and repairs between the Town and Property Owner</t>
        </r>
      </text>
    </comment>
    <comment ref="E45" authorId="1" shapeId="0" xr:uid="{A2C862C4-3F23-437A-AE12-B54A545D189F}">
      <text>
        <r>
          <rPr>
            <b/>
            <sz val="9"/>
            <color indexed="81"/>
            <rFont val="Tahoma"/>
            <family val="2"/>
          </rPr>
          <t>Ann Costandi:</t>
        </r>
        <r>
          <rPr>
            <sz val="9"/>
            <color indexed="81"/>
            <rFont val="Tahoma"/>
            <family val="2"/>
          </rPr>
          <t xml:space="preserve">
Shared stormwater agreement for maintenance and repairs between Town and Property Owner</t>
        </r>
      </text>
    </comment>
    <comment ref="E46" authorId="1" shapeId="0" xr:uid="{E06E7E57-7EA4-4571-8D06-601B59373FEB}">
      <text>
        <r>
          <rPr>
            <b/>
            <sz val="9"/>
            <color indexed="81"/>
            <rFont val="Tahoma"/>
            <family val="2"/>
          </rPr>
          <t>Ann Costandi:</t>
        </r>
        <r>
          <rPr>
            <sz val="9"/>
            <color indexed="81"/>
            <rFont val="Tahoma"/>
            <family val="2"/>
          </rPr>
          <t xml:space="preserve">
Shared stormwater agreement for maintenance and repairs between the Town and Property Owner</t>
        </r>
      </text>
    </comment>
    <comment ref="E47" authorId="1" shapeId="0" xr:uid="{DB41CE1E-F8C4-4A1A-82CD-8C2C8932152D}">
      <text>
        <r>
          <rPr>
            <b/>
            <sz val="9"/>
            <color indexed="81"/>
            <rFont val="Tahoma"/>
            <family val="2"/>
          </rPr>
          <t>Ann Costandi:</t>
        </r>
        <r>
          <rPr>
            <sz val="9"/>
            <color indexed="81"/>
            <rFont val="Tahoma"/>
            <family val="2"/>
          </rPr>
          <t xml:space="preserve">
Shared stormwater agreement for maintenance and repairs between the Town and Property Owner</t>
        </r>
      </text>
    </comment>
    <comment ref="E48" authorId="1" shapeId="0" xr:uid="{C7C2CDB9-252D-4EDA-AD3D-EEF7819D3753}">
      <text>
        <r>
          <rPr>
            <b/>
            <sz val="9"/>
            <color indexed="81"/>
            <rFont val="Tahoma"/>
            <family val="2"/>
          </rPr>
          <t>Ann Costandi:</t>
        </r>
        <r>
          <rPr>
            <sz val="9"/>
            <color indexed="81"/>
            <rFont val="Tahoma"/>
            <family val="2"/>
          </rPr>
          <t xml:space="preserve">
Shared stormwater agreement for maintenance and repairs between the Town and Property Owner</t>
        </r>
      </text>
    </comment>
    <comment ref="E49" authorId="1" shapeId="0" xr:uid="{893E4466-DC9A-4360-84B0-9EF84BE45D68}">
      <text>
        <r>
          <rPr>
            <b/>
            <sz val="9"/>
            <color indexed="81"/>
            <rFont val="Tahoma"/>
            <family val="2"/>
          </rPr>
          <t>Ann Costandi:</t>
        </r>
        <r>
          <rPr>
            <sz val="9"/>
            <color indexed="81"/>
            <rFont val="Tahoma"/>
            <family val="2"/>
          </rPr>
          <t xml:space="preserve">
Shared stormwater agreement for maintenance and repairs between the Town and Property Owner</t>
        </r>
      </text>
    </comment>
    <comment ref="E51" authorId="1" shapeId="0" xr:uid="{B5121EE0-757F-49FD-9556-9351376FED94}">
      <text>
        <r>
          <rPr>
            <b/>
            <sz val="9"/>
            <color indexed="81"/>
            <rFont val="Tahoma"/>
            <family val="2"/>
          </rPr>
          <t>Ann Costandi:</t>
        </r>
        <r>
          <rPr>
            <sz val="9"/>
            <color indexed="81"/>
            <rFont val="Tahoma"/>
            <family val="2"/>
          </rPr>
          <t xml:space="preserve">
Shared stormwater agreement for maintenance and repairs between the Town and Property Owner</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Amy Macrellis</author>
  </authors>
  <commentList>
    <comment ref="A46" authorId="0" shapeId="0" xr:uid="{FBB40D1E-DD3C-449B-839B-4E71A314E078}">
      <text>
        <r>
          <rPr>
            <b/>
            <sz val="9"/>
            <color indexed="81"/>
            <rFont val="Tahoma"/>
            <family val="2"/>
          </rPr>
          <t>Amy Macrellis:</t>
        </r>
        <r>
          <rPr>
            <sz val="9"/>
            <color indexed="81"/>
            <rFont val="Tahoma"/>
            <family val="2"/>
          </rPr>
          <t xml:space="preserve">
2021 03 16 applied same performance curve is dry ED pond to account for the limited/pre-treatment P reducition benefit of detention-only practices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<sst xmlns="http://schemas.openxmlformats.org/spreadsheetml/2006/main" count="4428" uniqueCount="952">
  <si>
    <t>Project Name</t>
  </si>
  <si>
    <t>Responsible party (i.e., MS4/TS4)</t>
  </si>
  <si>
    <t>BMP type</t>
  </si>
  <si>
    <t>BMP status (planned, constructed)</t>
  </si>
  <si>
    <t>Unique ID</t>
  </si>
  <si>
    <t>Applicable FRP/PCP</t>
  </si>
  <si>
    <t>Burlington Int'l Airport MS4</t>
  </si>
  <si>
    <t>Burlington MS4</t>
  </si>
  <si>
    <t>Colchester MS4</t>
  </si>
  <si>
    <t>Essex Town MS4</t>
  </si>
  <si>
    <t>Essex Junction MS4</t>
  </si>
  <si>
    <t>Rutland Town MS4</t>
  </si>
  <si>
    <t>Shelburne MS4</t>
  </si>
  <si>
    <t>South Burlington MS4</t>
  </si>
  <si>
    <t>BTV</t>
  </si>
  <si>
    <t>BUR</t>
  </si>
  <si>
    <t>COL</t>
  </si>
  <si>
    <t>RUT</t>
  </si>
  <si>
    <t>SHE</t>
  </si>
  <si>
    <t>EST</t>
  </si>
  <si>
    <t>ESJ</t>
  </si>
  <si>
    <t>SBU</t>
  </si>
  <si>
    <t>St. Albans City MS4</t>
  </si>
  <si>
    <t>St. Albans Town MS4</t>
  </si>
  <si>
    <t>University of Vermont MS4</t>
  </si>
  <si>
    <t>Williston MS4</t>
  </si>
  <si>
    <t>Winooski MS4</t>
  </si>
  <si>
    <t>SAC</t>
  </si>
  <si>
    <t>SAT</t>
  </si>
  <si>
    <t>UVM</t>
  </si>
  <si>
    <t>WIL</t>
  </si>
  <si>
    <t>WIN</t>
  </si>
  <si>
    <t>VTR</t>
  </si>
  <si>
    <t>Centennial Brook</t>
  </si>
  <si>
    <t>Potash Brook</t>
  </si>
  <si>
    <t>Morehouse Brook</t>
  </si>
  <si>
    <t>Sunderland Brook</t>
  </si>
  <si>
    <t>Indian Brook</t>
  </si>
  <si>
    <t>Moon Brook</t>
  </si>
  <si>
    <t>Bartlett Brook</t>
  </si>
  <si>
    <t>Munroe Brook</t>
  </si>
  <si>
    <t>Englesby Brook</t>
  </si>
  <si>
    <t>Rugg Brook</t>
  </si>
  <si>
    <t>Stevens Brook</t>
  </si>
  <si>
    <t>Allen Brook</t>
  </si>
  <si>
    <t>Bioretention</t>
  </si>
  <si>
    <t>Gravel Wetland</t>
  </si>
  <si>
    <t>Infiltration Trench</t>
  </si>
  <si>
    <t>Wet pond/ Created Wetland</t>
  </si>
  <si>
    <t>Planned</t>
  </si>
  <si>
    <t>Infiltration rate (in/hr)</t>
  </si>
  <si>
    <t xml:space="preserve">Responsible Party </t>
  </si>
  <si>
    <t>Land Owner</t>
  </si>
  <si>
    <t>Applicable FRP</t>
  </si>
  <si>
    <t>Date of last inspection</t>
  </si>
  <si>
    <t>STP in Manual</t>
  </si>
  <si>
    <t>Variations in manual</t>
  </si>
  <si>
    <t>LC BATT- Performance Curve</t>
  </si>
  <si>
    <t>Storage volume required</t>
  </si>
  <si>
    <t>Infiltration Rate required</t>
  </si>
  <si>
    <t>Other info needed</t>
  </si>
  <si>
    <t>Notes</t>
  </si>
  <si>
    <t>No</t>
  </si>
  <si>
    <t>N/A</t>
  </si>
  <si>
    <t>Infiltrating</t>
  </si>
  <si>
    <t>Surface Infiltration</t>
  </si>
  <si>
    <t>Yes</t>
  </si>
  <si>
    <t xml:space="preserve">DSV = Ponding water storage volume and void space volumes of soil filter media. Example:  DSV = (Apond x Dpond) + (Asoil x Dsoil x nsoil mix) </t>
  </si>
  <si>
    <t>Underdrained</t>
  </si>
  <si>
    <t>Bio-filtration</t>
  </si>
  <si>
    <t xml:space="preserve">DSV = Ponding water storage volume and void space volume of soil filter media.  DSV =  (Abed x Dponding)+ (Abed x Dsoil x nsoil)  </t>
  </si>
  <si>
    <t>Infiltration</t>
  </si>
  <si>
    <t>Basin</t>
  </si>
  <si>
    <r>
      <t>DSV = Water volume of storage structure before bypass. Example for linear trapazoidal vegetated swale.  DSV = (L x ((W</t>
    </r>
    <r>
      <rPr>
        <sz val="8"/>
        <color theme="1"/>
        <rFont val="Calibri"/>
        <family val="2"/>
        <scheme val="minor"/>
      </rPr>
      <t>bottom</t>
    </r>
    <r>
      <rPr>
        <sz val="11"/>
        <color theme="1"/>
        <rFont val="Calibri"/>
        <family val="2"/>
        <scheme val="minor"/>
      </rPr>
      <t>+W</t>
    </r>
    <r>
      <rPr>
        <sz val="8"/>
        <color theme="1"/>
        <rFont val="Calibri"/>
        <family val="2"/>
        <scheme val="minor"/>
      </rPr>
      <t>top@Dmax</t>
    </r>
    <r>
      <rPr>
        <sz val="11"/>
        <color theme="1"/>
        <rFont val="Calibri"/>
        <family val="2"/>
        <scheme val="minor"/>
      </rPr>
      <t xml:space="preserve"> )/2) x D)</t>
    </r>
  </si>
  <si>
    <t>Trench</t>
  </si>
  <si>
    <r>
      <t>DSV = void space volumes of stone and sand layers. DSV = (A</t>
    </r>
    <r>
      <rPr>
        <sz val="8"/>
        <color theme="1"/>
        <rFont val="Calibri"/>
        <family val="2"/>
        <scheme val="minor"/>
      </rPr>
      <t>trench</t>
    </r>
    <r>
      <rPr>
        <sz val="11"/>
        <color theme="1"/>
        <rFont val="Calibri"/>
        <family val="2"/>
        <scheme val="minor"/>
      </rPr>
      <t xml:space="preserve"> x D</t>
    </r>
    <r>
      <rPr>
        <sz val="8"/>
        <color theme="1"/>
        <rFont val="Calibri"/>
        <family val="2"/>
        <scheme val="minor"/>
      </rPr>
      <t>stone</t>
    </r>
    <r>
      <rPr>
        <sz val="11"/>
        <color theme="1"/>
        <rFont val="Calibri"/>
        <family val="2"/>
        <scheme val="minor"/>
      </rPr>
      <t xml:space="preserve"> x n</t>
    </r>
    <r>
      <rPr>
        <sz val="9"/>
        <color theme="1"/>
        <rFont val="Calibri"/>
        <family val="2"/>
        <scheme val="minor"/>
      </rPr>
      <t>stone</t>
    </r>
    <r>
      <rPr>
        <sz val="11"/>
        <color theme="1"/>
        <rFont val="Calibri"/>
        <family val="2"/>
        <scheme val="minor"/>
      </rPr>
      <t xml:space="preserve"> )+ (A</t>
    </r>
    <r>
      <rPr>
        <sz val="9"/>
        <color theme="1"/>
        <rFont val="Calibri"/>
        <family val="2"/>
        <scheme val="minor"/>
      </rPr>
      <t>trench</t>
    </r>
    <r>
      <rPr>
        <sz val="11"/>
        <color theme="1"/>
        <rFont val="Calibri"/>
        <family val="2"/>
        <scheme val="minor"/>
      </rPr>
      <t xml:space="preserve"> x D</t>
    </r>
    <r>
      <rPr>
        <sz val="9"/>
        <color theme="1"/>
        <rFont val="Calibri"/>
        <family val="2"/>
        <scheme val="minor"/>
      </rPr>
      <t>sand</t>
    </r>
    <r>
      <rPr>
        <sz val="11"/>
        <color theme="1"/>
        <rFont val="Calibri"/>
        <family val="2"/>
        <scheme val="minor"/>
      </rPr>
      <t xml:space="preserve"> x n</t>
    </r>
    <r>
      <rPr>
        <sz val="9"/>
        <color theme="1"/>
        <rFont val="Calibri"/>
        <family val="2"/>
        <scheme val="minor"/>
      </rPr>
      <t>sand</t>
    </r>
    <r>
      <rPr>
        <sz val="11"/>
        <color theme="1"/>
        <rFont val="Calibri"/>
        <family val="2"/>
        <scheme val="minor"/>
      </rPr>
      <t>)</t>
    </r>
  </si>
  <si>
    <t xml:space="preserve">Subsurface </t>
  </si>
  <si>
    <t>Dry Swale</t>
  </si>
  <si>
    <t>DSV = Water volume of storage structure before bypass. Example for linear trapazoidal vegetated swale.  DSV = (L x ((Wbottom+Wtop@Dmax )/2) x D)</t>
  </si>
  <si>
    <t>Filters</t>
  </si>
  <si>
    <t>Sand Filter</t>
  </si>
  <si>
    <r>
      <t>DSV = Ponding water storage volume and void space volume of soil filter media. DSV =  (Abed x Dponding)+ (A</t>
    </r>
    <r>
      <rPr>
        <sz val="8"/>
        <color theme="1"/>
        <rFont val="Calibri"/>
        <family val="2"/>
        <scheme val="minor"/>
      </rPr>
      <t>bed</t>
    </r>
    <r>
      <rPr>
        <sz val="11"/>
        <color theme="1"/>
        <rFont val="Calibri"/>
        <family val="2"/>
        <scheme val="minor"/>
      </rPr>
      <t xml:space="preserve"> x D</t>
    </r>
    <r>
      <rPr>
        <sz val="8"/>
        <color theme="1"/>
        <rFont val="Calibri"/>
        <family val="2"/>
        <scheme val="minor"/>
      </rPr>
      <t>soi</t>
    </r>
    <r>
      <rPr>
        <sz val="11"/>
        <color theme="1"/>
        <rFont val="Calibri"/>
        <family val="2"/>
        <scheme val="minor"/>
      </rPr>
      <t>l x n</t>
    </r>
    <r>
      <rPr>
        <sz val="8"/>
        <color theme="1"/>
        <rFont val="Calibri"/>
        <family val="2"/>
        <scheme val="minor"/>
      </rPr>
      <t>soil</t>
    </r>
    <r>
      <rPr>
        <sz val="11"/>
        <color theme="1"/>
        <rFont val="Calibri"/>
        <family val="2"/>
        <scheme val="minor"/>
      </rPr>
      <t xml:space="preserve">)  </t>
    </r>
  </si>
  <si>
    <t>Wet Pond</t>
  </si>
  <si>
    <t>NA</t>
  </si>
  <si>
    <t>For storage volume use WQV calculated for pond. If no ED is used, WQV = Perm pool volume</t>
  </si>
  <si>
    <t>Treatment Wetland</t>
  </si>
  <si>
    <t>Shallow Surface Wetland</t>
  </si>
  <si>
    <t xml:space="preserve">DSV = pretreatment volume + ponding volume + void space volume of gravel ISR.                                                   DSV = (A pretreatment x DpreTreatment)+ (A wetland x Dponding)+ (AISR x Dgravel  x ngravel)  Pretreatment </t>
  </si>
  <si>
    <t>also asks for pretreatment volume</t>
  </si>
  <si>
    <t>Permeable Pavement</t>
  </si>
  <si>
    <t>Subsurface infiltration</t>
  </si>
  <si>
    <t>Lined with underdrain</t>
  </si>
  <si>
    <t>Porous Pavement</t>
  </si>
  <si>
    <t>Depth of Filter course (Inches)</t>
  </si>
  <si>
    <t xml:space="preserve">Depth of filter course </t>
  </si>
  <si>
    <t>Definitions</t>
  </si>
  <si>
    <t>Practice that treats runoff  by passing it through a vegetated filter bed, with a filter mixture of sand, soil, and organic matter. Filtered stormwater is either returned to a conveyance system or infiltrated into the native soil.</t>
  </si>
  <si>
    <t>Practices that capture and store stormwater runoff, for the express purpose of allowing it to infiltrate into the soil</t>
  </si>
  <si>
    <t>A soil filter system that temporarily stores and then filters a desired runoff volume for treatment. It is configured as a linear channel, and covered with turf or surface material other than mulch and ornamental plants.</t>
  </si>
  <si>
    <t>Filtering systems capture and temporarily store runoff and pass it through a filter bed of sand or augmented media. Filtered runoff may be collected  (via underdrain), or allowed to exfiltrate into the soil.</t>
  </si>
  <si>
    <t>DSV= Pemanant pool volume prior to high flow bypass   DSV=Apond x Dpond   (does not include pretreatment volume)</t>
  </si>
  <si>
    <t>A practice consisting of a permanent pool of standing water that promotes a stable environment for gravitational settling, biological uptake, and microbial activity.</t>
  </si>
  <si>
    <t>Treatment systems that maximize pollutant removal and the uptake of nutrients through wetland vegetation, retention, and settling.  Gravel wetlands store water within the void spaces of gravel. Shallow surface wetlands use organic wetland soils and have a permanent pool of water that supports  wetland plants.</t>
  </si>
  <si>
    <t xml:space="preserve">Hardscape surfaces with an underlying reservoir course that captures and temporarily stores it before infiltrating into the underlying soil or conveying it elsewhere.  </t>
  </si>
  <si>
    <t>DSV= Design Storage Volume = physical storage capacity to hold water</t>
  </si>
  <si>
    <t>VSV=Void Space Volume</t>
  </si>
  <si>
    <t>L= length, W= width, D= depth at design capacity before bypass, n=porosity fill material, A= average surface area for calculating volume</t>
  </si>
  <si>
    <t>Infiltration rate = saturated soil hydraulic conductivity</t>
  </si>
  <si>
    <t>Footnotes:</t>
  </si>
  <si>
    <t>Maintence needed?</t>
  </si>
  <si>
    <t>Under Construction</t>
  </si>
  <si>
    <t>Complete</t>
  </si>
  <si>
    <t>Design, Construction and Maintence</t>
  </si>
  <si>
    <t>(this tab can be hidden when you send it out to the public)</t>
  </si>
  <si>
    <t>BMP Tracking Specifications</t>
  </si>
  <si>
    <t xml:space="preserve">BMP Identification </t>
  </si>
  <si>
    <t>ü</t>
  </si>
  <si>
    <t>Existing SW permit number (if applicable)</t>
  </si>
  <si>
    <t>Is this an upgrade to an existing BMP?</t>
  </si>
  <si>
    <t>n/a</t>
  </si>
  <si>
    <t>VTrans TS4</t>
  </si>
  <si>
    <t>LC TMDL Drainage Area</t>
  </si>
  <si>
    <t>LC TMDL Lake Segment</t>
  </si>
  <si>
    <t>Lake Segment</t>
  </si>
  <si>
    <t>Drainage Area</t>
  </si>
  <si>
    <t>South Lake B</t>
  </si>
  <si>
    <t>South Lake A</t>
  </si>
  <si>
    <t>Port Henry</t>
  </si>
  <si>
    <t>Otter Creek</t>
  </si>
  <si>
    <t>Main Lake</t>
  </si>
  <si>
    <t>Shelburne Bay</t>
  </si>
  <si>
    <t>Burlington Bay</t>
  </si>
  <si>
    <t>Malletts Bay</t>
  </si>
  <si>
    <t>Northeast Arm</t>
  </si>
  <si>
    <t>St. Albans Bay</t>
  </si>
  <si>
    <t>Missisquoi Bay</t>
  </si>
  <si>
    <t>Isle La Motte</t>
  </si>
  <si>
    <t>Mettawee River</t>
  </si>
  <si>
    <t>Poultney River</t>
  </si>
  <si>
    <t>South Lake B Direct Drainage</t>
  </si>
  <si>
    <t>South Lake A Direct Drainage</t>
  </si>
  <si>
    <t>Port Henry Direct Drainage</t>
  </si>
  <si>
    <t>Lewis Creek</t>
  </si>
  <si>
    <t>Little Otter Creek</t>
  </si>
  <si>
    <t>Otter Creek Direct Drainage</t>
  </si>
  <si>
    <t>Main Lake Direct Drainage</t>
  </si>
  <si>
    <t>Winooski River</t>
  </si>
  <si>
    <t>Laplatte River</t>
  </si>
  <si>
    <t>Burlington Bay Direct Drainage</t>
  </si>
  <si>
    <t>Lamoille River</t>
  </si>
  <si>
    <t>Malletts Bay Direct Drainage</t>
  </si>
  <si>
    <t>Northeast Arm Direct Drainage</t>
  </si>
  <si>
    <t>St. Albans Bay Direct Drainage</t>
  </si>
  <si>
    <t>Mississquoi Bay Direct Drainage</t>
  </si>
  <si>
    <t>Mississquoi River</t>
  </si>
  <si>
    <t>Isle La Motte Direct Drainage</t>
  </si>
  <si>
    <t>Burlington Bay - CSO</t>
  </si>
  <si>
    <t>Latitude (decimal degrees)</t>
  </si>
  <si>
    <t>Longitude (decimal degrees)</t>
  </si>
  <si>
    <t>BMP type prior to upgrade</t>
  </si>
  <si>
    <t>Sand filter (infiltrating)</t>
  </si>
  <si>
    <t>Bioretention (infiltrating)</t>
  </si>
  <si>
    <t>Bioretention (w/ underdrain)</t>
  </si>
  <si>
    <t>Sand filter (w/ underdrain)</t>
  </si>
  <si>
    <t>Infiltration Chambers</t>
  </si>
  <si>
    <t>Dry Swale (w/ underdrain)</t>
  </si>
  <si>
    <t>Dry Swale (infiltrating)</t>
  </si>
  <si>
    <t>Infiltration Rate Required</t>
  </si>
  <si>
    <t>no</t>
  </si>
  <si>
    <t>yes</t>
  </si>
  <si>
    <t>Watershed Projects Database ID (if known)</t>
  </si>
  <si>
    <t xml:space="preserve">Unique ID </t>
  </si>
  <si>
    <t>Infiltration rate prior to upgrade (in/hr)</t>
  </si>
  <si>
    <t>Year Planned Construction</t>
  </si>
  <si>
    <t>Part of MS4/ Incorporated into MS4</t>
  </si>
  <si>
    <t>Date Constructed</t>
  </si>
  <si>
    <t xml:space="preserve">BMP Status </t>
  </si>
  <si>
    <t xml:space="preserve">BMP Specifications Prior to Upgrade </t>
  </si>
  <si>
    <t>Preliminary Design (&lt;100%)</t>
  </si>
  <si>
    <t>Final Design (100%)</t>
  </si>
  <si>
    <t>Design Storage Volume (DSV)</t>
  </si>
  <si>
    <t>Impervious area  (acres)</t>
  </si>
  <si>
    <t>Eligible for Phosphorus Credit?</t>
  </si>
  <si>
    <t>Pervious HSG A</t>
  </si>
  <si>
    <t>Pervious HSG B</t>
  </si>
  <si>
    <t>Pervious HSG C</t>
  </si>
  <si>
    <t xml:space="preserve">Pervious HSG D </t>
  </si>
  <si>
    <t>Unpaved Roads</t>
  </si>
  <si>
    <t>Paved Roads</t>
  </si>
  <si>
    <t>Non-Road Impervious</t>
  </si>
  <si>
    <t>Developed Impervious</t>
  </si>
  <si>
    <t>Developed Pervious</t>
  </si>
  <si>
    <t>Forest</t>
  </si>
  <si>
    <t>HSG A</t>
  </si>
  <si>
    <t>HSG B</t>
  </si>
  <si>
    <t>HSG C</t>
  </si>
  <si>
    <t>HSG D</t>
  </si>
  <si>
    <t>Weighted Average</t>
  </si>
  <si>
    <t>Missisquoi River</t>
  </si>
  <si>
    <t>Basin-wide</t>
  </si>
  <si>
    <t>*The basin wide average of the HSG soil type was used here, as these loads were not included in the TMDL modeling.</t>
  </si>
  <si>
    <r>
      <t> </t>
    </r>
    <r>
      <rPr>
        <sz val="10"/>
        <color theme="1"/>
        <rFont val="Calibri"/>
        <family val="2"/>
        <scheme val="minor"/>
      </rPr>
      <t>What should be our suggestion for the blanks on this table?</t>
    </r>
  </si>
  <si>
    <r>
      <t> </t>
    </r>
    <r>
      <rPr>
        <sz val="10"/>
        <color theme="1"/>
        <rFont val="Calibri"/>
        <family val="2"/>
        <scheme val="minor"/>
      </rPr>
      <t>If a value is listed as N/A use the basin wide average of that soil group. We can add these numbers in and then add an asterisk and a footnote.</t>
    </r>
  </si>
  <si>
    <r>
      <t>0.412</t>
    </r>
    <r>
      <rPr>
        <sz val="8"/>
        <rFont val="Calibri"/>
        <family val="2"/>
        <scheme val="minor"/>
      </rPr>
      <t>  </t>
    </r>
  </si>
  <si>
    <t>Infiltration Rate</t>
  </si>
  <si>
    <t>8.27 in/hr</t>
  </si>
  <si>
    <t>2.41 in/hr</t>
  </si>
  <si>
    <t>1.02 in/hr</t>
  </si>
  <si>
    <t>0.52 in/hr</t>
  </si>
  <si>
    <t>0.27 in /hr</t>
  </si>
  <si>
    <t>0.17 in/hr</t>
  </si>
  <si>
    <t>Practice Type</t>
  </si>
  <si>
    <t>Infiltration Basin</t>
  </si>
  <si>
    <t>Upper Efficiency - Lower Efficiency</t>
  </si>
  <si>
    <t>Percent of Storage Depth Step</t>
  </si>
  <si>
    <t>Extended Dry Detention Pond</t>
  </si>
  <si>
    <t xml:space="preserve">BMP Type </t>
  </si>
  <si>
    <t>Pervious Entry Method</t>
  </si>
  <si>
    <t>Pervious Entry Type</t>
  </si>
  <si>
    <t>Total Pervious</t>
  </si>
  <si>
    <t>By HSG</t>
  </si>
  <si>
    <t>Total Pervious area (acres) </t>
  </si>
  <si>
    <t>Missisquoi Bay Direct Drainage</t>
  </si>
  <si>
    <t>Yes (include previoius drainage area info)</t>
  </si>
  <si>
    <t xml:space="preserve"> HSG A </t>
  </si>
  <si>
    <t xml:space="preserve"> HSG B</t>
  </si>
  <si>
    <t>Total Pervious Area</t>
  </si>
  <si>
    <t>Upper Efficiency - Lower Efficiency4</t>
  </si>
  <si>
    <t>Percent of Storage Depth Step5</t>
  </si>
  <si>
    <t>Pervious Entry Method 2</t>
  </si>
  <si>
    <t>Does the upgrade changed the drainage area?</t>
  </si>
  <si>
    <t>Prior Impervious area (acres)</t>
  </si>
  <si>
    <t>Grass Channel</t>
  </si>
  <si>
    <t>Previous SW permit number (if applicable)</t>
  </si>
  <si>
    <t>Maintenace</t>
  </si>
  <si>
    <t>Cost Estimate (optional)</t>
  </si>
  <si>
    <t>BMP Tracking Table Instructions</t>
  </si>
  <si>
    <r>
      <t>·</t>
    </r>
    <r>
      <rPr>
        <sz val="7"/>
        <color theme="1"/>
        <rFont val="Times New Roman"/>
        <family val="1"/>
      </rPr>
      <t xml:space="preserve">         </t>
    </r>
    <r>
      <rPr>
        <sz val="11"/>
        <color theme="1"/>
        <rFont val="Calibri"/>
        <family val="2"/>
        <scheme val="minor"/>
      </rPr>
      <t>BMP P Tracking Table – used to track practice maintenance, construction, and phosphorus accounting of practices included in a phosphorus control plan (PCP) or flow restoration plan (FRP).</t>
    </r>
  </si>
  <si>
    <r>
      <t>·</t>
    </r>
    <r>
      <rPr>
        <sz val="7"/>
        <color theme="1"/>
        <rFont val="Times New Roman"/>
        <family val="1"/>
      </rPr>
      <t xml:space="preserve">         </t>
    </r>
    <r>
      <rPr>
        <sz val="11"/>
        <color theme="1"/>
        <rFont val="Calibri"/>
        <family val="2"/>
        <scheme val="minor"/>
      </rPr>
      <t>Maintenance – used to track maintenance of practices that are not included in a phosphorus control plan or flow restoration plan, but the MS4 has taken full legal responsibility for.</t>
    </r>
  </si>
  <si>
    <t>Some cells have a dropdown that appear when the cell is selected.  Please select one of the values from the list, rather than typing in a value manually.  If a value is input that doesn’t match one of the expected values, formulas in the workbook may break.</t>
  </si>
  <si>
    <t>Storage Volumes</t>
  </si>
  <si>
    <t>The storage volume is the maximum amount of water that a practice can hold at one time. The storage volume that should be used for credit calculations is typically the volume of water can hold during storms up to the 1-year return storm. Some practices are designed to provide attenuation and safe passage of larger storms, such as the 10- or 100-year return storm; however, this additional volume typically does not stay in the practice long enough to receive much treatment and shouldn’t be included in credit calculations.</t>
  </si>
  <si>
    <t>Storage Volume for Ponds and Wetlands</t>
  </si>
  <si>
    <t>For wet ponds and gravel wetlands, there is typically a large outlet at or near the top of the outlet riser that allows larger storms to exit the practice quickly.  Storage above that level is considered flood storage and should be excluded from credit calculations.</t>
  </si>
  <si>
    <t>Modeling documentation for the practice should include a stage vs. storage table that can be used to determine the appropriate volume for credit calculations.</t>
  </si>
  <si>
    <t xml:space="preserve">Many ponds built prior to the adoption of the 2002 Vermont Stormwater Management Manual were designed for peak flow attenuation and have neither a permanent pool nor extended detention. Ponds lacking these features are not assigned a phosphorus credit as they do not provide significant treatment. </t>
  </si>
  <si>
    <t>Storage Volume for Grass Channels</t>
  </si>
  <si>
    <t>Grass channels were a popular treatment practice under the 2002 Vermont Stormwater Management Manual (VSMM). Grass channels were typically sized to provide treatment for the water quality storm, which was the 0.9” storm under the 2002 VSMM. Grass channel typically have volume to convey large storms but credit calculations should be based on the peak volume of water in the swale during the water quality storm.</t>
  </si>
  <si>
    <t>emily.schelley@vermont.gov</t>
  </si>
  <si>
    <t>Storage Volume of Filters and Bioretention Practices</t>
  </si>
  <si>
    <t>The workbook is designed to track stormwater practices that are owned or controlled by an MS4.  There are two tabs:</t>
  </si>
  <si>
    <t>Drainage Area Prior to Upgrade</t>
  </si>
  <si>
    <t>Manual P Reduction (kg/yr)</t>
  </si>
  <si>
    <t>Phosphorus Calculations</t>
  </si>
  <si>
    <t>% Credit to MS4</t>
  </si>
  <si>
    <t xml:space="preserve">When calculating the storage of a filter media, the porosity (n) of 0.33 should be used. The same rule about excluding flood storage in storage calculations as for ponds and wetlands applies to these practices.  </t>
  </si>
  <si>
    <t>What can be included for phosphorus credit?</t>
  </si>
  <si>
    <r>
      <rPr>
        <sz val="12"/>
        <rFont val="Calibri"/>
        <family val="2"/>
      </rPr>
      <t xml:space="preserve">•    </t>
    </r>
    <r>
      <rPr>
        <sz val="12"/>
        <rFont val="Calibri"/>
        <family val="2"/>
        <scheme val="minor"/>
      </rPr>
      <t>Increase in treatment built during or after 2002 on existing impervious</t>
    </r>
  </si>
  <si>
    <t>Basin Information</t>
  </si>
  <si>
    <r>
      <t>Storage volume (ft</t>
    </r>
    <r>
      <rPr>
        <b/>
        <vertAlign val="superscript"/>
        <sz val="11"/>
        <color theme="1"/>
        <rFont val="Calibri"/>
        <family val="2"/>
        <scheme val="minor"/>
      </rPr>
      <t>3</t>
    </r>
    <r>
      <rPr>
        <b/>
        <sz val="11"/>
        <color theme="1"/>
        <rFont val="Calibri"/>
        <family val="2"/>
        <scheme val="minor"/>
      </rPr>
      <t>)</t>
    </r>
  </si>
  <si>
    <r>
      <t>Previous storage volume (ft</t>
    </r>
    <r>
      <rPr>
        <b/>
        <vertAlign val="superscript"/>
        <sz val="11"/>
        <color theme="1"/>
        <rFont val="Calibri"/>
        <family val="2"/>
        <scheme val="minor"/>
      </rPr>
      <t>3</t>
    </r>
    <r>
      <rPr>
        <b/>
        <sz val="11"/>
        <color theme="1"/>
        <rFont val="Calibri"/>
        <family val="2"/>
        <scheme val="minor"/>
      </rPr>
      <t>)</t>
    </r>
  </si>
  <si>
    <t>Manual P Reduction - Prior Practice (kg/yr)</t>
  </si>
  <si>
    <t>http://anrmaps.vermont.gov/websites/anra5/</t>
  </si>
  <si>
    <t>Do not put anything in cells that have been grey out         .  This could break equations.</t>
  </si>
  <si>
    <t>Generalized diagram off a wet pond</t>
  </si>
  <si>
    <t>If the appropriate FRP Watershed is selected, the drainage area and lake segment will autofill, although it may not work if you delete the cell contents. Drainage areas and Lake Segments can be found on the Natural Resources Atlas (linked below) by selecting ANR Basemap Data&gt; Lake Segment Basins.  Stormwater Impaired Watersheds are found under Stormwater&gt;Stormwater Impaired Watersheds.</t>
  </si>
  <si>
    <t>HydroCAD summary of a grass channel (swale) showing the correct storage volume for credit calculations</t>
  </si>
  <si>
    <t>HydroCAD summary of a wet pond showing the correct storage volume for credit calculations</t>
  </si>
  <si>
    <r>
      <rPr>
        <sz val="11"/>
        <color theme="1"/>
        <rFont val="Calibri"/>
        <family val="2"/>
      </rPr>
      <t xml:space="preserve">•    </t>
    </r>
    <r>
      <rPr>
        <sz val="11"/>
        <color theme="1"/>
        <rFont val="Calibri"/>
        <family val="2"/>
        <scheme val="minor"/>
      </rPr>
      <t>Treatment of new impervious after 2010 that was not required to obtain a state stormwater permit</t>
    </r>
  </si>
  <si>
    <t>* Prior Load Before Treatment (kg/acre/year)</t>
  </si>
  <si>
    <t>* Prior Storage Depth (inches)</t>
  </si>
  <si>
    <t>* Prior Practice Efficiency</t>
  </si>
  <si>
    <t>* Estimated P removal of Prior Practice (kg/yr)</t>
  </si>
  <si>
    <t>* P Credit (kg/yr)</t>
  </si>
  <si>
    <t>* P Reduction (kg/year)</t>
  </si>
  <si>
    <t>* Practice Efficiency</t>
  </si>
  <si>
    <t>* Storage Depth (inches)</t>
  </si>
  <si>
    <r>
      <t xml:space="preserve">Some cells of the worksheet are locked to protect the formulas. Where this is the case , the field name is marked with an </t>
    </r>
    <r>
      <rPr>
        <b/>
        <sz val="11"/>
        <color theme="1"/>
        <rFont val="Calibri"/>
        <family val="2"/>
        <scheme val="minor"/>
      </rPr>
      <t>*</t>
    </r>
    <r>
      <rPr>
        <sz val="11"/>
        <color theme="1"/>
        <rFont val="Calibri"/>
        <family val="2"/>
        <scheme val="minor"/>
      </rPr>
      <t xml:space="preserve">.  If errors are discovered please contact: </t>
    </r>
  </si>
  <si>
    <t>Last updated 3/13/2020</t>
  </si>
  <si>
    <t xml:space="preserve">*phosphorus calcs were not working for storage depths &lt;0.1" past the first row.  This has been fixed. </t>
  </si>
  <si>
    <t>GIS permit number 
(further identifier if needed)</t>
  </si>
  <si>
    <t>see 1-1307</t>
  </si>
  <si>
    <t>see 1-0775a</t>
  </si>
  <si>
    <t>see 1-0775b</t>
  </si>
  <si>
    <t>see 1-0775c</t>
  </si>
  <si>
    <t>1-1186 Woodlands</t>
  </si>
  <si>
    <t>1-1319 LDS (p1)</t>
  </si>
  <si>
    <t>1-1319 LDS (p2)</t>
  </si>
  <si>
    <t>5864-INDS</t>
  </si>
  <si>
    <t>4989-INDO 5 Corners N.</t>
  </si>
  <si>
    <t>Countryside Dr.-1</t>
  </si>
  <si>
    <t>Grove St.</t>
  </si>
  <si>
    <t>1-1143 (Racquet's Edge drywell 2)</t>
  </si>
  <si>
    <t>1-1143 (Racquet's Edge drywell 1)</t>
  </si>
  <si>
    <t>O126</t>
  </si>
  <si>
    <t>O199</t>
  </si>
  <si>
    <t>1081</t>
  </si>
  <si>
    <t>4002‐INDS.A</t>
  </si>
  <si>
    <t>6262‐9020</t>
  </si>
  <si>
    <t>1‐1074 SN 002</t>
  </si>
  <si>
    <t>1‐1186</t>
  </si>
  <si>
    <t>1‐1319_p1_South</t>
  </si>
  <si>
    <t>1‐1319_p2_North</t>
  </si>
  <si>
    <t>5864‐INDS</t>
  </si>
  <si>
    <t>4989‐INDO</t>
  </si>
  <si>
    <t>2‐0155</t>
  </si>
  <si>
    <t>2‐0187</t>
  </si>
  <si>
    <t>1‐1143</t>
  </si>
  <si>
    <t>1‐0250</t>
  </si>
  <si>
    <t>1‐0896,
1‐0552,
1‐1463</t>
  </si>
  <si>
    <t>Essex Town Center‐ Essex Outlets</t>
  </si>
  <si>
    <t>Essex Outlets Pond A</t>
  </si>
  <si>
    <t>Essex Outlets Pond B</t>
  </si>
  <si>
    <t>Essex Outlets Pond C</t>
  </si>
  <si>
    <t>Old Stage Rd/Rt‐15 (Essex STP 030‐1(17))</t>
  </si>
  <si>
    <t>Lang Family, LLC</t>
  </si>
  <si>
    <t>5 Corners North</t>
  </si>
  <si>
    <t>Countryside Dr Intersection</t>
  </si>
  <si>
    <t>Racquet's Edge drywell 2</t>
  </si>
  <si>
    <t>Racquet's Edge drywell 1</t>
  </si>
  <si>
    <t>Outfall 126: Fort Ethan Allen (Ryan St.)</t>
  </si>
  <si>
    <t>Outfall 199‐Morse Dr.</t>
  </si>
  <si>
    <t>David Dr. Outfall</t>
  </si>
  <si>
    <t>Kellogg Rd Detention Pond</t>
  </si>
  <si>
    <t>Private</t>
  </si>
  <si>
    <t>Village</t>
  </si>
  <si>
    <t>Essex School D</t>
  </si>
  <si>
    <t>Town</t>
  </si>
  <si>
    <t>ROW</t>
  </si>
  <si>
    <t>1‐1074</t>
  </si>
  <si>
    <t>1‐1319</t>
  </si>
  <si>
    <t>1‐1381</t>
  </si>
  <si>
    <t>Wet Swale</t>
  </si>
  <si>
    <t>NOTES/ASSUMPTIONS</t>
  </si>
  <si>
    <t>Meeting VT 2002 Stormwater Design Standards</t>
  </si>
  <si>
    <t>No retrofit proposed under FRP</t>
  </si>
  <si>
    <t>Woodlands: Convert to underground infiltration gallery</t>
  </si>
  <si>
    <t>LDS P1: Convert to underground detention system.</t>
  </si>
  <si>
    <t>LDS P2: Convert to underground detention system.</t>
  </si>
  <si>
    <t>Retrofit outlet structure and armor spillway.</t>
  </si>
  <si>
    <t xml:space="preserve">Brickyard: Proposed retrofit of existing detention area with new
outlet structure and regrading.  Brickyard South is only parcel within the PCP. </t>
  </si>
  <si>
    <t>infiltration system</t>
  </si>
  <si>
    <t>5864‐INDS.A</t>
  </si>
  <si>
    <t>4989‐INDO.R</t>
  </si>
  <si>
    <t>see 1-1074</t>
  </si>
  <si>
    <t>Gravel Wetland installed late summer 2019</t>
  </si>
  <si>
    <t>Row Labels</t>
  </si>
  <si>
    <t>Grand Total</t>
  </si>
  <si>
    <t>Sum of Impervious area  (acres)</t>
  </si>
  <si>
    <t>Sum of Total Pervious area (acres) </t>
  </si>
  <si>
    <t>Sum of * P Credit (kg/yr)</t>
  </si>
  <si>
    <t xml:space="preserve">Count of BMP Type </t>
  </si>
  <si>
    <t>5 Corners North Vortech Unit</t>
  </si>
  <si>
    <t>4989-INDO</t>
  </si>
  <si>
    <t>June 2019</t>
  </si>
  <si>
    <t>cleaning, completed in Aug 2019</t>
  </si>
  <si>
    <t>Hawthorn Circle Stormwater Pond</t>
  </si>
  <si>
    <t>7024-9014.A</t>
  </si>
  <si>
    <t>None</t>
  </si>
  <si>
    <t>Hawthorn Circle Vortech Unit</t>
  </si>
  <si>
    <t>Whitcomb Combined Dry Swale South St</t>
  </si>
  <si>
    <t>3547-9010.R</t>
  </si>
  <si>
    <t>Regularly mowed by PW during summer months</t>
  </si>
  <si>
    <t>Upland/Drury Vortech Unit Brookside Ave</t>
  </si>
  <si>
    <t>4128-INDO</t>
  </si>
  <si>
    <t>Whitcomb Combined Stormwater Pond Dunbar Rd</t>
  </si>
  <si>
    <t>Whitcomb Combined Stormwater Pond Ketchum Rd</t>
  </si>
  <si>
    <t>Lang Farm, Parcel I</t>
  </si>
  <si>
    <t>Detention berm and sedimentation basin</t>
  </si>
  <si>
    <t>3575-9010.R</t>
  </si>
  <si>
    <t>Lang Farm, Parcel H</t>
  </si>
  <si>
    <t>30' Type I stone-lined ditch &amp; 65' Type II grass-lined swale</t>
  </si>
  <si>
    <t>3577-9010.R</t>
  </si>
  <si>
    <t>Meadows Edge</t>
  </si>
  <si>
    <t>Grassed drainage swales &amp; detention basin</t>
  </si>
  <si>
    <t>3324-9010.R</t>
  </si>
  <si>
    <t>Forestdale</t>
  </si>
  <si>
    <t>Settling tanks &amp; an infiltration basin</t>
  </si>
  <si>
    <t>3574-9010.R</t>
  </si>
  <si>
    <t>Perkins Bend</t>
  </si>
  <si>
    <t>Grass-lined swale &amp; underground detention structure</t>
  </si>
  <si>
    <t>3081-9010.R</t>
  </si>
  <si>
    <t>Pinewood</t>
  </si>
  <si>
    <t>Grassed Swales &amp; special sedimentation removal catch basins</t>
  </si>
  <si>
    <t>3578-9010.R</t>
  </si>
  <si>
    <t>Heritage Phase II</t>
  </si>
  <si>
    <t>Stone filled trench &amp; grass-lined swales</t>
  </si>
  <si>
    <t>3581-9010.R</t>
  </si>
  <si>
    <t>Old Stage Village</t>
  </si>
  <si>
    <t>Grass-lined swales</t>
  </si>
  <si>
    <t>3579-9010.R</t>
  </si>
  <si>
    <t>Rivers Bend</t>
  </si>
  <si>
    <t>Existing natural drainageway (with deeded easement)</t>
  </si>
  <si>
    <t>3580-9010.R</t>
  </si>
  <si>
    <t>Pinewood, Section G</t>
  </si>
  <si>
    <t>Detention basin</t>
  </si>
  <si>
    <t>3201-9010.R</t>
  </si>
  <si>
    <t>Saybrook</t>
  </si>
  <si>
    <t>Grassed swales</t>
  </si>
  <si>
    <t>3267-9010.R</t>
  </si>
  <si>
    <t>Autumn Knoll</t>
  </si>
  <si>
    <t>Grass swales, ditching, and detention basin</t>
  </si>
  <si>
    <t>4367-9010.R</t>
  </si>
  <si>
    <t>Rec Pool Complex</t>
  </si>
  <si>
    <t>Stone-lined ditching</t>
  </si>
  <si>
    <t>3996-9010.R</t>
  </si>
  <si>
    <t>Colbert Street Treatment System</t>
  </si>
  <si>
    <t>Vortechs Model 4000 stormwater swirl concentrator</t>
  </si>
  <si>
    <t>5710-INDO.R</t>
  </si>
  <si>
    <t>Kellogg Road</t>
  </si>
  <si>
    <t>Controlled outlet structure and stabilized channel</t>
  </si>
  <si>
    <t>5944-INDO</t>
  </si>
  <si>
    <t>Police Station</t>
  </si>
  <si>
    <t>Bioretention facility</t>
  </si>
  <si>
    <t>7002-9015</t>
  </si>
  <si>
    <t>United States Postal Service</t>
  </si>
  <si>
    <t>Drainage swales (UPGRADE)</t>
  </si>
  <si>
    <t>USPS</t>
  </si>
  <si>
    <t>1-0491</t>
  </si>
  <si>
    <t>Ewing Place (Lot 3)</t>
  </si>
  <si>
    <t>Grass-lined swale</t>
  </si>
  <si>
    <t>Ewing Place LLC</t>
  </si>
  <si>
    <t>1-0518</t>
  </si>
  <si>
    <t>Ewing Place (Susie Wilson Rd - Lot 2)</t>
  </si>
  <si>
    <t>Grassed and stone-lined drainage swales</t>
  </si>
  <si>
    <t>1-0619
2-0634</t>
  </si>
  <si>
    <t>Ewing Place (Lot 1)</t>
  </si>
  <si>
    <t>Drainage swale</t>
  </si>
  <si>
    <t>1-0694</t>
  </si>
  <si>
    <t>Ewing Place (Lot 4)</t>
  </si>
  <si>
    <t>1-0761</t>
  </si>
  <si>
    <t>Ewing Place (Lot 5)</t>
  </si>
  <si>
    <t xml:space="preserve">Storm drainage system consisting of dry well catch basins </t>
  </si>
  <si>
    <t>1-0965</t>
  </si>
  <si>
    <t>Ewing Place (Susie Wilson Rd)</t>
  </si>
  <si>
    <t>Town Market Place</t>
  </si>
  <si>
    <t>Series of catch basins; via 18" pipe to rip-rapped drainage ditch</t>
  </si>
  <si>
    <t>2-0925</t>
  </si>
  <si>
    <t>Overland flow across grassed terrain</t>
  </si>
  <si>
    <t>Towne Market Place LLC</t>
  </si>
  <si>
    <t>1-0552</t>
  </si>
  <si>
    <t>Essex Outlets</t>
  </si>
  <si>
    <t>Eurowest Retail Partners LLC</t>
  </si>
  <si>
    <t>1-0775
2-0613</t>
  </si>
  <si>
    <t>Hannaford Brothers LLC</t>
  </si>
  <si>
    <t>1-1307</t>
  </si>
  <si>
    <t>Woodlands I</t>
  </si>
  <si>
    <t>Storm drainage system consisting of catch basins and underdrain stone trenches that outlet to a drainage swale</t>
  </si>
  <si>
    <t>1-0667</t>
  </si>
  <si>
    <t>Woodlands II</t>
  </si>
  <si>
    <t>1-1186</t>
  </si>
  <si>
    <t>Kimberly Drive</t>
  </si>
  <si>
    <t>Pipe discharge through a headwall</t>
  </si>
  <si>
    <t>1-0250</t>
  </si>
  <si>
    <t>David Drive</t>
  </si>
  <si>
    <t>Storm drainage system to a stone-lined ditch</t>
  </si>
  <si>
    <t>1-0896</t>
  </si>
  <si>
    <t>The LDS Church</t>
  </si>
  <si>
    <t>Detention basin #1</t>
  </si>
  <si>
    <t>LDS Church</t>
  </si>
  <si>
    <t>1-1319</t>
  </si>
  <si>
    <t>Detention basin #2</t>
  </si>
  <si>
    <t>Links at Lang Farm</t>
  </si>
  <si>
    <t>Grassed swale to a vegetated wetland</t>
  </si>
  <si>
    <t>Why Not LLC</t>
  </si>
  <si>
    <t>1-1371</t>
  </si>
  <si>
    <t>The Commons</t>
  </si>
  <si>
    <t>Constructed wetland</t>
  </si>
  <si>
    <t>1-1381</t>
  </si>
  <si>
    <t>Storm drainage system consisting of a catch basin system to a drywell</t>
  </si>
  <si>
    <t>VT Systems, Inc.</t>
  </si>
  <si>
    <t>1-1463</t>
  </si>
  <si>
    <t>Baymont Inn &amp; Suites</t>
  </si>
  <si>
    <t>Storm drainage system consisting of catch basins and pipes that outlet to a drainage swale</t>
  </si>
  <si>
    <t>1-1496</t>
  </si>
  <si>
    <t>Shillingford Crossing</t>
  </si>
  <si>
    <t>Stormwater infiltration system</t>
  </si>
  <si>
    <t>2-0633</t>
  </si>
  <si>
    <t>The Edge</t>
  </si>
  <si>
    <t>Sports &amp; Fitness Edge Inc</t>
  </si>
  <si>
    <t>1-1143</t>
  </si>
  <si>
    <t>Pearl Street Park</t>
  </si>
  <si>
    <t>2-1045</t>
  </si>
  <si>
    <t>Town Highway Garage</t>
  </si>
  <si>
    <t>Retention Pond</t>
  </si>
  <si>
    <t>STP</t>
  </si>
  <si>
    <t>Owned by MS4</t>
  </si>
  <si>
    <t>Permit #</t>
  </si>
  <si>
    <t>System Name</t>
  </si>
  <si>
    <t>Location</t>
  </si>
  <si>
    <t>Applied to Incorporate</t>
  </si>
  <si>
    <t>Meadow's Edge</t>
  </si>
  <si>
    <t>Clover Drive</t>
  </si>
  <si>
    <t>Saxonhollow Drive Pond</t>
  </si>
  <si>
    <t>Saxonhollow Drive</t>
  </si>
  <si>
    <t>Swirl Separator</t>
  </si>
  <si>
    <t>Pinewood Drive</t>
  </si>
  <si>
    <t>Pinewood Dr/Riverview Dr</t>
  </si>
  <si>
    <t>Stormwater Pond</t>
  </si>
  <si>
    <t>Craftsbury Court</t>
  </si>
  <si>
    <t>3201-9010</t>
  </si>
  <si>
    <t>3267-9010.1R</t>
  </si>
  <si>
    <t>Saybrook Road</t>
  </si>
  <si>
    <t>Saybrook Rd</t>
  </si>
  <si>
    <t>Irene Ave</t>
  </si>
  <si>
    <t>Colbert Street Swirl Separator</t>
  </si>
  <si>
    <t>Colbert St and Abare Ave</t>
  </si>
  <si>
    <t>5715-INDO.R1</t>
  </si>
  <si>
    <t>Kellogg Road Retention Pond</t>
  </si>
  <si>
    <t>Kellog Rd</t>
  </si>
  <si>
    <t>5944-INDO.R</t>
  </si>
  <si>
    <t>Already Incorporated</t>
  </si>
  <si>
    <t>1‐0518</t>
  </si>
  <si>
    <t>Ewing Place</t>
  </si>
  <si>
    <t>1‐0619</t>
  </si>
  <si>
    <t>1‐0694</t>
  </si>
  <si>
    <t>1‐0761</t>
  </si>
  <si>
    <t>1‐0965</t>
  </si>
  <si>
    <t>2‐0634</t>
  </si>
  <si>
    <t>2‐0925</t>
  </si>
  <si>
    <t>Market Place</t>
  </si>
  <si>
    <t>1‐0552</t>
  </si>
  <si>
    <t>Pearl Street</t>
  </si>
  <si>
    <t>1‐0775</t>
  </si>
  <si>
    <t>Rte 15</t>
  </si>
  <si>
    <t>Essex Outlets Shopping Center</t>
  </si>
  <si>
    <t>7025-9014.A</t>
  </si>
  <si>
    <t>2‐0613</t>
  </si>
  <si>
    <t>1‐1307</t>
  </si>
  <si>
    <t>1‐0667</t>
  </si>
  <si>
    <t>Lang Drive
Hagan Drive
Lida Drive
Repa Drive
Essex Way</t>
  </si>
  <si>
    <t>Sydney Drive
Bashaw Drive
Debra Drive</t>
  </si>
  <si>
    <t>1‐0896</t>
  </si>
  <si>
    <t>Essex Way</t>
  </si>
  <si>
    <t>LDS Church Pond</t>
  </si>
  <si>
    <t>1‐1371</t>
  </si>
  <si>
    <t>Detention Pond</t>
  </si>
  <si>
    <t>Sydney Drive Pond</t>
  </si>
  <si>
    <t>Sydney Drive</t>
  </si>
  <si>
    <t>1‐1463</t>
  </si>
  <si>
    <t>Baymont Inn Pond</t>
  </si>
  <si>
    <t>Susie Wilson Rd</t>
  </si>
  <si>
    <t>1‐1496</t>
  </si>
  <si>
    <t>Susie Wilson Road</t>
  </si>
  <si>
    <t>2‐0633</t>
  </si>
  <si>
    <t>Devon Hill Court
Southdown Court
Hampshire Court
Dartmoor Court
Suffolk Lane</t>
  </si>
  <si>
    <t>Gauthier Drive</t>
  </si>
  <si>
    <t>2‐1045</t>
  </si>
  <si>
    <t>Highway Garage Pond</t>
  </si>
  <si>
    <t>Sand Hill Road</t>
  </si>
  <si>
    <t>Summary by Lake Segment - PCP Area in Village (Stone, 2019-02-12)</t>
  </si>
  <si>
    <t>SWAT_Drain</t>
  </si>
  <si>
    <t>Acres (All Developed Land Use Classes)</t>
  </si>
  <si>
    <t>Base Load (kg/yr)</t>
  </si>
  <si>
    <t xml:space="preserve">Total Developed Lands Target Reduction </t>
  </si>
  <si>
    <t>Total Reduction Target (kg/yr)</t>
  </si>
  <si>
    <t>09. MALLETTS BAY</t>
  </si>
  <si>
    <t>Malletts Bay - DD</t>
  </si>
  <si>
    <t>05. MAIN LAKE</t>
  </si>
  <si>
    <t>TOTAL</t>
  </si>
  <si>
    <t>Summary by Lake Segment - PCP Area in Town (Stone, 2019-02-12)</t>
  </si>
  <si>
    <t>* Load Before Treatment (kg/yr)</t>
  </si>
  <si>
    <t>Acorn Circle cul-de-sac retrofit - impervious removal</t>
  </si>
  <si>
    <t>TAP TA 18(2) Acorn 3</t>
  </si>
  <si>
    <t>Acorn Circle cul-de-sac retrofit - media filter with specialized media</t>
  </si>
  <si>
    <t>TAP TA 18(2) Oakwood 1</t>
  </si>
  <si>
    <t>Oakwood Drive cul-de-sac retrofit - media filter with specialized media</t>
  </si>
  <si>
    <t>TAP TA 18(2) Acorn 3 impervious removal</t>
  </si>
  <si>
    <t>TAP TA 18(2) Oakwood 1 impervious removal</t>
  </si>
  <si>
    <t>Oakwood Drive cul-de-sac retrofit - impervious removal</t>
  </si>
  <si>
    <t>Impervious removal</t>
  </si>
  <si>
    <t>TAP TA 18(2) Sage 1</t>
  </si>
  <si>
    <t>TAP TA 18(2) Sage 1 impervious removal</t>
  </si>
  <si>
    <t>Sage Circle cul-de-sac retrofit - infiltration trenches</t>
  </si>
  <si>
    <t>Sage Circle cul-de-sac retrofit - impervious removal</t>
  </si>
  <si>
    <t>Sydney Drive - Woodlands II‐ Lang Farm Parcel</t>
  </si>
  <si>
    <t>Maximum P credit for outfall erosion mitigation (kg/yr)</t>
  </si>
  <si>
    <t>% of PCP Target reached with Structural STPs only</t>
  </si>
  <si>
    <t>% of PCP Target - Structural and outfalls</t>
  </si>
  <si>
    <t>(Multiple Items)</t>
  </si>
  <si>
    <t>Village Completed BMPs</t>
  </si>
  <si>
    <t>Village of Essex Junction Summary</t>
  </si>
  <si>
    <t>Town of Essex Summary</t>
  </si>
  <si>
    <t>Total</t>
  </si>
  <si>
    <t>P loads and reductions from existing and planned structural stormwater BMPs</t>
  </si>
  <si>
    <t>Municipality</t>
  </si>
  <si>
    <t>Total P Reduction</t>
  </si>
  <si>
    <t>Target P Reduction</t>
  </si>
  <si>
    <t xml:space="preserve">3790-9010.R1 </t>
  </si>
  <si>
    <t>Oak Ridge-Forestdale Drywells SN 001</t>
  </si>
  <si>
    <t>Oak Ridge-Forestdale Drywells SN 002</t>
  </si>
  <si>
    <t>Oak Ridge-Forestdale Drywells SN 003</t>
  </si>
  <si>
    <t>Oak Ridge-Forestdale Drywells SN 004</t>
  </si>
  <si>
    <t>Oak Ridge-Forestdale Drywells SN 005</t>
  </si>
  <si>
    <t>Oak Ridge-Forestdale Drywells SN 006</t>
  </si>
  <si>
    <t>Oak Ridge-Forestdale Drywells SN 007</t>
  </si>
  <si>
    <t>Oak Ridge-Forestdale Drywells SN 008</t>
  </si>
  <si>
    <t>Oak Ridge-Forestdale Drywells SN 009</t>
  </si>
  <si>
    <t>Oak Ridge-Forestdale Drywells SN 0010</t>
  </si>
  <si>
    <t>NOTE THAT SOME OF THESE TABLE VALUES ARE LINKED TO PIVOT TABLES</t>
  </si>
  <si>
    <t>NOTE THAT CHART VALUES ARE LINKED TO MEMO TABLES</t>
  </si>
  <si>
    <t>Town Completed BMPs</t>
  </si>
  <si>
    <t>Max P credit for Hydro-connected road segments (kg/yr)</t>
  </si>
  <si>
    <t>% of PCP Target - Structural + outfalls + road segments</t>
  </si>
  <si>
    <t>Esixting NSCs (kg/yr)</t>
  </si>
  <si>
    <t>Additional P Load Reduction Possible via enhanced NSCs (kg/yr)</t>
  </si>
  <si>
    <t>% of PCP Target - all measures to left</t>
  </si>
  <si>
    <t>Perkins Bend 002</t>
  </si>
  <si>
    <t>Pinewood Manor Section G</t>
  </si>
  <si>
    <t>Meadows Edge/Steeplebush SN 001</t>
  </si>
  <si>
    <t>Meadows Edge/Steeplebush SN 003</t>
  </si>
  <si>
    <t>Meadows Edge/Steeplebush SN 004</t>
  </si>
  <si>
    <t>Meadows Edge/Steeplebush SN 005</t>
  </si>
  <si>
    <t>Meadows Edge/Steeplebush SN 006</t>
  </si>
  <si>
    <t>Meadows Edge/Steeplebush SN 007</t>
  </si>
  <si>
    <t>Forestdale Heights S/N001</t>
  </si>
  <si>
    <t>Forestdale Heights S/N002</t>
  </si>
  <si>
    <t>Forestdale Heights S/N003</t>
  </si>
  <si>
    <t>Lang Farm Parcel I - Woodlands II S/N 001 (Basin)</t>
  </si>
  <si>
    <t>Lang Farm Parcel I - Woodlands II S/N 001 (South Forebay)</t>
  </si>
  <si>
    <t>Lang Farm Parcel I - Woodlands II S/N 001 (North Forebay)</t>
  </si>
  <si>
    <t>Lang Farm Parcel H S/N 001</t>
  </si>
  <si>
    <t>Lang Farm Parcel H S/N 002</t>
  </si>
  <si>
    <t>Lang Farm Parcel H S/N 003</t>
  </si>
  <si>
    <t>Lang Farm Parcel H S/N 004</t>
  </si>
  <si>
    <t>Pinewood Manor S/N 001</t>
  </si>
  <si>
    <t>Pinewood Manor S/N 002</t>
  </si>
  <si>
    <t>Pinewood Manor S/N 003</t>
  </si>
  <si>
    <t>Pinewood Manor S/N 004</t>
  </si>
  <si>
    <t>Old Stage Village S/N 001</t>
  </si>
  <si>
    <t>Old Stage Village S/N 002</t>
  </si>
  <si>
    <t>Old Stage Village S/N 003</t>
  </si>
  <si>
    <t>Old Stage Village S/N 004</t>
  </si>
  <si>
    <t>Autumn Knoll S/N 001</t>
  </si>
  <si>
    <t>Autumn Knoll S/N 003</t>
  </si>
  <si>
    <t>6006-9020.1</t>
  </si>
  <si>
    <t>Taft Street S/N 001</t>
  </si>
  <si>
    <t>Taft Street S/N 002</t>
  </si>
  <si>
    <t>6653-9010</t>
  </si>
  <si>
    <t>Village Walk POI 1</t>
  </si>
  <si>
    <t>Village Walk POI 2</t>
  </si>
  <si>
    <t>Village Walk POI 3</t>
  </si>
  <si>
    <t>1988?</t>
  </si>
  <si>
    <t>1988/1989</t>
  </si>
  <si>
    <t>2002?</t>
  </si>
  <si>
    <t>riprap drainage channel</t>
  </si>
  <si>
    <t>special catch basins for removal of settleable and floatable material</t>
  </si>
  <si>
    <t>% of Required P Reduction</t>
  </si>
  <si>
    <t xml:space="preserve">3-acre site with Town as co-permittee. May be creditable in future but not as of Jan. 2021 (predates 2010 and is operational-jurisdictional). </t>
  </si>
  <si>
    <t>Kiln Rd. - there is a cul de sac but this area is already managed with infiltration based STP. ANM 2021 02 04</t>
  </si>
  <si>
    <t>Briar Lane cul-de-sac impervious removal</t>
  </si>
  <si>
    <t>7002-9015.T</t>
  </si>
  <si>
    <t>7025.9014.ARA</t>
  </si>
  <si>
    <t>Essex Police Station</t>
  </si>
  <si>
    <t>Maplewood Lane cul-de-sac</t>
  </si>
  <si>
    <t>Meadows Edge/Steeplebush (old 1-1124) expansion of SN 002</t>
  </si>
  <si>
    <t>pond not owned/maintained by Town; Town shares cost of maintenance</t>
  </si>
  <si>
    <t>grass swales not maintained</t>
  </si>
  <si>
    <t>included above</t>
  </si>
  <si>
    <t>Meadows Edge/Steeplebush RETROFIT</t>
  </si>
  <si>
    <t>Old Stage Village S/N 001 RETROFIT</t>
  </si>
  <si>
    <t>Autumn Knoll S/N 001 RETROFIT</t>
  </si>
  <si>
    <t>assume conversion of pond to gravel wetland</t>
  </si>
  <si>
    <t>assume upgrade of existing swales to dry infiltrating swales</t>
  </si>
  <si>
    <t>assume conversion of basin bottom to gravel wetland; keep extended detension</t>
  </si>
  <si>
    <t>Tyler Drive, Wilkinson Drive - South St. intersection - retrofit/expand</t>
  </si>
  <si>
    <t>CB523 Elm and Jackson drywell</t>
  </si>
  <si>
    <t>CB522 Elm St drywell</t>
  </si>
  <si>
    <t>CB521 Elm St drywell</t>
  </si>
  <si>
    <t>CB525 Elm and Jackson drywell</t>
  </si>
  <si>
    <t>CB533 Jackson and McGregor drywell</t>
  </si>
  <si>
    <t>CB546 McGregor and Grant drywell</t>
  </si>
  <si>
    <t>CB532 MCGregor and Jackson drywell</t>
  </si>
  <si>
    <t>CB535 Grant and Jackson drywell</t>
  </si>
  <si>
    <t>CB536 Jackson drywell</t>
  </si>
  <si>
    <t>CB531 Jackson and Wrisley drywell</t>
  </si>
  <si>
    <t>CB537 Jackson and Grant drywell</t>
  </si>
  <si>
    <t>CB544 Camp drywell</t>
  </si>
  <si>
    <t>CB543 Camp drywell</t>
  </si>
  <si>
    <t>CB541 Camp drywell</t>
  </si>
  <si>
    <t>CB542 Camp drywell</t>
  </si>
  <si>
    <t>CB538 Camp and Jackson drywell</t>
  </si>
  <si>
    <t>CB756 Oak St drywell</t>
  </si>
  <si>
    <t>CB754 and CB755 Oak St drywells</t>
  </si>
  <si>
    <t>CB534 Jackson and Wrisley drywell</t>
  </si>
  <si>
    <t>CB90 Loubier Drive drywell</t>
  </si>
  <si>
    <t>CB92 Loubier Drive drywell</t>
  </si>
  <si>
    <t>CB91 Loubier Drive drywell</t>
  </si>
  <si>
    <t>CB757 Loubier Drive drywell</t>
  </si>
  <si>
    <t>Loubier Drive cul de sacs impervious removal</t>
  </si>
  <si>
    <t>CB1425 Killoran Drive drywell</t>
  </si>
  <si>
    <t>CB54 and CB55 Killoran Drive drywells</t>
  </si>
  <si>
    <t>CB56 and CB57 Killoran Drive drywells</t>
  </si>
  <si>
    <t>Killoran Drive cul de sac impervious removal</t>
  </si>
  <si>
    <t>CB35 Cascadnac Ave drywell</t>
  </si>
  <si>
    <t>CB36 Cascadnac Ave drywell</t>
  </si>
  <si>
    <t>CB37 Cascadnac Ave drywell</t>
  </si>
  <si>
    <t>CB42 Cascadnac and Owaissa Ave drywell</t>
  </si>
  <si>
    <t>CB43 Owaissa and Wenonah drywell</t>
  </si>
  <si>
    <t>CB44 Wenonah Ave drywell</t>
  </si>
  <si>
    <t>CB706 Wenonah &amp; Owaissa drywell</t>
  </si>
  <si>
    <t xml:space="preserve">CB889 CB890 CB891 Saxonhollow and Hillside drywells </t>
  </si>
  <si>
    <t>CB884 CB885 Saxonhollow drywells</t>
  </si>
  <si>
    <t>CB957-960 Greenbriar Dr drywells</t>
  </si>
  <si>
    <t>CB1046-1050 Sand Hill Rd drywells</t>
  </si>
  <si>
    <t>CB964 968-970 Greenfield Rd drywells</t>
  </si>
  <si>
    <t>combo with outlet not meeting standards</t>
  </si>
  <si>
    <t>combo with outlet partially meeting standards</t>
  </si>
  <si>
    <t>CB1122 1123 Wildwood Dr drywells</t>
  </si>
  <si>
    <t>CB1120 1121 Wildwood Dr drywells</t>
  </si>
  <si>
    <t>CB772-775 Foster Rd drywells</t>
  </si>
  <si>
    <t>Perkins Bend 002 impervious removal</t>
  </si>
  <si>
    <t>EX-LR-001</t>
  </si>
  <si>
    <t>EX-WR-001</t>
  </si>
  <si>
    <t>EX-WR-002</t>
  </si>
  <si>
    <t>CB898 899 Hillside Ave drywells</t>
  </si>
  <si>
    <t>CB897 898 Hillside Ave drywells</t>
  </si>
  <si>
    <t>CB892 893 894 895 Saxonhollow Hillside drywells</t>
  </si>
  <si>
    <t>EX-WR-003</t>
  </si>
  <si>
    <t>EX-WR-004</t>
  </si>
  <si>
    <t>EX-WR-005</t>
  </si>
  <si>
    <t>EX-WR-006</t>
  </si>
  <si>
    <t>EX-WR-007</t>
  </si>
  <si>
    <t>EX-WR-008</t>
  </si>
  <si>
    <t>EX-WR-009</t>
  </si>
  <si>
    <t>EX-WR-010</t>
  </si>
  <si>
    <t>EX-WR-011</t>
  </si>
  <si>
    <t>EX-WR-012</t>
  </si>
  <si>
    <t>EJ-MB-001</t>
  </si>
  <si>
    <t>EJ-WR-001</t>
  </si>
  <si>
    <t>EJ-WR-002</t>
  </si>
  <si>
    <t>EJ-WR-003</t>
  </si>
  <si>
    <t>EJ-WR-004</t>
  </si>
  <si>
    <t>EJ-WR-005</t>
  </si>
  <si>
    <t>EJ-WR-006</t>
  </si>
  <si>
    <t>EJ-WR-007</t>
  </si>
  <si>
    <t>EJ-WR-008</t>
  </si>
  <si>
    <t>EJ-WR-009</t>
  </si>
  <si>
    <t>EJ-WR-010</t>
  </si>
  <si>
    <t>EJ-WR-011</t>
  </si>
  <si>
    <t>EJ-WR-012</t>
  </si>
  <si>
    <t>EJ-WR-013</t>
  </si>
  <si>
    <t>EJ-WR-019</t>
  </si>
  <si>
    <t>EJ-WR-032</t>
  </si>
  <si>
    <t>EJ-WR-017</t>
  </si>
  <si>
    <t>EJ-WR-014</t>
  </si>
  <si>
    <t>EJ-WR-015</t>
  </si>
  <si>
    <t>EJ-WR-016</t>
  </si>
  <si>
    <t>EJ-WR-022</t>
  </si>
  <si>
    <t>EJ-WR-025</t>
  </si>
  <si>
    <t>EJ-WR-036</t>
  </si>
  <si>
    <t>EJ-WR-018</t>
  </si>
  <si>
    <t>EJ-WR-020</t>
  </si>
  <si>
    <t>EJ-WR-021</t>
  </si>
  <si>
    <t>CB524 Elm and Jackson drywell</t>
  </si>
  <si>
    <t>EJ-WR-023</t>
  </si>
  <si>
    <t>EJ-WR-024</t>
  </si>
  <si>
    <t>EJ-WR-026</t>
  </si>
  <si>
    <t>EJ-WR-027</t>
  </si>
  <si>
    <t>EJ-WR-028</t>
  </si>
  <si>
    <t>EJ-WR-029</t>
  </si>
  <si>
    <t>EJ-WR-030</t>
  </si>
  <si>
    <t>EJ-WR-031</t>
  </si>
  <si>
    <t>EJ-WR-033</t>
  </si>
  <si>
    <t>EJ-WR-034</t>
  </si>
  <si>
    <t>EJ-WR-035</t>
  </si>
  <si>
    <t>EJ-WR-037</t>
  </si>
  <si>
    <t>EJ-WR-038</t>
  </si>
  <si>
    <t xml:space="preserve">2-0289 </t>
  </si>
  <si>
    <t>2‐0289</t>
  </si>
  <si>
    <t>Countryside Cluster Homes A,B,C and Essex Parks East and West</t>
  </si>
  <si>
    <t>2-0317/2-0952</t>
  </si>
  <si>
    <t>BMP name</t>
  </si>
  <si>
    <t>Unit Cost with no contingency</t>
  </si>
  <si>
    <t>2021$, no contingency</t>
  </si>
  <si>
    <t>Unit cost ($/cf) + 25% contingency</t>
  </si>
  <si>
    <t>BMP unit implementation cost ($2021/CF)</t>
  </si>
  <si>
    <t>Fairview Drive/Main St Gravel Wetland</t>
  </si>
  <si>
    <t/>
  </si>
  <si>
    <t>pre-2002</t>
  </si>
  <si>
    <t>Outfall 126</t>
  </si>
  <si>
    <t>Outfall 199</t>
  </si>
  <si>
    <t>Whitcomb Heights (former 1-1227)</t>
  </si>
  <si>
    <t>Town (easement)</t>
  </si>
  <si>
    <t>Church of Jesus Christ of Latter Day Saints, South Vault</t>
  </si>
  <si>
    <t>Church of Jesus Christ of Latter Day Saints, North Vault</t>
  </si>
  <si>
    <t>Village Design Phase BMPs</t>
  </si>
  <si>
    <t>Town Design Phase STPs</t>
  </si>
  <si>
    <t>Completed STPs</t>
  </si>
  <si>
    <t>Design Phase STPs</t>
  </si>
  <si>
    <t>Mansfield Brickyard Gravel Wetland</t>
  </si>
  <si>
    <t>2027?</t>
  </si>
  <si>
    <t>Sum of Storage volume (ft3)</t>
  </si>
  <si>
    <t>Planned PCP STPs</t>
  </si>
  <si>
    <t>Underground Detention</t>
  </si>
  <si>
    <t>Unit cost (2021$/cf) + 25% contingency</t>
  </si>
  <si>
    <t>2032?</t>
  </si>
  <si>
    <t>2OLET56 Craftsbury Court pond retrofit</t>
  </si>
  <si>
    <t>Group_ID</t>
  </si>
  <si>
    <t>Unique_DI</t>
  </si>
  <si>
    <t>Loubier Drive</t>
  </si>
  <si>
    <t>Killoran Drive</t>
  </si>
  <si>
    <t>Cascadnac-Owaissa</t>
  </si>
  <si>
    <t>Wilkinson-South</t>
  </si>
  <si>
    <t>Project_Description</t>
  </si>
  <si>
    <t>Project_Benefits</t>
  </si>
  <si>
    <t>Next_Steps</t>
  </si>
  <si>
    <t>Saxonhollow</t>
  </si>
  <si>
    <t>Wildwood</t>
  </si>
  <si>
    <t>Project_Name</t>
  </si>
  <si>
    <t xml:space="preserve">Cul de sac and impervious removal; similar to Oakwood Dr but with smaller drainage area. </t>
  </si>
  <si>
    <t>Comments</t>
  </si>
  <si>
    <t>Soils finely textured, assume sand/enhanced filter. Culverted stream crossing under cul-de-sac. Cul-de-sac is 65' diameter; impervious removal may not be feasible in terms of emergency vehicle access/turning radii.</t>
  </si>
  <si>
    <t xml:space="preserve">Just north of the Winooski-Malletts Bay watershed boundary. Low priority. </t>
  </si>
  <si>
    <t xml:space="preserve">Remove paved road remaining following extension of road through cul-de-sac. </t>
  </si>
  <si>
    <t>Impervious removal for two cul de sacs in this subdivision with relict impervious, subdivisions have been extended past the former turnarounds.</t>
  </si>
  <si>
    <t>High-priority retrofit - limited utility constraints and straightforward construction / maintenance access.</t>
  </si>
  <si>
    <t>Retrofit existing grass channel with outlet structure to increase storage volume and infiltration capacity.</t>
  </si>
  <si>
    <t>Adjacent to multi-use path, educational/demonstration opportunity.</t>
  </si>
  <si>
    <t>Soil borings to confirm subsurface conditions, confirm utility constraints, advance conceptual design</t>
  </si>
  <si>
    <t xml:space="preserve">Install subsurface drywells in existing catchbasin footprints, or retain catchbasins but attach them to subsurface infiltration chambers to infiltrate roadway runoff. Retrofit cul-de-sac to reduce existing impervious cover. </t>
  </si>
  <si>
    <t>Two cul-de-sacs exist along this street, the road was extended through the southern one.</t>
  </si>
  <si>
    <t xml:space="preserve">Install subsurface drywells in existing catchbasin footprints, or retain catchbasins but attach them to subsurface infiltration chambers to infiltrate roadway runoff. </t>
  </si>
  <si>
    <t>Opportunity to apply a distributed, "invisible green infrastructure" approach at the neighborhood scale.</t>
  </si>
  <si>
    <t>Convert existing wet pond at Autumn Knoll (4367-9010.R) into a gravel wetland and maintain existing pond’s extended detention</t>
  </si>
  <si>
    <t>Practice conversion improves P reduction efficiency but less cost-effective than infiltration-based retrofits elsewhere.</t>
  </si>
  <si>
    <t>Convert existing grass swales in the Old Stage Village Development (3579-9010.R) into dry swales</t>
  </si>
  <si>
    <t>While maintenance of the existing swales is needed, soils have limited suitability for infiltration; and open space for construction of STPs outside of the existing grass channels is limited</t>
  </si>
  <si>
    <t>Convert existing wet pond at Meadows Edge (3324-9010.R) into a gravel wetland</t>
  </si>
  <si>
    <t>Retrofit would result in substantially improved P load reduction</t>
  </si>
  <si>
    <t>Advance concept design</t>
  </si>
  <si>
    <t>Water quality improvement, and reduction in runoff flow and velocity reaching system outlet.</t>
  </si>
  <si>
    <t>Install subsurface drywells in existing catchbasin footprints, or retain catchbasins but attach subsurface infiltration chambers to infiltrate roadway runoff. Total 13 catchbasins and five drainage areas in this project.</t>
  </si>
  <si>
    <t>Install subsurface drywells in existing catchbasin footprints, or retain catchbasins but attach subsurface infiltration chambers to infiltrate roadway runoff.</t>
  </si>
  <si>
    <t>Closed drainage system flows to outlet 2OLET135 (ESSX043), which partially meets MRGP standards.</t>
  </si>
  <si>
    <t>Closed drainage system flows to outlet 2OLET186 (ESSX042), which exhibits rill erosion and only partially meets MRGP standards.</t>
  </si>
  <si>
    <t>Closed drainage system flows to outlet 2OLET118 (ESSX064), which does not meet MRGP standards.</t>
  </si>
  <si>
    <t>Two drainage areas and sets of catch basins in this project, each of which flows to a separate outlet. Outlets 2OLET152 (ESSX036) and 2OLET153 (ESSX035) do not meet MRGP standards.</t>
  </si>
  <si>
    <t>Four catch basins and closed drainage flow to outlet 2OLET187 (ESSX051), which does not meet MRGP standards.</t>
  </si>
  <si>
    <t>Oak Street</t>
  </si>
  <si>
    <t>Camp Street</t>
  </si>
  <si>
    <t>Jackson Street</t>
  </si>
  <si>
    <t>Elm Street</t>
  </si>
  <si>
    <t>Two sets of catch-basins along this street, but no cul-de-sac exists here so no opportunity for impervious removal. No curbing; electric+telecom are overhead.</t>
  </si>
  <si>
    <t xml:space="preserve">Opportunity to apply a distributed, "invisible green infrastructure" approach at the street scale. </t>
  </si>
  <si>
    <t xml:space="preserve">Street is uncurbed with no sidewalks. Catchbasins on west side of street offset from road and often immediately beneath overhead electric and telecom. </t>
  </si>
  <si>
    <t xml:space="preserve">Street is uncurbed with no sidewalks. Catchbasins on south side of street sometimes beneath overhead electric and telecom. </t>
  </si>
  <si>
    <t>Street is uncurbed with no sidewalks. Overhead electric and telecom on west side of street; less direct conflict with catch-basin locations compared to Elm Street.</t>
  </si>
  <si>
    <t>Closed drainage system flows to outlet 2OLET112 (ESSX062), where an existing practice failed in 2019 and the resulting gullying does not meet MRGP standards. Replacing the failed end-of-pipe STP is an option, though maintenance of the practice is challenging and the practice at the outlet will receive the same velocity and flow from upland runoff that caused the practice's failure.</t>
  </si>
  <si>
    <t>EX-WR-039</t>
  </si>
  <si>
    <t>EX-WR-040</t>
  </si>
  <si>
    <t>Retrofit existing dry extended detention pond into a gravel wetland within present footprint.</t>
  </si>
  <si>
    <t>Soil borings to confirm subsurface conditions if needed; advance conceptual design</t>
  </si>
  <si>
    <t>Historical photos do not indicate permanent pool in pond and construction before mid-1990s. Construction and maintenance access appears straightforward.</t>
  </si>
  <si>
    <t>Implement strategic drainage and stormwater management retrofits along Tanglewood Drive and Fern Hollow Road consistent with outcomes of Tanglewood Drive Stormwater/Pedestrian Improvements Study, Tanglewood Drive, Cindy Lane to Woodlawn.</t>
  </si>
  <si>
    <t>In March 2021 the Town indicated that the likely outcome was relining pipes on Tanglewood Drive and installing a storage and infiltration system at the bottom of Fern Hollow.</t>
  </si>
  <si>
    <t>2OLET88 Tanglewood Drive and Fern Hollow Road retrofits (Alternative 4)</t>
  </si>
  <si>
    <t>The project would provide runoff storage and water quality treatment, reduce velocity and flow at outlet 2OLET88.</t>
  </si>
  <si>
    <t xml:space="preserve">Advance preferred alternative to conceptual or final design as warranted. </t>
  </si>
  <si>
    <t>EX-WR-041</t>
  </si>
  <si>
    <t>2OLET120 Logwood Circle stormline and catchbasin retrofits</t>
  </si>
  <si>
    <t>Replace stormlines identified in 2020 televised inventory as needing replacement with perforated pipe in gravel bedding. Consider catchbasin replacments with drywells in same project.</t>
  </si>
  <si>
    <t>EX-WR-042</t>
  </si>
  <si>
    <t>EX-WR-043</t>
  </si>
  <si>
    <t>2OLET120 Logwood Circle stormline retrofit and infiltration chambers</t>
  </si>
  <si>
    <t xml:space="preserve">Replace stormlines identified in 2020 televised inventory as needing replacement. Add infiltration chambers beneath road surface to infiltrate runoff above outlet. </t>
  </si>
  <si>
    <t>Stormlines identified as failing included short section betweem CB988- 989, unlikely enough pipe length to support full infiltration of runoff from contributing area.</t>
  </si>
  <si>
    <t xml:space="preserve">Stormlines identified as failing included lines between CB975-977 and 977 to 979-980. Since existing stormlines will be replaced in existing alignment utility conflicts are anticipated to be minimal. </t>
  </si>
  <si>
    <t xml:space="preserve">Stormlines identified as failing included lines between CB994-996. Since existing stormlines will be replaced in existing alignment utility conflicts are anticipated to be minimal. </t>
  </si>
  <si>
    <t>Logwood Circle</t>
  </si>
  <si>
    <t>Dominant_Class_HSG</t>
  </si>
  <si>
    <t>Unknown</t>
  </si>
  <si>
    <t>Developed Pervious - B</t>
  </si>
  <si>
    <t>Developed Pervious - C</t>
  </si>
  <si>
    <t>Developed Pervious - A</t>
  </si>
  <si>
    <t>Total_drainage_area_acres</t>
  </si>
  <si>
    <t>Pervious_area_acres</t>
  </si>
  <si>
    <t>Percent_impervious</t>
  </si>
  <si>
    <t>Cost_per_acre_of_impervious</t>
  </si>
  <si>
    <t>Cost_Per_kg_of_P_reduction</t>
  </si>
  <si>
    <t>Storage volume (ft3)</t>
  </si>
  <si>
    <t>Practice Efficiency</t>
  </si>
  <si>
    <t>3581.9010.R</t>
  </si>
  <si>
    <t>Projected PCP STPs</t>
  </si>
  <si>
    <t>Summary of Phosphorus Load Reductions from Existing, Design-Phase, and Projected Structural STPs (kg/yr)</t>
  </si>
  <si>
    <t>updated for 2022 construction by ANM, 3/17/2023</t>
  </si>
  <si>
    <t>Hiawatha Infiltration Gallery Retrofit</t>
  </si>
  <si>
    <t>Thompson Drive infiltration</t>
  </si>
  <si>
    <t>Permit taken over by town</t>
  </si>
  <si>
    <t>Tanglewood Drive infiltration - Birchwood Manor</t>
  </si>
  <si>
    <t>3585-9010.T</t>
  </si>
  <si>
    <t>7778-INDS.A1T</t>
  </si>
  <si>
    <t>Crescent Connector</t>
  </si>
  <si>
    <t>3426-9050</t>
  </si>
  <si>
    <t>5263-9050</t>
  </si>
  <si>
    <t>4181-9050.2</t>
  </si>
  <si>
    <t>Site Name</t>
  </si>
  <si>
    <t>Permit No.</t>
  </si>
  <si>
    <t>BMP Type</t>
  </si>
  <si>
    <t>Impervious (acres)</t>
  </si>
  <si>
    <t>Pervious (acres)</t>
  </si>
  <si>
    <r>
      <t>Storage Volume (ft</t>
    </r>
    <r>
      <rPr>
        <b/>
        <vertAlign val="superscript"/>
        <sz val="9"/>
        <color theme="0"/>
        <rFont val="Humnst777 Lt BT"/>
        <family val="2"/>
      </rPr>
      <t>3</t>
    </r>
    <r>
      <rPr>
        <b/>
        <sz val="9"/>
        <color theme="0"/>
        <rFont val="Humnst777 Lt BT"/>
        <family val="2"/>
      </rPr>
      <t>)</t>
    </r>
  </si>
  <si>
    <t>P Credit (kg/yr)</t>
  </si>
  <si>
    <t>% of P Target</t>
  </si>
  <si>
    <t>Total Main Lake</t>
  </si>
  <si>
    <t>Impervious Removal</t>
  </si>
  <si>
    <t>Sand Filter (w/ underdrain)</t>
  </si>
  <si>
    <t>1-1074 SN 002</t>
  </si>
  <si>
    <t>Wet pond/ Wetland</t>
  </si>
  <si>
    <t>Total Malletts Bay</t>
  </si>
  <si>
    <t>4181-9015.3</t>
  </si>
  <si>
    <t>5263-9015</t>
  </si>
  <si>
    <t>4002-INDS.A</t>
  </si>
  <si>
    <t>6262-9020</t>
  </si>
  <si>
    <t>EJ-WR-039</t>
  </si>
  <si>
    <t>2-0289</t>
  </si>
  <si>
    <t>2-0155</t>
  </si>
  <si>
    <t>2-0187</t>
  </si>
  <si>
    <t>Meadows Edge/Steeplebush retrofit</t>
  </si>
  <si>
    <t>Autumn Knoll S/N 001 retrofit</t>
  </si>
  <si>
    <t>Village Planned BMPs</t>
  </si>
  <si>
    <t>Town Planned STPs</t>
  </si>
  <si>
    <t>Detention Chambers</t>
  </si>
  <si>
    <t>-</t>
  </si>
  <si>
    <t>not planned but keep on list</t>
  </si>
  <si>
    <t>Essex Westford School District</t>
  </si>
  <si>
    <t>Pinewood Manor Section H 3-Acre Permit</t>
  </si>
  <si>
    <t>Saxon Hill ROW S/N 001 (Industrial Park)</t>
  </si>
  <si>
    <t>EXISTING - Table 2. Essex Junction Completed Structural STPs</t>
  </si>
  <si>
    <t>DESIGN-PHASE - Table 3. Essex Junction Design-Phase Structural STPs</t>
  </si>
  <si>
    <t>Cost Estimates from HWG/Stone 4/2020 including design-permitting, no complexity adjustment (200818 - GSI Cost Estimates  - Source comparison.xlsx). Added annual inflation adjustment of 2% for 3 years elapsed since April 1 2021 PCP (2022-2024) 2024 03 04.</t>
  </si>
  <si>
    <t>Unit cost (2024$/cf) + 25% contingency</t>
  </si>
  <si>
    <t>ROUNDUP(36200*(1.0105^6),-2)</t>
  </si>
  <si>
    <t>EXISTING - Table 6. Essex Town Completed Structural STPs</t>
  </si>
  <si>
    <t>DESIGN-PHASE - Table 7. Essex Town Design Phase Structural STPs</t>
  </si>
  <si>
    <t xml:space="preserve">Yes, CBs need cleaning. </t>
  </si>
  <si>
    <t>Yes, CBs need cleaning.</t>
  </si>
  <si>
    <t>Yes - CBs need to be cleaned and vegetation needs to be cleared. Will work with property owner to address maintenance this year.</t>
  </si>
  <si>
    <t>Summer 2024</t>
  </si>
  <si>
    <t>Yes - CBs need to be cleaned and there is some minor infrastructure repairs needed. Vegetation around the ponds need to be cleared. The Town is working with the property owners to get this addressed in FY25.</t>
  </si>
  <si>
    <t>Yes, CBs cleaned in fall 2024 and swale needs to be re-established. Swale work scheduled for 2025.</t>
  </si>
  <si>
    <t>Yes, CBs cleaned in fall 2024 and some CBs need minor repairs. There are a few outfalls with gully erosion. One of which will be addressed using GIA funding in 2025.</t>
  </si>
  <si>
    <t>Yes, CBs cleaned in fall 2024 and CBs need minor repairs.</t>
  </si>
  <si>
    <t>Yes, CBs cleaned in fall 2024.</t>
  </si>
  <si>
    <t>Yes, private CBs need cleaning. The Town will work with property owners to get the CBs cleaned.</t>
  </si>
  <si>
    <t>Yes, CBs need cleaning. Stormwater ponds will be retrofitted in 2025.</t>
  </si>
  <si>
    <t>Yes, CBs need to be cleaned.</t>
  </si>
  <si>
    <t>Yes, ditching needed for culverts.</t>
  </si>
  <si>
    <t xml:space="preserve">Yes, CBs need cleaning. Full inspection of stormwater pond was not complete due to safety issues. </t>
  </si>
  <si>
    <t>Susan's Place (Formerly Baymont Inn &amp; Suites)</t>
  </si>
  <si>
    <t xml:space="preserve">Champlain Housing Trust </t>
  </si>
  <si>
    <t>Yes, CBs cleaned in fall 2024 and some minor infrastructure repairs to the CBs.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</si>
</sst>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_(* \(#,##0.00\);_(* &quot;-&quot;??_);_(@_)"/>
    <numFmt numFmtId="164" formatCode="&quot;$&quot;#,##0"/>
    <numFmt numFmtId="165" formatCode="0.00000"/>
    <numFmt numFmtId="166" formatCode="_(* #,##0_);_(* \(#,##0\);_(* &quot;-&quot;??_);_(@_)"/>
    <numFmt numFmtId="167" formatCode="0.000000"/>
    <numFmt numFmtId="168" formatCode="#,##0.0"/>
    <numFmt numFmtId="169" formatCode="0.0"/>
    <numFmt numFmtId="170" formatCode="0.0%"/>
    <numFmt numFmtId="171" formatCode="yyyy"/>
    <numFmt numFmtId="172" formatCode="0.000"/>
  </numFmts>
  <fonts count="47">
    <font>
      <sz val="11"/>
      <color theme="1"/>
      <name val="Calibri"/>
      <family val="2"/>
      <scheme val="minor"/>
    </font>
    <font>
      <b/>
      <sz val="11"/>
      <color theme="1"/>
      <name val="Calibri"/>
      <family val="2"/>
      <scheme val="minor"/>
    </font>
    <font>
      <b/>
      <sz val="12"/>
      <color theme="1"/>
      <name val="Calibri"/>
      <family val="2"/>
      <scheme val="minor"/>
    </font>
    <font>
      <sz val="8"/>
      <color theme="1"/>
      <name val="Calibri"/>
      <family val="2"/>
      <scheme val="minor"/>
    </font>
    <font>
      <sz val="9"/>
      <color theme="1"/>
      <name val="Calibri"/>
      <family val="2"/>
      <scheme val="minor"/>
    </font>
    <font>
      <sz val="10"/>
      <color theme="1"/>
      <name val="Calibri"/>
      <family val="2"/>
      <scheme val="minor"/>
    </font>
    <font>
      <sz val="11"/>
      <name val="Calibri"/>
      <family val="2"/>
      <scheme val="minor"/>
    </font>
    <font>
      <b/>
      <sz val="11"/>
      <color rgb="FFFF0000"/>
      <name val="Calibri"/>
      <family val="2"/>
      <scheme val="minor"/>
    </font>
    <font>
      <b/>
      <sz val="11"/>
      <color rgb="FFFF0000"/>
      <name val="Wingdings"/>
      <charset val="2"/>
    </font>
    <font>
      <sz val="10"/>
      <name val="Arial"/>
      <family val="2"/>
    </font>
    <font>
      <b/>
      <sz val="10"/>
      <color theme="1"/>
      <name val="Calibri"/>
      <family val="2"/>
      <scheme val="minor"/>
    </font>
    <font>
      <b/>
      <sz val="11"/>
      <color rgb="FF000000"/>
      <name val="Calibri"/>
      <family val="2"/>
      <scheme val="minor"/>
    </font>
    <font>
      <sz val="11"/>
      <color rgb="FF000000"/>
      <name val="Calibri"/>
      <family val="2"/>
      <scheme val="minor"/>
    </font>
    <font>
      <sz val="10"/>
      <color theme="1"/>
      <name val="Arial"/>
      <family val="2"/>
    </font>
    <font>
      <sz val="8"/>
      <name val="Calibri"/>
      <family val="2"/>
      <scheme val="minor"/>
    </font>
    <font>
      <sz val="11"/>
      <color theme="1"/>
      <name val="Calibri"/>
      <family val="2"/>
      <scheme val="minor"/>
    </font>
    <font>
      <sz val="12"/>
      <color theme="1"/>
      <name val="Calibri"/>
      <family val="2"/>
      <scheme val="minor"/>
    </font>
    <font>
      <sz val="10"/>
      <name val="Calibri"/>
      <family val="2"/>
      <scheme val="minor"/>
    </font>
    <font>
      <sz val="9"/>
      <color indexed="81"/>
      <name val="Tahoma"/>
      <family val="2"/>
    </font>
    <font>
      <sz val="11"/>
      <color theme="1"/>
      <name val="Symbol"/>
      <family val="1"/>
      <charset val="2"/>
    </font>
    <font>
      <sz val="7"/>
      <color theme="1"/>
      <name val="Times New Roman"/>
      <family val="1"/>
    </font>
    <font>
      <u/>
      <sz val="11"/>
      <color theme="10"/>
      <name val="Calibri"/>
      <family val="2"/>
      <scheme val="minor"/>
    </font>
    <font>
      <b/>
      <sz val="14"/>
      <color theme="1"/>
      <name val="Calibri"/>
      <family val="2"/>
      <scheme val="minor"/>
    </font>
    <font>
      <b/>
      <sz val="12"/>
      <name val="Calibri"/>
      <family val="2"/>
      <scheme val="minor"/>
    </font>
    <font>
      <sz val="12"/>
      <name val="Calibri"/>
      <family val="2"/>
      <scheme val="minor"/>
    </font>
    <font>
      <sz val="12"/>
      <name val="Calibri"/>
      <family val="2"/>
    </font>
    <font>
      <sz val="11"/>
      <color theme="1"/>
      <name val="Calibri"/>
      <family val="2"/>
    </font>
    <font>
      <b/>
      <vertAlign val="superscript"/>
      <sz val="11"/>
      <color theme="1"/>
      <name val="Calibri"/>
      <family val="2"/>
      <scheme val="minor"/>
    </font>
    <font>
      <b/>
      <sz val="9"/>
      <color indexed="81"/>
      <name val="Tahoma"/>
      <family val="2"/>
    </font>
    <font>
      <sz val="11"/>
      <color theme="1" tint="0.249977111117893"/>
      <name val="Calibri"/>
      <family val="2"/>
      <scheme val="minor"/>
    </font>
    <font>
      <i/>
      <sz val="11"/>
      <color theme="4" tint="-0.249977111117893"/>
      <name val="Calibri"/>
      <family val="2"/>
      <scheme val="minor"/>
    </font>
    <font>
      <i/>
      <sz val="12"/>
      <color theme="1"/>
      <name val="Calibri"/>
      <family val="2"/>
      <scheme val="minor"/>
    </font>
    <font>
      <sz val="11"/>
      <color rgb="FFFF0000"/>
      <name val="Calibri"/>
      <family val="2"/>
      <scheme val="minor"/>
    </font>
    <font>
      <sz val="11"/>
      <color theme="7"/>
      <name val="Calibri"/>
      <family val="2"/>
      <scheme val="minor"/>
    </font>
    <font>
      <b/>
      <sz val="10"/>
      <color theme="1"/>
      <name val="Humnst777 Lt BT"/>
      <family val="2"/>
    </font>
    <font>
      <sz val="10"/>
      <color theme="1"/>
      <name val="Humnst777 Lt BT"/>
      <family val="2"/>
    </font>
    <font>
      <b/>
      <sz val="9"/>
      <color theme="0"/>
      <name val="Humnst777 Lt BT"/>
      <family val="2"/>
    </font>
    <font>
      <b/>
      <sz val="9"/>
      <color rgb="FFFFFFFF"/>
      <name val="Humnst777 Lt BT"/>
      <family val="2"/>
    </font>
    <font>
      <sz val="9"/>
      <name val="Humnst777 Lt BT"/>
      <family val="2"/>
    </font>
    <font>
      <i/>
      <sz val="9"/>
      <name val="Humnst777 Lt BT"/>
      <family val="2"/>
    </font>
    <font>
      <sz val="11"/>
      <color rgb="FF7030A0"/>
      <name val="Calibri"/>
      <family val="2"/>
      <scheme val="minor"/>
    </font>
    <font>
      <sz val="10"/>
      <color rgb="FF000000"/>
      <name val="Times New Roman"/>
      <family val="1"/>
    </font>
    <font>
      <sz val="7.5"/>
      <color rgb="FF000000"/>
      <name val="Calibri"/>
      <family val="2"/>
    </font>
    <font>
      <b/>
      <vertAlign val="superscript"/>
      <sz val="9"/>
      <color theme="0"/>
      <name val="Humnst777 Lt BT"/>
      <family val="2"/>
    </font>
    <font>
      <b/>
      <sz val="9"/>
      <name val="Humnst777 Lt BT"/>
      <family val="2"/>
    </font>
    <font>
      <sz val="9"/>
      <color indexed="81"/>
      <name val="Tahoma"/>
      <charset val="1"/>
    </font>
    <font>
      <b/>
      <sz val="9"/>
      <color indexed="81"/>
      <name val="Tahoma"/>
      <charset val="1"/>
    </font>
  </fonts>
  <fills count="22">
    <fill>
      <patternFill patternType="none"/>
    </fill>
    <fill>
      <patternFill patternType="gray125"/>
    </fill>
    <fill>
      <patternFill patternType="solid">
        <fgColor theme="8"/>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rgb="FF4472C4"/>
        <bgColor indexed="64"/>
      </patternFill>
    </fill>
    <fill>
      <patternFill patternType="solid">
        <fgColor rgb="FFD9E2F3"/>
        <bgColor indexed="64"/>
      </patternFill>
    </fill>
    <fill>
      <patternFill patternType="solid">
        <fgColor theme="0"/>
        <bgColor indexed="64"/>
      </patternFill>
    </fill>
    <fill>
      <patternFill patternType="solid">
        <fgColor theme="9"/>
        <bgColor indexed="64"/>
      </patternFill>
    </fill>
    <fill>
      <patternFill patternType="solid">
        <fgColor theme="4"/>
        <bgColor indexed="64"/>
      </patternFill>
    </fill>
    <fill>
      <patternFill patternType="solid">
        <fgColor theme="4" tint="0.59999389629810485"/>
        <bgColor indexed="64"/>
      </patternFill>
    </fill>
    <fill>
      <patternFill patternType="solid">
        <fgColor rgb="FFFFFF00"/>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7"/>
        <bgColor indexed="64"/>
      </patternFill>
    </fill>
    <fill>
      <patternFill patternType="solid">
        <fgColor theme="0" tint="-0.249977111117893"/>
        <bgColor indexed="64"/>
      </patternFill>
    </fill>
    <fill>
      <patternFill patternType="solid">
        <fgColor rgb="FF85837D"/>
        <bgColor indexed="64"/>
      </patternFill>
    </fill>
    <fill>
      <patternFill patternType="solid">
        <fgColor rgb="FFFF0000"/>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style="medium">
        <color rgb="FF4472C4"/>
      </left>
      <right/>
      <top style="medium">
        <color rgb="FF4472C4"/>
      </top>
      <bottom/>
      <diagonal/>
    </border>
    <border>
      <left style="medium">
        <color rgb="FF4472C4"/>
      </left>
      <right/>
      <top/>
      <bottom style="medium">
        <color rgb="FF8EAADB"/>
      </bottom>
      <diagonal/>
    </border>
    <border>
      <left/>
      <right/>
      <top style="medium">
        <color rgb="FF4472C4"/>
      </top>
      <bottom/>
      <diagonal/>
    </border>
    <border>
      <left/>
      <right/>
      <top/>
      <bottom style="medium">
        <color rgb="FF8EAADB"/>
      </bottom>
      <diagonal/>
    </border>
    <border>
      <left/>
      <right/>
      <top style="medium">
        <color rgb="FF4472C4"/>
      </top>
      <bottom style="medium">
        <color rgb="FF4472C4"/>
      </bottom>
      <diagonal/>
    </border>
    <border>
      <left/>
      <right style="medium">
        <color rgb="FF4472C4"/>
      </right>
      <top style="medium">
        <color rgb="FF4472C4"/>
      </top>
      <bottom/>
      <diagonal/>
    </border>
    <border>
      <left/>
      <right style="medium">
        <color rgb="FF4472C4"/>
      </right>
      <top/>
      <bottom style="medium">
        <color rgb="FF8EAADB"/>
      </bottom>
      <diagonal/>
    </border>
    <border>
      <left style="medium">
        <color rgb="FF8EAADB"/>
      </left>
      <right style="medium">
        <color rgb="FF8EAADB"/>
      </right>
      <top/>
      <bottom style="medium">
        <color rgb="FF8EAADB"/>
      </bottom>
      <diagonal/>
    </border>
    <border>
      <left/>
      <right style="medium">
        <color rgb="FF8EAADB"/>
      </right>
      <top/>
      <bottom style="medium">
        <color rgb="FF8EAADB"/>
      </bottom>
      <diagonal/>
    </border>
    <border>
      <left style="medium">
        <color rgb="FF8EAADB"/>
      </left>
      <right/>
      <top style="medium">
        <color rgb="FF8EAADB"/>
      </top>
      <bottom style="medium">
        <color rgb="FF8EAADB"/>
      </bottom>
      <diagonal/>
    </border>
    <border>
      <left/>
      <right style="medium">
        <color rgb="FF8EAADB"/>
      </right>
      <top style="medium">
        <color rgb="FF8EAADB"/>
      </top>
      <bottom style="medium">
        <color rgb="FF8EAADB"/>
      </bottom>
      <diagonal/>
    </border>
    <border>
      <left/>
      <right/>
      <top style="medium">
        <color rgb="FF8EAADB"/>
      </top>
      <bottom style="medium">
        <color rgb="FF8EAADB"/>
      </bottom>
      <diagonal/>
    </border>
    <border>
      <left style="thin">
        <color theme="6"/>
      </left>
      <right style="thin">
        <color theme="6"/>
      </right>
      <top style="thin">
        <color theme="6"/>
      </top>
      <bottom style="thin">
        <color theme="6"/>
      </bottom>
      <diagonal/>
    </border>
    <border>
      <left style="thin">
        <color theme="6"/>
      </left>
      <right style="thin">
        <color theme="6"/>
      </right>
      <top/>
      <bottom style="thin">
        <color theme="6"/>
      </bottom>
      <diagonal/>
    </border>
    <border>
      <left style="thin">
        <color indexed="64"/>
      </left>
      <right/>
      <top/>
      <bottom/>
      <diagonal/>
    </border>
    <border>
      <left/>
      <right style="thin">
        <color indexed="64"/>
      </right>
      <top/>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theme="2" tint="-0.249977111117893"/>
      </left>
      <right style="thin">
        <color theme="2" tint="-0.249977111117893"/>
      </right>
      <top/>
      <bottom style="thin">
        <color theme="2" tint="-0.249977111117893"/>
      </bottom>
      <diagonal/>
    </border>
    <border>
      <left/>
      <right style="thin">
        <color theme="2" tint="-0.249977111117893"/>
      </right>
      <top style="thin">
        <color theme="2" tint="-0.249977111117893"/>
      </top>
      <bottom style="thin">
        <color theme="2" tint="-0.249977111117893"/>
      </bottom>
      <diagonal/>
    </border>
    <border>
      <left/>
      <right style="thin">
        <color theme="2" tint="-0.249977111117893"/>
      </right>
      <top/>
      <bottom style="thin">
        <color theme="2" tint="-0.249977111117893"/>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000000"/>
      </left>
      <right style="thin">
        <color rgb="FF000000"/>
      </right>
      <top style="thin">
        <color rgb="FF000000"/>
      </top>
      <bottom style="thin">
        <color rgb="FF000000"/>
      </bottom>
      <diagonal/>
    </border>
  </borders>
  <cellStyleXfs count="5">
    <xf numFmtId="0" fontId="0" fillId="0" borderId="0"/>
    <xf numFmtId="43" fontId="15" fillId="0" borderId="0" applyFont="0" applyFill="0" applyBorder="0" applyAlignment="0" applyProtection="0"/>
    <xf numFmtId="0" fontId="21" fillId="0" borderId="0" applyNumberFormat="0" applyFill="0" applyBorder="0" applyAlignment="0" applyProtection="0"/>
    <xf numFmtId="9" fontId="15" fillId="0" borderId="0" applyFont="0" applyFill="0" applyBorder="0" applyAlignment="0" applyProtection="0"/>
    <xf numFmtId="0" fontId="41" fillId="0" borderId="0"/>
  </cellStyleXfs>
  <cellXfs count="295">
    <xf numFmtId="0" fontId="0" fillId="0" borderId="0" xfId="0"/>
    <xf numFmtId="0" fontId="1" fillId="0" borderId="0" xfId="0" applyFont="1"/>
    <xf numFmtId="0" fontId="2" fillId="0" borderId="0" xfId="0" applyFont="1" applyAlignment="1">
      <alignment wrapText="1"/>
    </xf>
    <xf numFmtId="0" fontId="1" fillId="3" borderId="1" xfId="0" applyFont="1" applyFill="1" applyBorder="1" applyAlignment="1">
      <alignment wrapText="1"/>
    </xf>
    <xf numFmtId="0" fontId="0" fillId="0" borderId="1" xfId="0" applyBorder="1"/>
    <xf numFmtId="0" fontId="0" fillId="0" borderId="1" xfId="0" applyBorder="1" applyAlignment="1">
      <alignment wrapText="1"/>
    </xf>
    <xf numFmtId="0" fontId="1" fillId="0" borderId="1" xfId="0" applyFont="1" applyBorder="1"/>
    <xf numFmtId="0" fontId="0" fillId="0" borderId="1" xfId="0" applyBorder="1" applyAlignment="1">
      <alignment horizontal="left" vertical="center" wrapText="1"/>
    </xf>
    <xf numFmtId="0" fontId="0" fillId="0" borderId="1" xfId="0" applyBorder="1" applyAlignment="1">
      <alignment horizontal="center"/>
    </xf>
    <xf numFmtId="0" fontId="1" fillId="3" borderId="1" xfId="0" applyFont="1" applyFill="1" applyBorder="1" applyAlignment="1">
      <alignment horizontal="left" wrapText="1"/>
    </xf>
    <xf numFmtId="0" fontId="7" fillId="0" borderId="1" xfId="0" applyFont="1" applyBorder="1" applyAlignment="1">
      <alignment wrapText="1"/>
    </xf>
    <xf numFmtId="0" fontId="8" fillId="0" borderId="1" xfId="0" applyFont="1" applyBorder="1" applyAlignment="1">
      <alignment horizontal="center"/>
    </xf>
    <xf numFmtId="0" fontId="9" fillId="0" borderId="0" xfId="0" applyFont="1"/>
    <xf numFmtId="0" fontId="6" fillId="0" borderId="0" xfId="0" applyFont="1"/>
    <xf numFmtId="0" fontId="0" fillId="0" borderId="5" xfId="0" applyBorder="1"/>
    <xf numFmtId="0" fontId="1" fillId="0" borderId="5" xfId="0" applyFont="1" applyBorder="1"/>
    <xf numFmtId="0" fontId="0" fillId="0" borderId="5" xfId="0" applyBorder="1" applyAlignment="1">
      <alignment wrapText="1"/>
    </xf>
    <xf numFmtId="0" fontId="5" fillId="0" borderId="0" xfId="0" applyFont="1"/>
    <xf numFmtId="0" fontId="12" fillId="9" borderId="13" xfId="0" applyFont="1" applyFill="1" applyBorder="1" applyAlignment="1">
      <alignment horizontal="center" vertical="center"/>
    </xf>
    <xf numFmtId="0" fontId="12" fillId="9" borderId="14" xfId="0" applyFont="1" applyFill="1" applyBorder="1" applyAlignment="1">
      <alignment horizontal="center" vertical="center"/>
    </xf>
    <xf numFmtId="0" fontId="9" fillId="0" borderId="13" xfId="0" applyFont="1" applyBorder="1" applyAlignment="1">
      <alignment vertical="center"/>
    </xf>
    <xf numFmtId="0" fontId="9" fillId="0" borderId="14" xfId="0" applyFont="1" applyBorder="1" applyAlignment="1">
      <alignment vertical="center"/>
    </xf>
    <xf numFmtId="0" fontId="0" fillId="0" borderId="14" xfId="0" applyBorder="1" applyAlignment="1">
      <alignment horizontal="center" vertical="center"/>
    </xf>
    <xf numFmtId="0" fontId="13" fillId="10" borderId="13" xfId="0" applyFont="1" applyFill="1" applyBorder="1" applyAlignment="1">
      <alignment vertical="center"/>
    </xf>
    <xf numFmtId="0" fontId="13" fillId="10" borderId="14" xfId="0" applyFont="1" applyFill="1" applyBorder="1" applyAlignment="1">
      <alignment vertical="center"/>
    </xf>
    <xf numFmtId="0" fontId="12" fillId="10" borderId="14" xfId="0" applyFont="1" applyFill="1" applyBorder="1" applyAlignment="1">
      <alignment horizontal="center" vertical="center"/>
    </xf>
    <xf numFmtId="0" fontId="3" fillId="0" borderId="0" xfId="0" applyFont="1" applyAlignment="1">
      <alignment vertical="center"/>
    </xf>
    <xf numFmtId="0" fontId="0" fillId="7" borderId="14" xfId="0" applyFill="1" applyBorder="1" applyAlignment="1">
      <alignment horizontal="center" vertical="center"/>
    </xf>
    <xf numFmtId="0" fontId="12" fillId="7" borderId="14" xfId="0" applyFont="1" applyFill="1" applyBorder="1" applyAlignment="1">
      <alignment horizontal="center" vertical="center"/>
    </xf>
    <xf numFmtId="9" fontId="5" fillId="8" borderId="1" xfId="0" applyNumberFormat="1" applyFont="1" applyFill="1" applyBorder="1" applyAlignment="1">
      <alignment horizontal="center" vertical="center"/>
    </xf>
    <xf numFmtId="9" fontId="10" fillId="5" borderId="1" xfId="0" applyNumberFormat="1" applyFont="1" applyFill="1" applyBorder="1" applyAlignment="1">
      <alignment horizontal="center" vertical="center"/>
    </xf>
    <xf numFmtId="9" fontId="5" fillId="5" borderId="1" xfId="0" applyNumberFormat="1" applyFont="1" applyFill="1" applyBorder="1" applyAlignment="1">
      <alignment horizontal="center" vertical="center"/>
    </xf>
    <xf numFmtId="9" fontId="5" fillId="0" borderId="1" xfId="0" applyNumberFormat="1" applyFont="1" applyBorder="1" applyAlignment="1">
      <alignment horizontal="center" vertical="center"/>
    </xf>
    <xf numFmtId="9" fontId="5" fillId="4" borderId="1" xfId="0" applyNumberFormat="1" applyFont="1" applyFill="1" applyBorder="1" applyAlignment="1">
      <alignment horizontal="center" vertical="center"/>
    </xf>
    <xf numFmtId="2" fontId="5" fillId="0" borderId="1" xfId="0" applyNumberFormat="1" applyFont="1" applyBorder="1" applyAlignment="1">
      <alignment horizontal="center" vertical="center"/>
    </xf>
    <xf numFmtId="0" fontId="12" fillId="9" borderId="14" xfId="0" applyFont="1" applyFill="1" applyBorder="1" applyAlignment="1">
      <alignment horizontal="center" vertical="center" wrapText="1"/>
    </xf>
    <xf numFmtId="0" fontId="0" fillId="0" borderId="0" xfId="0" applyProtection="1">
      <protection locked="0"/>
    </xf>
    <xf numFmtId="2" fontId="0" fillId="0" borderId="0" xfId="0" applyNumberFormat="1" applyProtection="1">
      <protection locked="0"/>
    </xf>
    <xf numFmtId="165" fontId="0" fillId="0" borderId="0" xfId="0" applyNumberFormat="1" applyProtection="1">
      <protection locked="0"/>
    </xf>
    <xf numFmtId="14" fontId="0" fillId="0" borderId="0" xfId="0" applyNumberFormat="1" applyProtection="1">
      <protection locked="0"/>
    </xf>
    <xf numFmtId="166" fontId="0" fillId="0" borderId="0" xfId="1" applyNumberFormat="1" applyFont="1" applyProtection="1">
      <protection locked="0"/>
    </xf>
    <xf numFmtId="0" fontId="17" fillId="0" borderId="0" xfId="0" applyFont="1"/>
    <xf numFmtId="0" fontId="0" fillId="11" borderId="0" xfId="0" applyFill="1"/>
    <xf numFmtId="0" fontId="0" fillId="11" borderId="0" xfId="0" applyFill="1" applyAlignment="1">
      <alignment vertical="center" wrapText="1"/>
    </xf>
    <xf numFmtId="0" fontId="21" fillId="11" borderId="0" xfId="2" applyFill="1"/>
    <xf numFmtId="0" fontId="0" fillId="11" borderId="0" xfId="0" applyFill="1" applyAlignment="1">
      <alignment wrapText="1"/>
    </xf>
    <xf numFmtId="0" fontId="19" fillId="11" borderId="0" xfId="0" applyFont="1" applyFill="1" applyAlignment="1">
      <alignment horizontal="left" vertical="center" wrapText="1" indent="2"/>
    </xf>
    <xf numFmtId="0" fontId="2" fillId="11" borderId="0" xfId="0" applyFont="1" applyFill="1" applyAlignment="1">
      <alignment vertical="center"/>
    </xf>
    <xf numFmtId="0" fontId="22" fillId="11" borderId="0" xfId="0" applyFont="1" applyFill="1" applyAlignment="1">
      <alignment vertical="center"/>
    </xf>
    <xf numFmtId="0" fontId="23" fillId="11" borderId="0" xfId="2" applyFont="1" applyFill="1"/>
    <xf numFmtId="0" fontId="0" fillId="11" borderId="0" xfId="0" applyFill="1" applyAlignment="1">
      <alignment horizontal="left" vertical="center" wrapText="1" indent="2"/>
    </xf>
    <xf numFmtId="0" fontId="24" fillId="11" borderId="0" xfId="2" applyFont="1" applyFill="1" applyAlignment="1">
      <alignment horizontal="left" indent="2"/>
    </xf>
    <xf numFmtId="0" fontId="2" fillId="2" borderId="0" xfId="0" applyFont="1" applyFill="1" applyAlignment="1">
      <alignment wrapText="1"/>
    </xf>
    <xf numFmtId="165" fontId="2" fillId="2" borderId="0" xfId="0" applyNumberFormat="1" applyFont="1" applyFill="1" applyAlignment="1">
      <alignment wrapText="1"/>
    </xf>
    <xf numFmtId="0" fontId="2" fillId="12" borderId="0" xfId="0" applyFont="1" applyFill="1" applyAlignment="1">
      <alignment wrapText="1"/>
    </xf>
    <xf numFmtId="0" fontId="2" fillId="3" borderId="0" xfId="0" applyFont="1" applyFill="1" applyProtection="1">
      <protection locked="0"/>
    </xf>
    <xf numFmtId="0" fontId="1" fillId="3" borderId="0" xfId="0" applyFont="1" applyFill="1" applyProtection="1">
      <protection locked="0"/>
    </xf>
    <xf numFmtId="0" fontId="2" fillId="6" borderId="20" xfId="0" applyFont="1" applyFill="1" applyBorder="1" applyProtection="1">
      <protection locked="0"/>
    </xf>
    <xf numFmtId="0" fontId="2" fillId="6" borderId="0" xfId="0" applyFont="1" applyFill="1" applyProtection="1">
      <protection locked="0"/>
    </xf>
    <xf numFmtId="0" fontId="1" fillId="6" borderId="0" xfId="0" applyFont="1" applyFill="1" applyProtection="1">
      <protection locked="0"/>
    </xf>
    <xf numFmtId="2" fontId="1" fillId="3" borderId="0" xfId="0" applyNumberFormat="1" applyFont="1" applyFill="1" applyAlignment="1" applyProtection="1">
      <alignment horizontal="center"/>
      <protection locked="0"/>
    </xf>
    <xf numFmtId="2" fontId="2" fillId="14" borderId="0" xfId="0" applyNumberFormat="1" applyFont="1" applyFill="1" applyAlignment="1" applyProtection="1">
      <alignment horizontal="left"/>
      <protection locked="0"/>
    </xf>
    <xf numFmtId="2" fontId="1" fillId="14" borderId="0" xfId="0" applyNumberFormat="1" applyFont="1" applyFill="1" applyAlignment="1" applyProtection="1">
      <alignment horizontal="center"/>
      <protection locked="0"/>
    </xf>
    <xf numFmtId="0" fontId="0" fillId="0" borderId="19" xfId="0" applyBorder="1" applyProtection="1">
      <protection locked="0"/>
    </xf>
    <xf numFmtId="9" fontId="29" fillId="0" borderId="19" xfId="0" applyNumberFormat="1" applyFont="1" applyBorder="1" applyProtection="1">
      <protection locked="0"/>
    </xf>
    <xf numFmtId="0" fontId="0" fillId="0" borderId="18" xfId="0" applyBorder="1" applyProtection="1">
      <protection locked="0"/>
    </xf>
    <xf numFmtId="0" fontId="0" fillId="0" borderId="22" xfId="0" applyBorder="1" applyProtection="1">
      <protection locked="0"/>
    </xf>
    <xf numFmtId="165" fontId="0" fillId="0" borderId="22" xfId="0" applyNumberFormat="1" applyBorder="1" applyProtection="1">
      <protection locked="0"/>
    </xf>
    <xf numFmtId="49" fontId="0" fillId="0" borderId="22" xfId="0" applyNumberFormat="1" applyBorder="1" applyProtection="1">
      <protection locked="0"/>
    </xf>
    <xf numFmtId="0" fontId="0" fillId="0" borderId="23" xfId="0" applyBorder="1" applyProtection="1">
      <protection locked="0"/>
    </xf>
    <xf numFmtId="164" fontId="0" fillId="0" borderId="23" xfId="0" applyNumberFormat="1" applyBorder="1" applyProtection="1">
      <protection locked="0"/>
    </xf>
    <xf numFmtId="0" fontId="2" fillId="2" borderId="0" xfId="0" applyFont="1" applyFill="1"/>
    <xf numFmtId="0" fontId="21" fillId="0" borderId="0" xfId="2" applyAlignment="1">
      <alignment horizontal="left" vertical="top" indent="2"/>
    </xf>
    <xf numFmtId="0" fontId="21" fillId="11" borderId="0" xfId="2" applyFill="1" applyAlignment="1">
      <alignment horizontal="left" indent="2"/>
    </xf>
    <xf numFmtId="0" fontId="2" fillId="3" borderId="0" xfId="0" applyFont="1" applyFill="1" applyAlignment="1" applyProtection="1">
      <alignment horizontal="left"/>
      <protection locked="0"/>
    </xf>
    <xf numFmtId="2" fontId="2" fillId="6" borderId="0" xfId="0" applyNumberFormat="1" applyFont="1" applyFill="1" applyAlignment="1" applyProtection="1">
      <alignment horizontal="center"/>
      <protection locked="0"/>
    </xf>
    <xf numFmtId="10" fontId="2" fillId="6" borderId="0" xfId="0" applyNumberFormat="1" applyFont="1" applyFill="1" applyAlignment="1" applyProtection="1">
      <alignment horizontal="center"/>
      <protection locked="0"/>
    </xf>
    <xf numFmtId="2" fontId="2" fillId="6" borderId="21" xfId="0" applyNumberFormat="1" applyFont="1" applyFill="1" applyBorder="1" applyAlignment="1" applyProtection="1">
      <alignment horizontal="center"/>
      <protection locked="0"/>
    </xf>
    <xf numFmtId="0" fontId="1" fillId="2" borderId="20" xfId="0" applyFont="1" applyFill="1" applyBorder="1" applyProtection="1">
      <protection locked="0"/>
    </xf>
    <xf numFmtId="0" fontId="1" fillId="2" borderId="0" xfId="0" applyFont="1" applyFill="1" applyAlignment="1" applyProtection="1">
      <alignment wrapText="1"/>
      <protection locked="0"/>
    </xf>
    <xf numFmtId="165" fontId="1" fillId="2" borderId="0" xfId="0" applyNumberFormat="1" applyFont="1" applyFill="1" applyAlignment="1" applyProtection="1">
      <alignment wrapText="1"/>
      <protection locked="0"/>
    </xf>
    <xf numFmtId="0" fontId="1" fillId="12" borderId="0" xfId="0" applyFont="1" applyFill="1" applyAlignment="1" applyProtection="1">
      <alignment wrapText="1"/>
      <protection locked="0"/>
    </xf>
    <xf numFmtId="0" fontId="1" fillId="13" borderId="0" xfId="0" applyFont="1" applyFill="1" applyAlignment="1" applyProtection="1">
      <alignment wrapText="1"/>
      <protection locked="0"/>
    </xf>
    <xf numFmtId="2" fontId="1" fillId="12" borderId="0" xfId="0" applyNumberFormat="1" applyFont="1" applyFill="1" applyAlignment="1" applyProtection="1">
      <alignment wrapText="1"/>
      <protection locked="0"/>
    </xf>
    <xf numFmtId="2" fontId="1" fillId="2" borderId="0" xfId="0" applyNumberFormat="1" applyFont="1" applyFill="1" applyAlignment="1" applyProtection="1">
      <alignment wrapText="1"/>
      <protection locked="0"/>
    </xf>
    <xf numFmtId="10" fontId="1" fillId="2" borderId="0" xfId="0" applyNumberFormat="1" applyFont="1" applyFill="1" applyAlignment="1" applyProtection="1">
      <alignment wrapText="1"/>
      <protection locked="0"/>
    </xf>
    <xf numFmtId="0" fontId="1" fillId="2" borderId="21" xfId="0" applyFont="1" applyFill="1" applyBorder="1" applyAlignment="1" applyProtection="1">
      <alignment wrapText="1"/>
      <protection locked="0"/>
    </xf>
    <xf numFmtId="0" fontId="16" fillId="0" borderId="0" xfId="0" applyFont="1" applyProtection="1">
      <protection locked="0"/>
    </xf>
    <xf numFmtId="165" fontId="0" fillId="0" borderId="19" xfId="0" applyNumberFormat="1" applyBorder="1" applyProtection="1">
      <protection locked="0"/>
    </xf>
    <xf numFmtId="164" fontId="0" fillId="0" borderId="19" xfId="0" applyNumberFormat="1" applyBorder="1" applyProtection="1">
      <protection locked="0"/>
    </xf>
    <xf numFmtId="14" fontId="0" fillId="0" borderId="19" xfId="0" applyNumberFormat="1" applyBorder="1" applyProtection="1">
      <protection locked="0"/>
    </xf>
    <xf numFmtId="166" fontId="0" fillId="0" borderId="19" xfId="1" applyNumberFormat="1" applyFont="1" applyFill="1" applyBorder="1" applyProtection="1">
      <protection locked="0"/>
    </xf>
    <xf numFmtId="2" fontId="0" fillId="0" borderId="19" xfId="0" applyNumberFormat="1" applyBorder="1" applyProtection="1">
      <protection locked="0"/>
    </xf>
    <xf numFmtId="3" fontId="0" fillId="0" borderId="19" xfId="0" applyNumberFormat="1" applyBorder="1" applyProtection="1">
      <protection locked="0"/>
    </xf>
    <xf numFmtId="165" fontId="0" fillId="0" borderId="18" xfId="0" applyNumberFormat="1" applyBorder="1" applyProtection="1">
      <protection locked="0"/>
    </xf>
    <xf numFmtId="164" fontId="0" fillId="0" borderId="18" xfId="0" applyNumberFormat="1" applyBorder="1" applyProtection="1">
      <protection locked="0"/>
    </xf>
    <xf numFmtId="14" fontId="0" fillId="0" borderId="18" xfId="0" applyNumberFormat="1" applyBorder="1" applyProtection="1">
      <protection locked="0"/>
    </xf>
    <xf numFmtId="166" fontId="0" fillId="0" borderId="18" xfId="1" applyNumberFormat="1" applyFont="1" applyFill="1" applyBorder="1" applyProtection="1">
      <protection locked="0"/>
    </xf>
    <xf numFmtId="2" fontId="0" fillId="0" borderId="18" xfId="0" applyNumberFormat="1" applyBorder="1" applyProtection="1">
      <protection locked="0"/>
    </xf>
    <xf numFmtId="3" fontId="0" fillId="0" borderId="18" xfId="0" applyNumberFormat="1" applyBorder="1" applyProtection="1">
      <protection locked="0"/>
    </xf>
    <xf numFmtId="49" fontId="0" fillId="0" borderId="18" xfId="0" applyNumberFormat="1" applyBorder="1" applyProtection="1">
      <protection locked="0"/>
    </xf>
    <xf numFmtId="10" fontId="0" fillId="0" borderId="0" xfId="0" applyNumberFormat="1" applyProtection="1">
      <protection locked="0"/>
    </xf>
    <xf numFmtId="2" fontId="0" fillId="0" borderId="19" xfId="0" applyNumberFormat="1" applyBorder="1"/>
    <xf numFmtId="10" fontId="0" fillId="0" borderId="19" xfId="0" applyNumberFormat="1" applyBorder="1"/>
    <xf numFmtId="2" fontId="0" fillId="0" borderId="18" xfId="0" applyNumberFormat="1" applyBorder="1"/>
    <xf numFmtId="0" fontId="30" fillId="11" borderId="0" xfId="0" applyFont="1" applyFill="1" applyAlignment="1">
      <alignment horizontal="center"/>
    </xf>
    <xf numFmtId="0" fontId="31" fillId="11" borderId="0" xfId="0" applyFont="1" applyFill="1" applyAlignment="1">
      <alignment vertical="center"/>
    </xf>
    <xf numFmtId="0" fontId="1" fillId="2" borderId="0" xfId="1" applyNumberFormat="1" applyFont="1" applyFill="1" applyBorder="1" applyAlignment="1" applyProtection="1">
      <alignment horizontal="left" wrapText="1"/>
      <protection locked="0"/>
    </xf>
    <xf numFmtId="0" fontId="32" fillId="0" borderId="0" xfId="0" quotePrefix="1" applyFont="1" applyProtection="1">
      <protection locked="0"/>
    </xf>
    <xf numFmtId="0" fontId="32" fillId="0" borderId="18" xfId="0" quotePrefix="1" applyFont="1" applyBorder="1" applyProtection="1">
      <protection locked="0"/>
    </xf>
    <xf numFmtId="0" fontId="32" fillId="0" borderId="18" xfId="0" applyFont="1" applyBorder="1" applyProtection="1">
      <protection locked="0"/>
    </xf>
    <xf numFmtId="165" fontId="32" fillId="0" borderId="18" xfId="0" applyNumberFormat="1" applyFont="1" applyBorder="1" applyProtection="1">
      <protection locked="0"/>
    </xf>
    <xf numFmtId="164" fontId="32" fillId="0" borderId="18" xfId="0" applyNumberFormat="1" applyFont="1" applyBorder="1" applyProtection="1">
      <protection locked="0"/>
    </xf>
    <xf numFmtId="166" fontId="32" fillId="0" borderId="18" xfId="1" applyNumberFormat="1" applyFont="1" applyFill="1" applyBorder="1" applyProtection="1">
      <protection locked="0"/>
    </xf>
    <xf numFmtId="2" fontId="32" fillId="0" borderId="18" xfId="0" applyNumberFormat="1" applyFont="1" applyBorder="1"/>
    <xf numFmtId="10" fontId="32" fillId="0" borderId="19" xfId="0" applyNumberFormat="1" applyFont="1" applyBorder="1"/>
    <xf numFmtId="2" fontId="32" fillId="0" borderId="18" xfId="0" applyNumberFormat="1" applyFont="1" applyBorder="1" applyProtection="1">
      <protection locked="0"/>
    </xf>
    <xf numFmtId="9" fontId="32" fillId="0" borderId="19" xfId="0" applyNumberFormat="1" applyFont="1" applyBorder="1" applyProtection="1">
      <protection locked="0"/>
    </xf>
    <xf numFmtId="2" fontId="32" fillId="0" borderId="19" xfId="0" applyNumberFormat="1" applyFont="1" applyBorder="1"/>
    <xf numFmtId="3" fontId="32" fillId="0" borderId="18" xfId="0" applyNumberFormat="1" applyFont="1" applyBorder="1" applyProtection="1">
      <protection locked="0"/>
    </xf>
    <xf numFmtId="2" fontId="32" fillId="0" borderId="0" xfId="0" applyNumberFormat="1" applyFont="1" applyProtection="1">
      <protection locked="0"/>
    </xf>
    <xf numFmtId="0" fontId="32" fillId="0" borderId="0" xfId="0" applyFont="1" applyProtection="1">
      <protection locked="0"/>
    </xf>
    <xf numFmtId="2" fontId="32" fillId="0" borderId="19" xfId="0" applyNumberFormat="1" applyFont="1" applyBorder="1" applyProtection="1">
      <protection locked="0"/>
    </xf>
    <xf numFmtId="0" fontId="33" fillId="15" borderId="18" xfId="0" applyFont="1" applyFill="1" applyBorder="1" applyProtection="1">
      <protection locked="0"/>
    </xf>
    <xf numFmtId="0" fontId="6" fillId="0" borderId="19" xfId="0" applyFont="1" applyBorder="1" applyProtection="1">
      <protection locked="0"/>
    </xf>
    <xf numFmtId="0" fontId="0" fillId="16" borderId="0" xfId="0" applyFill="1" applyProtection="1">
      <protection locked="0"/>
    </xf>
    <xf numFmtId="0" fontId="0" fillId="16" borderId="18" xfId="0" applyFill="1" applyBorder="1" applyProtection="1">
      <protection locked="0"/>
    </xf>
    <xf numFmtId="2" fontId="0" fillId="16" borderId="18" xfId="0" applyNumberFormat="1" applyFill="1" applyBorder="1" applyProtection="1">
      <protection locked="0"/>
    </xf>
    <xf numFmtId="2" fontId="0" fillId="16" borderId="18" xfId="0" applyNumberFormat="1" applyFill="1" applyBorder="1"/>
    <xf numFmtId="10" fontId="0" fillId="16" borderId="19" xfId="0" applyNumberFormat="1" applyFill="1" applyBorder="1"/>
    <xf numFmtId="2" fontId="0" fillId="16" borderId="19" xfId="0" applyNumberFormat="1" applyFill="1" applyBorder="1"/>
    <xf numFmtId="3" fontId="0" fillId="16" borderId="18" xfId="0" applyNumberFormat="1" applyFill="1" applyBorder="1" applyProtection="1">
      <protection locked="0"/>
    </xf>
    <xf numFmtId="2" fontId="0" fillId="16" borderId="0" xfId="0" applyNumberFormat="1" applyFill="1" applyProtection="1">
      <protection locked="0"/>
    </xf>
    <xf numFmtId="0" fontId="6" fillId="0" borderId="0" xfId="0" applyFont="1" applyProtection="1">
      <protection locked="0"/>
    </xf>
    <xf numFmtId="0" fontId="6" fillId="0" borderId="18" xfId="0" applyFont="1" applyBorder="1" applyProtection="1">
      <protection locked="0"/>
    </xf>
    <xf numFmtId="165" fontId="6" fillId="0" borderId="18" xfId="0" applyNumberFormat="1" applyFont="1" applyBorder="1" applyProtection="1">
      <protection locked="0"/>
    </xf>
    <xf numFmtId="164" fontId="6" fillId="0" borderId="18" xfId="0" applyNumberFormat="1" applyFont="1" applyBorder="1" applyProtection="1">
      <protection locked="0"/>
    </xf>
    <xf numFmtId="2" fontId="6" fillId="0" borderId="18" xfId="0" applyNumberFormat="1" applyFont="1" applyBorder="1" applyProtection="1">
      <protection locked="0"/>
    </xf>
    <xf numFmtId="166" fontId="6" fillId="0" borderId="18" xfId="1" applyNumberFormat="1" applyFont="1" applyFill="1" applyBorder="1" applyProtection="1">
      <protection locked="0"/>
    </xf>
    <xf numFmtId="2" fontId="6" fillId="0" borderId="18" xfId="0" applyNumberFormat="1" applyFont="1" applyBorder="1"/>
    <xf numFmtId="10" fontId="6" fillId="0" borderId="19" xfId="0" applyNumberFormat="1" applyFont="1" applyBorder="1"/>
    <xf numFmtId="9" fontId="6" fillId="0" borderId="19" xfId="0" applyNumberFormat="1" applyFont="1" applyBorder="1" applyProtection="1">
      <protection locked="0"/>
    </xf>
    <xf numFmtId="2" fontId="6" fillId="0" borderId="19" xfId="0" applyNumberFormat="1" applyFont="1" applyBorder="1"/>
    <xf numFmtId="3" fontId="6" fillId="0" borderId="18" xfId="0" applyNumberFormat="1" applyFont="1" applyBorder="1" applyProtection="1">
      <protection locked="0"/>
    </xf>
    <xf numFmtId="2" fontId="6" fillId="0" borderId="0" xfId="0" applyNumberFormat="1" applyFont="1" applyProtection="1">
      <protection locked="0"/>
    </xf>
    <xf numFmtId="49" fontId="0" fillId="0" borderId="22" xfId="0" applyNumberFormat="1" applyBorder="1" applyAlignment="1" applyProtection="1">
      <alignment horizontal="right"/>
      <protection locked="0"/>
    </xf>
    <xf numFmtId="14" fontId="0" fillId="0" borderId="22" xfId="0" applyNumberFormat="1" applyBorder="1" applyProtection="1">
      <protection locked="0"/>
    </xf>
    <xf numFmtId="0" fontId="0" fillId="0" borderId="24" xfId="0" applyBorder="1" applyProtection="1">
      <protection locked="0"/>
    </xf>
    <xf numFmtId="0" fontId="0" fillId="0" borderId="25" xfId="0" applyBorder="1" applyProtection="1">
      <protection locked="0"/>
    </xf>
    <xf numFmtId="167" fontId="0" fillId="0" borderId="23" xfId="0" applyNumberFormat="1" applyBorder="1" applyProtection="1">
      <protection locked="0"/>
    </xf>
    <xf numFmtId="167" fontId="0" fillId="0" borderId="22" xfId="0" applyNumberFormat="1" applyBorder="1" applyProtection="1">
      <protection locked="0"/>
    </xf>
    <xf numFmtId="0" fontId="0" fillId="0" borderId="22" xfId="0" applyBorder="1" applyAlignment="1" applyProtection="1">
      <alignment wrapText="1"/>
      <protection locked="0"/>
    </xf>
    <xf numFmtId="0" fontId="0" fillId="0" borderId="26" xfId="0" applyBorder="1"/>
    <xf numFmtId="0" fontId="1" fillId="7" borderId="1" xfId="0" applyFont="1" applyFill="1" applyBorder="1"/>
    <xf numFmtId="0" fontId="1" fillId="0" borderId="26" xfId="0" applyFont="1" applyBorder="1"/>
    <xf numFmtId="0" fontId="1" fillId="7" borderId="1" xfId="0" applyFont="1" applyFill="1" applyBorder="1" applyAlignment="1">
      <alignment horizontal="left"/>
    </xf>
    <xf numFmtId="0" fontId="0" fillId="17" borderId="1" xfId="0" applyFill="1" applyBorder="1"/>
    <xf numFmtId="0" fontId="0" fillId="17" borderId="26" xfId="0" applyFill="1" applyBorder="1"/>
    <xf numFmtId="0" fontId="0" fillId="7" borderId="1" xfId="0" applyFill="1" applyBorder="1"/>
    <xf numFmtId="0" fontId="0" fillId="15" borderId="1" xfId="0" applyFill="1" applyBorder="1"/>
    <xf numFmtId="0" fontId="0" fillId="4" borderId="1" xfId="0" applyFill="1" applyBorder="1"/>
    <xf numFmtId="0" fontId="0" fillId="4" borderId="1" xfId="0" applyFill="1" applyBorder="1" applyAlignment="1">
      <alignment vertical="center"/>
    </xf>
    <xf numFmtId="0" fontId="0" fillId="4" borderId="26" xfId="0" applyFill="1" applyBorder="1" applyAlignment="1">
      <alignment vertical="center"/>
    </xf>
    <xf numFmtId="0" fontId="0" fillId="4" borderId="1" xfId="0" applyFill="1" applyBorder="1" applyAlignment="1">
      <alignment vertical="center" wrapText="1"/>
    </xf>
    <xf numFmtId="0" fontId="0" fillId="4" borderId="1" xfId="0" applyFill="1" applyBorder="1" applyAlignment="1">
      <alignment horizontal="left" vertical="center"/>
    </xf>
    <xf numFmtId="0" fontId="0" fillId="4" borderId="27" xfId="0" applyFill="1" applyBorder="1" applyAlignment="1">
      <alignment vertical="center"/>
    </xf>
    <xf numFmtId="0" fontId="0" fillId="4" borderId="28" xfId="0" applyFill="1" applyBorder="1" applyAlignment="1">
      <alignment vertical="center"/>
    </xf>
    <xf numFmtId="0" fontId="0" fillId="4" borderId="29" xfId="0" applyFill="1" applyBorder="1" applyAlignment="1">
      <alignment vertical="center" wrapText="1"/>
    </xf>
    <xf numFmtId="0" fontId="0" fillId="4" borderId="30" xfId="0" applyFill="1" applyBorder="1" applyAlignment="1">
      <alignment vertical="center" wrapText="1"/>
    </xf>
    <xf numFmtId="0" fontId="0" fillId="4" borderId="26" xfId="0" applyFill="1" applyBorder="1" applyAlignment="1">
      <alignment vertical="center" wrapText="1"/>
    </xf>
    <xf numFmtId="0" fontId="0" fillId="4" borderId="3" xfId="0" applyFill="1" applyBorder="1" applyAlignment="1">
      <alignment vertical="center"/>
    </xf>
    <xf numFmtId="0" fontId="0" fillId="4" borderId="31" xfId="0" applyFill="1" applyBorder="1" applyAlignment="1">
      <alignment vertical="center"/>
    </xf>
    <xf numFmtId="0" fontId="0" fillId="18" borderId="1" xfId="0" applyFill="1" applyBorder="1"/>
    <xf numFmtId="1" fontId="35" fillId="4" borderId="1" xfId="0" applyNumberFormat="1" applyFont="1" applyFill="1" applyBorder="1" applyAlignment="1">
      <alignment horizontal="left" vertical="center" wrapText="1"/>
    </xf>
    <xf numFmtId="1" fontId="35" fillId="4" borderId="1" xfId="0" applyNumberFormat="1" applyFont="1" applyFill="1" applyBorder="1" applyAlignment="1">
      <alignment vertical="center" wrapText="1"/>
    </xf>
    <xf numFmtId="1" fontId="35" fillId="5" borderId="1" xfId="0" applyNumberFormat="1" applyFont="1" applyFill="1" applyBorder="1" applyAlignment="1">
      <alignment horizontal="left" vertical="center" wrapText="1"/>
    </xf>
    <xf numFmtId="1" fontId="35" fillId="7" borderId="1" xfId="0" applyNumberFormat="1" applyFont="1" applyFill="1" applyBorder="1" applyAlignment="1">
      <alignment horizontal="left" vertical="center" wrapText="1"/>
    </xf>
    <xf numFmtId="1" fontId="35" fillId="17" borderId="1" xfId="0" applyNumberFormat="1" applyFont="1" applyFill="1" applyBorder="1" applyAlignment="1">
      <alignment horizontal="left" vertical="center" wrapText="1"/>
    </xf>
    <xf numFmtId="9" fontId="0" fillId="0" borderId="0" xfId="3" applyFont="1"/>
    <xf numFmtId="1" fontId="35" fillId="5" borderId="1" xfId="0" applyNumberFormat="1" applyFont="1" applyFill="1" applyBorder="1" applyAlignment="1">
      <alignment vertical="center" wrapText="1"/>
    </xf>
    <xf numFmtId="1" fontId="35" fillId="7" borderId="1" xfId="0" applyNumberFormat="1" applyFont="1" applyFill="1" applyBorder="1" applyAlignment="1">
      <alignment vertical="center" wrapText="1"/>
    </xf>
    <xf numFmtId="1" fontId="35" fillId="17" borderId="1" xfId="0" applyNumberFormat="1" applyFont="1" applyFill="1" applyBorder="1" applyAlignment="1">
      <alignment vertical="center" wrapText="1"/>
    </xf>
    <xf numFmtId="0" fontId="35" fillId="0" borderId="1" xfId="0" applyFont="1" applyBorder="1" applyAlignment="1">
      <alignment wrapText="1"/>
    </xf>
    <xf numFmtId="169" fontId="35" fillId="0" borderId="1" xfId="0" applyNumberFormat="1" applyFont="1" applyBorder="1" applyAlignment="1">
      <alignment wrapText="1"/>
    </xf>
    <xf numFmtId="170" fontId="35" fillId="0" borderId="1" xfId="3" applyNumberFormat="1" applyFont="1" applyBorder="1" applyAlignment="1">
      <alignment wrapText="1"/>
    </xf>
    <xf numFmtId="0" fontId="35" fillId="0" borderId="0" xfId="0" applyFont="1" applyAlignment="1">
      <alignment wrapText="1"/>
    </xf>
    <xf numFmtId="169" fontId="35" fillId="0" borderId="0" xfId="0" applyNumberFormat="1" applyFont="1" applyAlignment="1">
      <alignment wrapText="1"/>
    </xf>
    <xf numFmtId="0" fontId="0" fillId="0" borderId="0" xfId="0" applyAlignment="1">
      <alignment wrapText="1"/>
    </xf>
    <xf numFmtId="0" fontId="0" fillId="0" borderId="0" xfId="0" pivotButton="1" applyAlignment="1">
      <alignment wrapText="1"/>
    </xf>
    <xf numFmtId="0" fontId="0" fillId="0" borderId="0" xfId="0" applyAlignment="1">
      <alignment horizontal="left" wrapText="1"/>
    </xf>
    <xf numFmtId="2" fontId="0" fillId="0" borderId="0" xfId="0" applyNumberFormat="1" applyAlignment="1">
      <alignment wrapText="1"/>
    </xf>
    <xf numFmtId="168" fontId="35" fillId="0" borderId="1" xfId="0" applyNumberFormat="1" applyFont="1" applyBorder="1" applyAlignment="1">
      <alignment wrapText="1"/>
    </xf>
    <xf numFmtId="0" fontId="0" fillId="19" borderId="0" xfId="0" applyFill="1" applyAlignment="1">
      <alignment wrapText="1"/>
    </xf>
    <xf numFmtId="0" fontId="0" fillId="19" borderId="0" xfId="0" applyFill="1"/>
    <xf numFmtId="0" fontId="1" fillId="0" borderId="0" xfId="0" applyFont="1" applyAlignment="1">
      <alignment wrapText="1"/>
    </xf>
    <xf numFmtId="0" fontId="13" fillId="0" borderId="0" xfId="0" applyFont="1" applyAlignment="1">
      <alignment vertical="center"/>
    </xf>
    <xf numFmtId="169" fontId="0" fillId="0" borderId="0" xfId="0" applyNumberFormat="1"/>
    <xf numFmtId="0" fontId="0" fillId="15" borderId="0" xfId="0" applyFill="1" applyAlignment="1">
      <alignment wrapText="1"/>
    </xf>
    <xf numFmtId="0" fontId="0" fillId="21" borderId="0" xfId="0" applyFill="1"/>
    <xf numFmtId="171" fontId="0" fillId="0" borderId="18" xfId="0" applyNumberFormat="1" applyBorder="1" applyProtection="1">
      <protection locked="0"/>
    </xf>
    <xf numFmtId="0" fontId="36" fillId="20" borderId="33" xfId="0" applyFont="1" applyFill="1" applyBorder="1" applyAlignment="1">
      <alignment horizontal="left" wrapText="1"/>
    </xf>
    <xf numFmtId="0" fontId="4" fillId="0" borderId="0" xfId="0" applyFont="1"/>
    <xf numFmtId="169" fontId="38" fillId="0" borderId="33" xfId="0" applyNumberFormat="1" applyFont="1" applyBorder="1" applyAlignment="1">
      <alignment horizontal="left"/>
    </xf>
    <xf numFmtId="170" fontId="38" fillId="0" borderId="33" xfId="3" applyNumberFormat="1" applyFont="1" applyBorder="1" applyAlignment="1">
      <alignment horizontal="left"/>
    </xf>
    <xf numFmtId="169" fontId="39" fillId="0" borderId="33" xfId="0" applyNumberFormat="1" applyFont="1" applyBorder="1" applyAlignment="1">
      <alignment horizontal="left"/>
    </xf>
    <xf numFmtId="170" fontId="39" fillId="0" borderId="33" xfId="3" applyNumberFormat="1" applyFont="1" applyBorder="1" applyAlignment="1">
      <alignment horizontal="left"/>
    </xf>
    <xf numFmtId="0" fontId="0" fillId="15" borderId="18" xfId="0" applyFill="1" applyBorder="1" applyProtection="1">
      <protection locked="0"/>
    </xf>
    <xf numFmtId="165" fontId="0" fillId="15" borderId="18" xfId="0" applyNumberFormat="1" applyFill="1" applyBorder="1" applyProtection="1">
      <protection locked="0"/>
    </xf>
    <xf numFmtId="166" fontId="0" fillId="15" borderId="18" xfId="1" applyNumberFormat="1" applyFont="1" applyFill="1" applyBorder="1" applyProtection="1">
      <protection locked="0"/>
    </xf>
    <xf numFmtId="2" fontId="0" fillId="15" borderId="18" xfId="0" applyNumberFormat="1" applyFill="1" applyBorder="1"/>
    <xf numFmtId="10" fontId="0" fillId="15" borderId="19" xfId="0" applyNumberFormat="1" applyFill="1" applyBorder="1"/>
    <xf numFmtId="2" fontId="0" fillId="15" borderId="18" xfId="0" applyNumberFormat="1" applyFill="1" applyBorder="1" applyProtection="1">
      <protection locked="0"/>
    </xf>
    <xf numFmtId="9" fontId="29" fillId="15" borderId="19" xfId="0" applyNumberFormat="1" applyFont="1" applyFill="1" applyBorder="1" applyProtection="1">
      <protection locked="0"/>
    </xf>
    <xf numFmtId="2" fontId="0" fillId="15" borderId="19" xfId="0" applyNumberFormat="1" applyFill="1" applyBorder="1"/>
    <xf numFmtId="3" fontId="0" fillId="15" borderId="18" xfId="0" applyNumberFormat="1" applyFill="1" applyBorder="1" applyProtection="1">
      <protection locked="0"/>
    </xf>
    <xf numFmtId="2" fontId="0" fillId="15" borderId="0" xfId="0" applyNumberFormat="1" applyFill="1" applyProtection="1">
      <protection locked="0"/>
    </xf>
    <xf numFmtId="0" fontId="0" fillId="15" borderId="0" xfId="0" applyFill="1" applyProtection="1">
      <protection locked="0"/>
    </xf>
    <xf numFmtId="0" fontId="32" fillId="0" borderId="0" xfId="0" applyFont="1"/>
    <xf numFmtId="171" fontId="32" fillId="0" borderId="18" xfId="0" applyNumberFormat="1" applyFont="1" applyBorder="1" applyProtection="1">
      <protection locked="0"/>
    </xf>
    <xf numFmtId="169" fontId="0" fillId="0" borderId="18" xfId="0" applyNumberFormat="1" applyBorder="1" applyProtection="1">
      <protection locked="0"/>
    </xf>
    <xf numFmtId="0" fontId="0" fillId="0" borderId="5" xfId="0" applyBorder="1" applyProtection="1">
      <protection locked="0"/>
    </xf>
    <xf numFmtId="0" fontId="40" fillId="0" borderId="0" xfId="0" applyFont="1" applyProtection="1">
      <protection locked="0"/>
    </xf>
    <xf numFmtId="0" fontId="1" fillId="0" borderId="0" xfId="0" applyFont="1" applyAlignment="1">
      <alignment vertical="top"/>
    </xf>
    <xf numFmtId="0" fontId="0" fillId="0" borderId="0" xfId="0" applyAlignment="1">
      <alignment vertical="top"/>
    </xf>
    <xf numFmtId="0" fontId="11" fillId="0" borderId="34" xfId="0" applyFont="1" applyBorder="1" applyAlignment="1">
      <alignment vertical="center" wrapText="1"/>
    </xf>
    <xf numFmtId="0" fontId="1" fillId="0" borderId="35" xfId="0" applyFont="1" applyBorder="1" applyAlignment="1">
      <alignment horizontal="center" vertical="center" wrapText="1"/>
    </xf>
    <xf numFmtId="0" fontId="0" fillId="0" borderId="36" xfId="0" applyBorder="1"/>
    <xf numFmtId="164" fontId="0" fillId="0" borderId="37" xfId="0" applyNumberFormat="1" applyBorder="1"/>
    <xf numFmtId="0" fontId="0" fillId="0" borderId="38" xfId="0" applyBorder="1"/>
    <xf numFmtId="164" fontId="0" fillId="0" borderId="39" xfId="0" applyNumberFormat="1" applyBorder="1"/>
    <xf numFmtId="164" fontId="0" fillId="0" borderId="0" xfId="0" applyNumberFormat="1"/>
    <xf numFmtId="14" fontId="6" fillId="0" borderId="18" xfId="0" applyNumberFormat="1" applyFont="1" applyBorder="1" applyProtection="1">
      <protection locked="0"/>
    </xf>
    <xf numFmtId="2" fontId="42" fillId="0" borderId="40" xfId="4" applyNumberFormat="1" applyFont="1" applyBorder="1" applyAlignment="1">
      <alignment horizontal="left" vertical="center" indent="1" shrinkToFit="1"/>
    </xf>
    <xf numFmtId="2" fontId="42" fillId="0" borderId="40" xfId="4" applyNumberFormat="1" applyFont="1" applyBorder="1" applyAlignment="1">
      <alignment horizontal="left" vertical="center" indent="2" shrinkToFit="1"/>
    </xf>
    <xf numFmtId="0" fontId="37" fillId="20" borderId="5" xfId="0" applyFont="1" applyFill="1" applyBorder="1" applyAlignment="1">
      <alignment vertical="center" wrapText="1"/>
    </xf>
    <xf numFmtId="0" fontId="37" fillId="20" borderId="33" xfId="0" applyFont="1" applyFill="1" applyBorder="1" applyAlignment="1">
      <alignment vertical="center" wrapText="1"/>
    </xf>
    <xf numFmtId="169" fontId="38" fillId="0" borderId="0" xfId="0" applyNumberFormat="1" applyFont="1" applyAlignment="1">
      <alignment horizontal="left"/>
    </xf>
    <xf numFmtId="10" fontId="16" fillId="0" borderId="0" xfId="0" applyNumberFormat="1" applyFont="1" applyProtection="1">
      <protection locked="0"/>
    </xf>
    <xf numFmtId="164" fontId="0" fillId="0" borderId="0" xfId="0" applyNumberFormat="1" applyProtection="1">
      <protection locked="0"/>
    </xf>
    <xf numFmtId="10" fontId="1" fillId="0" borderId="0" xfId="0" applyNumberFormat="1" applyFont="1"/>
    <xf numFmtId="10" fontId="0" fillId="0" borderId="0" xfId="0" applyNumberFormat="1"/>
    <xf numFmtId="164" fontId="1" fillId="0" borderId="0" xfId="0" applyNumberFormat="1" applyFont="1"/>
    <xf numFmtId="0" fontId="37" fillId="20" borderId="5" xfId="0" applyFont="1" applyFill="1" applyBorder="1" applyAlignment="1">
      <alignment vertical="center"/>
    </xf>
    <xf numFmtId="0" fontId="37" fillId="20" borderId="33" xfId="0" applyFont="1" applyFill="1" applyBorder="1" applyAlignment="1">
      <alignment vertical="center"/>
    </xf>
    <xf numFmtId="2" fontId="6" fillId="0" borderId="19" xfId="0" applyNumberFormat="1" applyFont="1" applyBorder="1" applyProtection="1">
      <protection locked="0"/>
    </xf>
    <xf numFmtId="0" fontId="0" fillId="0" borderId="0" xfId="0" applyAlignment="1">
      <alignment horizontal="left" wrapText="1" indent="1"/>
    </xf>
    <xf numFmtId="169" fontId="38" fillId="0" borderId="33" xfId="0" applyNumberFormat="1" applyFont="1" applyBorder="1" applyAlignment="1">
      <alignment horizontal="left" wrapText="1"/>
    </xf>
    <xf numFmtId="169" fontId="44" fillId="0" borderId="33" xfId="0" applyNumberFormat="1" applyFont="1" applyBorder="1" applyAlignment="1">
      <alignment horizontal="left"/>
    </xf>
    <xf numFmtId="2" fontId="38" fillId="0" borderId="33" xfId="0" applyNumberFormat="1" applyFont="1" applyBorder="1" applyAlignment="1">
      <alignment horizontal="left"/>
    </xf>
    <xf numFmtId="3" fontId="38" fillId="0" borderId="33" xfId="0" applyNumberFormat="1" applyFont="1" applyBorder="1" applyAlignment="1">
      <alignment horizontal="left"/>
    </xf>
    <xf numFmtId="2" fontId="5" fillId="0" borderId="0" xfId="0" applyNumberFormat="1" applyFont="1"/>
    <xf numFmtId="3" fontId="44" fillId="0" borderId="33" xfId="0" applyNumberFormat="1" applyFont="1" applyBorder="1" applyAlignment="1">
      <alignment horizontal="left"/>
    </xf>
    <xf numFmtId="10" fontId="38" fillId="0" borderId="33" xfId="0" applyNumberFormat="1" applyFont="1" applyBorder="1" applyAlignment="1">
      <alignment horizontal="left"/>
    </xf>
    <xf numFmtId="170" fontId="38" fillId="0" borderId="33" xfId="0" applyNumberFormat="1" applyFont="1" applyBorder="1" applyAlignment="1">
      <alignment horizontal="left"/>
    </xf>
    <xf numFmtId="9" fontId="38" fillId="0" borderId="33" xfId="0" applyNumberFormat="1" applyFont="1" applyBorder="1" applyAlignment="1">
      <alignment horizontal="left"/>
    </xf>
    <xf numFmtId="9" fontId="44" fillId="0" borderId="33" xfId="0" applyNumberFormat="1" applyFont="1" applyBorder="1" applyAlignment="1">
      <alignment horizontal="left"/>
    </xf>
    <xf numFmtId="0" fontId="5" fillId="0" borderId="33" xfId="0" applyFont="1" applyBorder="1"/>
    <xf numFmtId="0" fontId="5" fillId="4" borderId="0" xfId="0" applyFont="1" applyFill="1"/>
    <xf numFmtId="0" fontId="5" fillId="7" borderId="0" xfId="0" applyFont="1" applyFill="1"/>
    <xf numFmtId="172" fontId="38" fillId="0" borderId="33" xfId="0" applyNumberFormat="1" applyFont="1" applyBorder="1" applyAlignment="1">
      <alignment horizontal="left"/>
    </xf>
    <xf numFmtId="169" fontId="38" fillId="0" borderId="33" xfId="0" applyNumberFormat="1" applyFont="1" applyBorder="1" applyAlignment="1">
      <alignment horizontal="center"/>
    </xf>
    <xf numFmtId="2" fontId="38" fillId="0" borderId="33" xfId="0" applyNumberFormat="1" applyFont="1" applyBorder="1" applyAlignment="1">
      <alignment horizontal="center"/>
    </xf>
    <xf numFmtId="3" fontId="38" fillId="0" borderId="33" xfId="0" applyNumberFormat="1" applyFont="1" applyBorder="1" applyAlignment="1">
      <alignment horizontal="center"/>
    </xf>
    <xf numFmtId="0" fontId="0" fillId="0" borderId="22" xfId="0" applyBorder="1" applyAlignment="1" applyProtection="1">
      <alignment horizontal="left" wrapText="1"/>
      <protection locked="0"/>
    </xf>
    <xf numFmtId="0" fontId="2" fillId="6" borderId="0" xfId="0" applyFont="1" applyFill="1" applyAlignment="1" applyProtection="1">
      <alignment horizontal="left"/>
      <protection locked="0"/>
    </xf>
    <xf numFmtId="0" fontId="2" fillId="14" borderId="0" xfId="0" applyFont="1" applyFill="1" applyAlignment="1" applyProtection="1">
      <alignment horizontal="left"/>
      <protection locked="0"/>
    </xf>
    <xf numFmtId="0" fontId="1" fillId="6" borderId="0" xfId="0" applyFont="1" applyFill="1" applyAlignment="1" applyProtection="1">
      <alignment horizontal="left"/>
      <protection locked="0"/>
    </xf>
    <xf numFmtId="0" fontId="34" fillId="0" borderId="32" xfId="0" applyFont="1" applyBorder="1" applyAlignment="1">
      <alignment horizontal="center" wrapText="1"/>
    </xf>
    <xf numFmtId="169" fontId="44" fillId="0" borderId="33" xfId="0" applyNumberFormat="1" applyFont="1" applyBorder="1" applyAlignment="1">
      <alignment horizontal="center"/>
    </xf>
    <xf numFmtId="0" fontId="0" fillId="17" borderId="2" xfId="0" applyFill="1" applyBorder="1" applyAlignment="1">
      <alignment horizontal="center" vertical="center" textRotation="90" wrapText="1"/>
    </xf>
    <xf numFmtId="0" fontId="0" fillId="17" borderId="4" xfId="0" applyFill="1" applyBorder="1" applyAlignment="1">
      <alignment horizontal="center" vertical="center" textRotation="90" wrapText="1"/>
    </xf>
    <xf numFmtId="0" fontId="0" fillId="17" borderId="3" xfId="0" applyFill="1" applyBorder="1" applyAlignment="1">
      <alignment horizontal="center" vertical="center" textRotation="90" wrapText="1"/>
    </xf>
    <xf numFmtId="0" fontId="0" fillId="17" borderId="2" xfId="0" applyFill="1" applyBorder="1" applyAlignment="1">
      <alignment horizontal="left" vertical="center"/>
    </xf>
    <xf numFmtId="0" fontId="0" fillId="17" borderId="3" xfId="0" applyFill="1" applyBorder="1" applyAlignment="1">
      <alignment horizontal="left" vertical="center"/>
    </xf>
    <xf numFmtId="0" fontId="0" fillId="4" borderId="1" xfId="0" applyFill="1" applyBorder="1" applyAlignment="1">
      <alignment horizontal="center" vertical="center" textRotation="90"/>
    </xf>
    <xf numFmtId="0" fontId="11" fillId="9" borderId="10" xfId="0" applyFont="1" applyFill="1" applyBorder="1" applyAlignment="1">
      <alignment horizontal="center" vertical="center"/>
    </xf>
    <xf numFmtId="0" fontId="11" fillId="9" borderId="11" xfId="0" applyFont="1" applyFill="1" applyBorder="1" applyAlignment="1">
      <alignment horizontal="center" vertical="center"/>
    </xf>
    <xf numFmtId="0" fontId="11" fillId="9" borderId="12" xfId="0" applyFont="1" applyFill="1" applyBorder="1" applyAlignment="1">
      <alignment horizontal="center" vertical="center"/>
    </xf>
    <xf numFmtId="0" fontId="12" fillId="10" borderId="15" xfId="0" applyFont="1" applyFill="1" applyBorder="1" applyAlignment="1">
      <alignment horizontal="center" vertical="center"/>
    </xf>
    <xf numFmtId="0" fontId="12" fillId="10" borderId="16" xfId="0" applyFont="1" applyFill="1" applyBorder="1" applyAlignment="1">
      <alignment horizontal="center" vertical="center"/>
    </xf>
    <xf numFmtId="0" fontId="4" fillId="0" borderId="15" xfId="0" applyFont="1" applyBorder="1" applyAlignment="1">
      <alignment horizontal="center" vertical="center"/>
    </xf>
    <xf numFmtId="0" fontId="4" fillId="0" borderId="17" xfId="0" applyFont="1" applyBorder="1" applyAlignment="1">
      <alignment horizontal="center" vertical="center"/>
    </xf>
    <xf numFmtId="0" fontId="4" fillId="0" borderId="16" xfId="0" applyFont="1" applyBorder="1" applyAlignment="1">
      <alignment horizontal="center" vertical="center"/>
    </xf>
    <xf numFmtId="0" fontId="11" fillId="9" borderId="6" xfId="0" applyFont="1" applyFill="1" applyBorder="1" applyAlignment="1">
      <alignment horizontal="center" vertical="center"/>
    </xf>
    <xf numFmtId="0" fontId="11" fillId="9" borderId="7" xfId="0" applyFont="1" applyFill="1" applyBorder="1" applyAlignment="1">
      <alignment horizontal="center" vertical="center"/>
    </xf>
    <xf numFmtId="0" fontId="11" fillId="9" borderId="8" xfId="0" applyFont="1" applyFill="1" applyBorder="1" applyAlignment="1">
      <alignment horizontal="center" vertical="center"/>
    </xf>
    <xf numFmtId="0" fontId="11" fillId="9" borderId="9" xfId="0" applyFont="1" applyFill="1" applyBorder="1" applyAlignment="1">
      <alignment horizontal="center" vertical="center"/>
    </xf>
    <xf numFmtId="0" fontId="11" fillId="9" borderId="8" xfId="0" applyFont="1" applyFill="1" applyBorder="1" applyAlignment="1">
      <alignment horizontal="center" vertical="center" wrapText="1"/>
    </xf>
    <xf numFmtId="0" fontId="11" fillId="9" borderId="9" xfId="0" applyFont="1" applyFill="1" applyBorder="1" applyAlignment="1">
      <alignment horizontal="center" vertical="center" wrapText="1"/>
    </xf>
    <xf numFmtId="0" fontId="1" fillId="0" borderId="2" xfId="0" applyFont="1" applyBorder="1" applyAlignment="1">
      <alignment horizontal="left" vertical="center"/>
    </xf>
    <xf numFmtId="0" fontId="1" fillId="0" borderId="3" xfId="0" applyFont="1" applyBorder="1" applyAlignment="1">
      <alignment horizontal="left" vertical="center"/>
    </xf>
    <xf numFmtId="0" fontId="0" fillId="0" borderId="2" xfId="0" applyBorder="1" applyAlignment="1">
      <alignment horizontal="left" vertical="top" wrapText="1"/>
    </xf>
    <xf numFmtId="0" fontId="0" fillId="0" borderId="3" xfId="0" applyBorder="1" applyAlignment="1">
      <alignment horizontal="left" vertical="top" wrapText="1"/>
    </xf>
    <xf numFmtId="0" fontId="0" fillId="0" borderId="4" xfId="0" applyBorder="1" applyAlignment="1">
      <alignment horizontal="left" vertical="top" wrapText="1"/>
    </xf>
    <xf numFmtId="0" fontId="1" fillId="0" borderId="4" xfId="0" applyFont="1" applyBorder="1" applyAlignment="1">
      <alignment horizontal="left" vertical="center"/>
    </xf>
  </cellXfs>
  <cellStyles count="5">
    <cellStyle name="Comma" xfId="1" builtinId="3"/>
    <cellStyle name="Hyperlink" xfId="2" builtinId="8"/>
    <cellStyle name="Normal" xfId="0" builtinId="0"/>
    <cellStyle name="Normal 2" xfId="4" xr:uid="{126B5B01-439B-431B-B4ED-289A6E7DA7F5}"/>
    <cellStyle name="Percent" xfId="3" builtinId="5"/>
  </cellStyles>
  <dxfs count="92">
    <dxf>
      <font>
        <color theme="6" tint="-0.24994659260841701"/>
      </font>
      <fill>
        <patternFill>
          <bgColor theme="6"/>
        </patternFill>
      </fill>
    </dxf>
    <dxf>
      <font>
        <color theme="6" tint="-0.24994659260841701"/>
      </font>
      <fill>
        <patternFill>
          <bgColor theme="6"/>
        </patternFill>
      </fill>
    </dxf>
    <dxf>
      <fill>
        <patternFill>
          <bgColor theme="0" tint="-4.9989318521683403E-2"/>
        </patternFill>
      </fill>
    </dxf>
    <dxf>
      <font>
        <color theme="6" tint="-0.24994659260841701"/>
      </font>
      <fill>
        <patternFill>
          <bgColor theme="6"/>
        </patternFill>
      </fill>
    </dxf>
    <dxf>
      <font>
        <color theme="0" tint="-0.499984740745262"/>
      </font>
      <fill>
        <patternFill>
          <bgColor theme="0" tint="-0.34998626667073579"/>
        </patternFill>
      </fill>
    </dxf>
    <dxf>
      <font>
        <color theme="0" tint="-0.499984740745262"/>
      </font>
      <fill>
        <patternFill>
          <bgColor theme="0" tint="-0.34998626667073579"/>
        </patternFill>
      </fill>
    </dxf>
    <dxf>
      <font>
        <color theme="0" tint="-0.499984740745262"/>
      </font>
      <fill>
        <patternFill>
          <bgColor theme="6"/>
        </patternFill>
      </fill>
    </dxf>
    <dxf>
      <font>
        <color theme="0" tint="-0.499984740745262"/>
      </font>
      <fill>
        <patternFill>
          <bgColor theme="0" tint="-0.34998626667073579"/>
        </patternFill>
      </fill>
    </dxf>
    <dxf>
      <fill>
        <patternFill>
          <bgColor theme="0" tint="-4.9989318521683403E-2"/>
        </patternFill>
      </fill>
    </dxf>
    <dxf>
      <font>
        <color theme="6" tint="-0.24994659260841701"/>
      </font>
      <fill>
        <patternFill>
          <bgColor theme="6"/>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6" tint="-0.24994659260841701"/>
      </font>
      <fill>
        <patternFill>
          <fgColor theme="6"/>
          <bgColor theme="6"/>
        </patternFill>
      </fill>
    </dxf>
    <dxf>
      <font>
        <color theme="6" tint="-0.24994659260841701"/>
      </font>
      <fill>
        <patternFill>
          <bgColor theme="6"/>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6" tint="-0.24994659260841701"/>
      </font>
      <fill>
        <patternFill>
          <bgColor theme="6"/>
        </patternFill>
      </fill>
    </dxf>
    <dxf>
      <font>
        <color theme="6" tint="-0.24994659260841701"/>
      </font>
      <fill>
        <patternFill>
          <bgColor theme="6"/>
        </patternFill>
      </fill>
    </dxf>
    <dxf>
      <font>
        <color theme="6" tint="-0.24994659260841701"/>
      </font>
      <fill>
        <patternFill>
          <bgColor theme="6"/>
        </patternFill>
      </fill>
    </dxf>
    <dxf>
      <font>
        <color theme="0" tint="-0.499984740745262"/>
      </font>
      <fill>
        <patternFill>
          <bgColor theme="0" tint="-0.34998626667073579"/>
        </patternFill>
      </fill>
    </dxf>
    <dxf>
      <font>
        <color theme="0" tint="-0.499984740745262"/>
      </font>
      <fill>
        <patternFill>
          <bgColor theme="0" tint="-0.34998626667073579"/>
        </patternFill>
      </fill>
    </dxf>
    <dxf>
      <font>
        <color theme="0" tint="-0.499984740745262"/>
      </font>
      <fill>
        <patternFill>
          <bgColor theme="0" tint="-0.34998626667073579"/>
        </patternFill>
      </fill>
    </dxf>
    <dxf>
      <font>
        <color theme="0" tint="-0.499984740745262"/>
      </font>
      <fill>
        <patternFill>
          <bgColor theme="0" tint="-0.34998626667073579"/>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s>
  <tableStyles count="0" defaultTableStyle="TableStyleMedium2" defaultPivotStyle="PivotStyleLight16"/>
  <colors>
    <mruColors>
      <color rgb="FF8583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2.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1.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2"/>
          <c:order val="0"/>
          <c:tx>
            <c:strRef>
              <c:f>'PCP Summary Chart'!$F$4</c:f>
              <c:strCache>
                <c:ptCount val="1"/>
                <c:pt idx="0">
                  <c:v>Target P Reduction</c:v>
                </c:pt>
              </c:strCache>
            </c:strRef>
          </c:tx>
          <c:spPr>
            <a:solidFill>
              <a:schemeClr val="accent3"/>
            </a:solidFill>
            <a:ln>
              <a:noFill/>
            </a:ln>
            <a:effectLst/>
          </c:spPr>
          <c:invertIfNegative val="0"/>
          <c:dLbls>
            <c:delete val="1"/>
          </c:dLbls>
          <c:cat>
            <c:multiLvlStrRef>
              <c:f>'PCP Summary Chart'!$A$5:$B$12</c:f>
              <c:multiLvlStrCache>
                <c:ptCount val="7"/>
                <c:lvl>
                  <c:pt idx="0">
                    <c:v>Main Lake</c:v>
                  </c:pt>
                  <c:pt idx="2">
                    <c:v>Malletts Bay</c:v>
                  </c:pt>
                  <c:pt idx="4">
                    <c:v>Main Lake</c:v>
                  </c:pt>
                  <c:pt idx="6">
                    <c:v>Malletts Bay</c:v>
                  </c:pt>
                </c:lvl>
                <c:lvl>
                  <c:pt idx="0">
                    <c:v>Village</c:v>
                  </c:pt>
                  <c:pt idx="2">
                    <c:v>Village</c:v>
                  </c:pt>
                  <c:pt idx="4">
                    <c:v>Town</c:v>
                  </c:pt>
                  <c:pt idx="6">
                    <c:v>Town</c:v>
                  </c:pt>
                </c:lvl>
              </c:multiLvlStrCache>
            </c:multiLvlStrRef>
          </c:cat>
          <c:val>
            <c:numRef>
              <c:f>'PCP Summary Chart'!$F$5:$F$12</c:f>
              <c:numCache>
                <c:formatCode>0.0</c:formatCode>
                <c:ptCount val="8"/>
                <c:pt idx="1">
                  <c:v>22.595906730073501</c:v>
                </c:pt>
                <c:pt idx="3">
                  <c:v>9.1282124735695511</c:v>
                </c:pt>
                <c:pt idx="5">
                  <c:v>43.600770766846473</c:v>
                </c:pt>
                <c:pt idx="7">
                  <c:v>30.99236701120163</c:v>
                </c:pt>
              </c:numCache>
            </c:numRef>
          </c:val>
          <c:extLst>
            <c:ext xmlns:c16="http://schemas.microsoft.com/office/drawing/2014/chart" uri="{C3380CC4-5D6E-409C-BE32-E72D297353CC}">
              <c16:uniqueId val="{00000002-8478-4707-8130-A6C616106FAD}"/>
            </c:ext>
          </c:extLst>
        </c:ser>
        <c:ser>
          <c:idx val="0"/>
          <c:order val="2"/>
          <c:tx>
            <c:strRef>
              <c:f>'PCP Summary Chart'!$C$4</c:f>
              <c:strCache>
                <c:ptCount val="1"/>
                <c:pt idx="0">
                  <c:v>Completed STPs</c:v>
                </c:pt>
              </c:strCache>
            </c:strRef>
          </c:tx>
          <c:spPr>
            <a:solidFill>
              <a:schemeClr val="accent6">
                <a:lumMod val="50000"/>
              </a:schemeClr>
            </a:solidFill>
            <a:ln>
              <a:noFill/>
            </a:ln>
            <a:effectLst/>
          </c:spPr>
          <c:invertIfNegative val="0"/>
          <c:dLbls>
            <c:delete val="1"/>
          </c:dLbls>
          <c:val>
            <c:numRef>
              <c:f>'PCP Summary Chart'!$C$5:$C$12</c:f>
              <c:numCache>
                <c:formatCode>0.0</c:formatCode>
                <c:ptCount val="8"/>
                <c:pt idx="0">
                  <c:v>7.6399594986970696</c:v>
                </c:pt>
                <c:pt idx="2">
                  <c:v>9.3047493670993831</c:v>
                </c:pt>
                <c:pt idx="4">
                  <c:v>18.087847045918089</c:v>
                </c:pt>
                <c:pt idx="6">
                  <c:v>14.959702977956997</c:v>
                </c:pt>
              </c:numCache>
            </c:numRef>
          </c:val>
          <c:extLst>
            <c:ext xmlns:c16="http://schemas.microsoft.com/office/drawing/2014/chart" uri="{C3380CC4-5D6E-409C-BE32-E72D297353CC}">
              <c16:uniqueId val="{00000001-FFF5-462C-B29B-96BDB16763C3}"/>
            </c:ext>
          </c:extLst>
        </c:ser>
        <c:ser>
          <c:idx val="1"/>
          <c:order val="3"/>
          <c:tx>
            <c:strRef>
              <c:f>'PCP Summary Chart'!$D$4</c:f>
              <c:strCache>
                <c:ptCount val="1"/>
                <c:pt idx="0">
                  <c:v>Design Phase STPs</c:v>
                </c:pt>
              </c:strCache>
            </c:strRef>
          </c:tx>
          <c:spPr>
            <a:solidFill>
              <a:schemeClr val="accent6">
                <a:lumMod val="60000"/>
                <a:lumOff val="40000"/>
              </a:schemeClr>
            </a:solidFill>
            <a:ln>
              <a:noFill/>
            </a:ln>
            <a:effectLst/>
          </c:spPr>
          <c:invertIfNegative val="0"/>
          <c:dLbls>
            <c:dLbl>
              <c:idx val="0"/>
              <c:layout>
                <c:manualLayout>
                  <c:x val="-1.1535876491687625E-4"/>
                  <c:y val="-0.11450778652668417"/>
                </c:manualLayout>
              </c:layout>
              <c:tx>
                <c:rich>
                  <a:bodyPr/>
                  <a:lstStyle/>
                  <a:p>
                    <a:fld id="{02D819C3-0F0B-41B8-BAC7-F696D65019AC}"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FFF5-462C-B29B-96BDB16763C3}"/>
                </c:ext>
              </c:extLst>
            </c:dLbl>
            <c:dLbl>
              <c:idx val="1"/>
              <c:tx>
                <c:rich>
                  <a:bodyPr/>
                  <a:lstStyle/>
                  <a:p>
                    <a:endParaRPr lang="en-US"/>
                  </a:p>
                </c:rich>
              </c:tx>
              <c:dLblPos val="inEnd"/>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7-FFF5-462C-B29B-96BDB16763C3}"/>
                </c:ext>
              </c:extLst>
            </c:dLbl>
            <c:dLbl>
              <c:idx val="2"/>
              <c:layout>
                <c:manualLayout>
                  <c:x val="-1.1636920665339387E-4"/>
                  <c:y val="-5.1162204724409452E-2"/>
                </c:manualLayout>
              </c:layout>
              <c:tx>
                <c:rich>
                  <a:bodyPr/>
                  <a:lstStyle/>
                  <a:p>
                    <a:fld id="{022E23CE-58B8-4B1E-A23B-83A42D091512}"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FFF5-462C-B29B-96BDB16763C3}"/>
                </c:ext>
              </c:extLst>
            </c:dLbl>
            <c:dLbl>
              <c:idx val="3"/>
              <c:tx>
                <c:rich>
                  <a:bodyPr/>
                  <a:lstStyle/>
                  <a:p>
                    <a:endParaRPr lang="en-US"/>
                  </a:p>
                </c:rich>
              </c:tx>
              <c:dLblPos val="inEnd"/>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8-FFF5-462C-B29B-96BDB16763C3}"/>
                </c:ext>
              </c:extLst>
            </c:dLbl>
            <c:dLbl>
              <c:idx val="4"/>
              <c:layout>
                <c:manualLayout>
                  <c:x val="-7.8420599961188811E-17"/>
                  <c:y val="-0.58405949256342959"/>
                </c:manualLayout>
              </c:layout>
              <c:tx>
                <c:rich>
                  <a:bodyPr/>
                  <a:lstStyle/>
                  <a:p>
                    <a:fld id="{AA90D6AD-D162-467C-B00D-9EAC4F1ABFA5}"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FFF5-462C-B29B-96BDB16763C3}"/>
                </c:ext>
              </c:extLst>
            </c:dLbl>
            <c:dLbl>
              <c:idx val="5"/>
              <c:tx>
                <c:rich>
                  <a:bodyPr/>
                  <a:lstStyle/>
                  <a:p>
                    <a:endParaRPr lang="en-US"/>
                  </a:p>
                </c:rich>
              </c:tx>
              <c:dLblPos val="inEnd"/>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9-FFF5-462C-B29B-96BDB16763C3}"/>
                </c:ext>
              </c:extLst>
            </c:dLbl>
            <c:dLbl>
              <c:idx val="6"/>
              <c:layout>
                <c:manualLayout>
                  <c:x val="0"/>
                  <c:y val="-5.0252668416448022E-2"/>
                </c:manualLayout>
              </c:layout>
              <c:tx>
                <c:rich>
                  <a:bodyPr/>
                  <a:lstStyle/>
                  <a:p>
                    <a:fld id="{F89C75D9-2C69-4F7D-BE81-E4519FA3B2EC}"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FFF5-462C-B29B-96BDB16763C3}"/>
                </c:ext>
              </c:extLst>
            </c:dLbl>
            <c:dLbl>
              <c:idx val="7"/>
              <c:tx>
                <c:rich>
                  <a:bodyPr/>
                  <a:lstStyle/>
                  <a:p>
                    <a:endParaRPr lang="en-US"/>
                  </a:p>
                </c:rich>
              </c:tx>
              <c:dLblPos val="inEnd"/>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A-FFF5-462C-B29B-96BDB16763C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val>
            <c:numRef>
              <c:f>'PCP Summary Chart'!$D$5:$D$12</c:f>
              <c:numCache>
                <c:formatCode>0.0</c:formatCode>
                <c:ptCount val="8"/>
                <c:pt idx="0">
                  <c:v>11.840355156235091</c:v>
                </c:pt>
                <c:pt idx="2">
                  <c:v>5.0216517521781956</c:v>
                </c:pt>
                <c:pt idx="4">
                  <c:v>36.759488758615049</c:v>
                </c:pt>
                <c:pt idx="6">
                  <c:v>3.3693399449379124</c:v>
                </c:pt>
              </c:numCache>
            </c:numRef>
          </c:val>
          <c:extLst>
            <c:ext xmlns:c15="http://schemas.microsoft.com/office/drawing/2012/chart" uri="{02D57815-91ED-43cb-92C2-25804820EDAC}">
              <c15:datalabelsRange>
                <c15:f>'PCP Summary Chart'!$H$5:$H$12</c15:f>
                <c15:dlblRangeCache>
                  <c:ptCount val="8"/>
                  <c:pt idx="0">
                    <c:v>86%</c:v>
                  </c:pt>
                  <c:pt idx="2">
                    <c:v>157%</c:v>
                  </c:pt>
                  <c:pt idx="4">
                    <c:v>211%</c:v>
                  </c:pt>
                  <c:pt idx="6">
                    <c:v>59%</c:v>
                  </c:pt>
                </c15:dlblRangeCache>
              </c15:datalabelsRange>
            </c:ext>
            <c:ext xmlns:c16="http://schemas.microsoft.com/office/drawing/2014/chart" uri="{C3380CC4-5D6E-409C-BE32-E72D297353CC}">
              <c16:uniqueId val="{00000002-FFF5-462C-B29B-96BDB16763C3}"/>
            </c:ext>
          </c:extLst>
        </c:ser>
        <c:ser>
          <c:idx val="4"/>
          <c:order val="4"/>
          <c:tx>
            <c:strRef>
              <c:f>'PCP Summary Chart'!$E$4</c:f>
              <c:strCache>
                <c:ptCount val="1"/>
                <c:pt idx="0">
                  <c:v>Planned PCP STPs</c:v>
                </c:pt>
              </c:strCache>
            </c:strRef>
          </c:tx>
          <c:spPr>
            <a:solidFill>
              <a:schemeClr val="accent6">
                <a:lumMod val="20000"/>
                <a:lumOff val="80000"/>
              </a:schemeClr>
            </a:solidFill>
            <a:ln>
              <a:noFill/>
            </a:ln>
            <a:effectLst/>
          </c:spPr>
          <c:invertIfNegative val="0"/>
          <c:dLbls>
            <c:delete val="1"/>
          </c:dLbls>
          <c:val>
            <c:numRef>
              <c:f>'PCP Summary Chart'!$E$5:$E$12</c:f>
              <c:numCache>
                <c:formatCode>General</c:formatCode>
                <c:ptCount val="8"/>
                <c:pt idx="0" formatCode="0.0">
                  <c:v>0</c:v>
                </c:pt>
                <c:pt idx="2">
                  <c:v>0</c:v>
                </c:pt>
                <c:pt idx="4" formatCode="0.0">
                  <c:v>37.200000000000003</c:v>
                </c:pt>
                <c:pt idx="6">
                  <c:v>0</c:v>
                </c:pt>
              </c:numCache>
            </c:numRef>
          </c:val>
          <c:extLst>
            <c:ext xmlns:c16="http://schemas.microsoft.com/office/drawing/2014/chart" uri="{C3380CC4-5D6E-409C-BE32-E72D297353CC}">
              <c16:uniqueId val="{00000001-0AF5-4FC8-840F-1F720865BDF2}"/>
            </c:ext>
          </c:extLst>
        </c:ser>
        <c:dLbls>
          <c:dLblPos val="inBase"/>
          <c:showLegendKey val="0"/>
          <c:showVal val="1"/>
          <c:showCatName val="0"/>
          <c:showSerName val="0"/>
          <c:showPercent val="0"/>
          <c:showBubbleSize val="0"/>
        </c:dLbls>
        <c:gapWidth val="100"/>
        <c:overlap val="100"/>
        <c:axId val="327456384"/>
        <c:axId val="327455728"/>
        <c:extLst>
          <c:ext xmlns:c15="http://schemas.microsoft.com/office/drawing/2012/chart" uri="{02D57815-91ED-43cb-92C2-25804820EDAC}">
            <c15:filteredBarSeries>
              <c15:ser>
                <c:idx val="3"/>
                <c:order val="1"/>
                <c:tx>
                  <c:strRef>
                    <c:extLst>
                      <c:ext uri="{02D57815-91ED-43cb-92C2-25804820EDAC}">
                        <c15:formulaRef>
                          <c15:sqref>'PCP Summary Chart'!$G$4</c15:sqref>
                        </c15:formulaRef>
                      </c:ext>
                    </c:extLst>
                    <c:strCache>
                      <c:ptCount val="1"/>
                      <c:pt idx="0">
                        <c:v>Total P Reduction</c:v>
                      </c:pt>
                    </c:strCache>
                  </c:strRef>
                </c:tx>
                <c:spPr>
                  <a:solidFill>
                    <a:schemeClr val="accent6">
                      <a:lumMod val="60000"/>
                      <a:lumOff val="40000"/>
                    </a:schemeClr>
                  </a:solidFill>
                  <a:ln>
                    <a:noFill/>
                  </a:ln>
                  <a:effectLst/>
                </c:spPr>
                <c:invertIfNegative val="0"/>
                <c:dLbls>
                  <c:dLbl>
                    <c:idx val="0"/>
                    <c:tx>
                      <c:rich>
                        <a:bodyPr/>
                        <a:lstStyle/>
                        <a:p>
                          <a:fld id="{B58199BD-C9CF-4673-8219-7DD604F88F4B}" type="CELLRANGE">
                            <a:rPr lang="en-US"/>
                            <a:pPr/>
                            <a:t>[CELLRANGE]</a:t>
                          </a:fld>
                          <a:endParaRPr lang="en-US"/>
                        </a:p>
                      </c:rich>
                    </c:tx>
                    <c:dLblPos val="inBase"/>
                    <c:showLegendKey val="0"/>
                    <c:showVal val="0"/>
                    <c:showCatName val="0"/>
                    <c:showSerName val="0"/>
                    <c:showPercent val="0"/>
                    <c:showBubbleSize val="0"/>
                    <c:extLst>
                      <c:ext uri="{CE6537A1-D6FC-4f65-9D91-7224C49458BB}">
                        <c15:dlblFieldTable/>
                        <c15:xForSave val="1"/>
                        <c15:showDataLabelsRange val="1"/>
                      </c:ext>
                      <c:ext xmlns:c16="http://schemas.microsoft.com/office/drawing/2014/chart" uri="{C3380CC4-5D6E-409C-BE32-E72D297353CC}">
                        <c16:uniqueId val="{00000011-8478-4707-8130-A6C616106FAD}"/>
                      </c:ext>
                    </c:extLst>
                  </c:dLbl>
                  <c:dLbl>
                    <c:idx val="1"/>
                    <c:tx>
                      <c:rich>
                        <a:bodyPr/>
                        <a:lstStyle/>
                        <a:p>
                          <a:endParaRPr lang="en-US"/>
                        </a:p>
                      </c:rich>
                    </c:tx>
                    <c:dLblPos val="inBase"/>
                    <c:showLegendKey val="0"/>
                    <c:showVal val="0"/>
                    <c:showCatName val="0"/>
                    <c:showSerName val="0"/>
                    <c:showPercent val="0"/>
                    <c:showBubbleSize val="0"/>
                    <c:extLst>
                      <c:ext uri="{CE6537A1-D6FC-4f65-9D91-7224C49458BB}">
                        <c15:xForSave val="1"/>
                        <c15:showDataLabelsRange val="1"/>
                      </c:ext>
                      <c:ext xmlns:c16="http://schemas.microsoft.com/office/drawing/2014/chart" uri="{C3380CC4-5D6E-409C-BE32-E72D297353CC}">
                        <c16:uniqueId val="{00000012-8478-4707-8130-A6C616106FAD}"/>
                      </c:ext>
                    </c:extLst>
                  </c:dLbl>
                  <c:dLbl>
                    <c:idx val="2"/>
                    <c:tx>
                      <c:rich>
                        <a:bodyPr/>
                        <a:lstStyle/>
                        <a:p>
                          <a:fld id="{97C34F4C-FC6B-4B29-9C64-0CDFC8D6D29A}" type="CELLRANGE">
                            <a:rPr lang="en-US"/>
                            <a:pPr/>
                            <a:t>[CELLRANGE]</a:t>
                          </a:fld>
                          <a:endParaRPr lang="en-US"/>
                        </a:p>
                      </c:rich>
                    </c:tx>
                    <c:dLblPos val="inBase"/>
                    <c:showLegendKey val="0"/>
                    <c:showVal val="0"/>
                    <c:showCatName val="0"/>
                    <c:showSerName val="0"/>
                    <c:showPercent val="0"/>
                    <c:showBubbleSize val="0"/>
                    <c:extLst>
                      <c:ext uri="{CE6537A1-D6FC-4f65-9D91-7224C49458BB}">
                        <c15:dlblFieldTable/>
                        <c15:xForSave val="1"/>
                        <c15:showDataLabelsRange val="1"/>
                      </c:ext>
                      <c:ext xmlns:c16="http://schemas.microsoft.com/office/drawing/2014/chart" uri="{C3380CC4-5D6E-409C-BE32-E72D297353CC}">
                        <c16:uniqueId val="{00000013-8478-4707-8130-A6C616106FAD}"/>
                      </c:ext>
                    </c:extLst>
                  </c:dLbl>
                  <c:dLbl>
                    <c:idx val="3"/>
                    <c:tx>
                      <c:rich>
                        <a:bodyPr/>
                        <a:lstStyle/>
                        <a:p>
                          <a:endParaRPr lang="en-US"/>
                        </a:p>
                      </c:rich>
                    </c:tx>
                    <c:dLblPos val="inBase"/>
                    <c:showLegendKey val="0"/>
                    <c:showVal val="0"/>
                    <c:showCatName val="0"/>
                    <c:showSerName val="0"/>
                    <c:showPercent val="0"/>
                    <c:showBubbleSize val="0"/>
                    <c:extLst>
                      <c:ext uri="{CE6537A1-D6FC-4f65-9D91-7224C49458BB}">
                        <c15:xForSave val="1"/>
                        <c15:showDataLabelsRange val="1"/>
                      </c:ext>
                      <c:ext xmlns:c16="http://schemas.microsoft.com/office/drawing/2014/chart" uri="{C3380CC4-5D6E-409C-BE32-E72D297353CC}">
                        <c16:uniqueId val="{00000014-8478-4707-8130-A6C616106FAD}"/>
                      </c:ext>
                    </c:extLst>
                  </c:dLbl>
                  <c:dLbl>
                    <c:idx val="4"/>
                    <c:tx>
                      <c:rich>
                        <a:bodyPr/>
                        <a:lstStyle/>
                        <a:p>
                          <a:fld id="{C66639B7-4852-4DBB-9A4C-1CE4A3F13B1F}" type="CELLRANGE">
                            <a:rPr lang="en-US"/>
                            <a:pPr/>
                            <a:t>[CELLRANGE]</a:t>
                          </a:fld>
                          <a:endParaRPr lang="en-US"/>
                        </a:p>
                      </c:rich>
                    </c:tx>
                    <c:dLblPos val="inBase"/>
                    <c:showLegendKey val="0"/>
                    <c:showVal val="0"/>
                    <c:showCatName val="0"/>
                    <c:showSerName val="0"/>
                    <c:showPercent val="0"/>
                    <c:showBubbleSize val="0"/>
                    <c:extLst>
                      <c:ext uri="{CE6537A1-D6FC-4f65-9D91-7224C49458BB}">
                        <c15:dlblFieldTable/>
                        <c15:xForSave val="1"/>
                        <c15:showDataLabelsRange val="1"/>
                      </c:ext>
                      <c:ext xmlns:c16="http://schemas.microsoft.com/office/drawing/2014/chart" uri="{C3380CC4-5D6E-409C-BE32-E72D297353CC}">
                        <c16:uniqueId val="{00000015-8478-4707-8130-A6C616106FAD}"/>
                      </c:ext>
                    </c:extLst>
                  </c:dLbl>
                  <c:dLbl>
                    <c:idx val="5"/>
                    <c:tx>
                      <c:rich>
                        <a:bodyPr/>
                        <a:lstStyle/>
                        <a:p>
                          <a:endParaRPr lang="en-US"/>
                        </a:p>
                      </c:rich>
                    </c:tx>
                    <c:dLblPos val="inBase"/>
                    <c:showLegendKey val="0"/>
                    <c:showVal val="0"/>
                    <c:showCatName val="0"/>
                    <c:showSerName val="0"/>
                    <c:showPercent val="0"/>
                    <c:showBubbleSize val="0"/>
                    <c:extLst>
                      <c:ext uri="{CE6537A1-D6FC-4f65-9D91-7224C49458BB}">
                        <c15:xForSave val="1"/>
                        <c15:showDataLabelsRange val="1"/>
                      </c:ext>
                      <c:ext xmlns:c16="http://schemas.microsoft.com/office/drawing/2014/chart" uri="{C3380CC4-5D6E-409C-BE32-E72D297353CC}">
                        <c16:uniqueId val="{00000016-8478-4707-8130-A6C616106FAD}"/>
                      </c:ext>
                    </c:extLst>
                  </c:dLbl>
                  <c:dLbl>
                    <c:idx val="6"/>
                    <c:tx>
                      <c:rich>
                        <a:bodyPr/>
                        <a:lstStyle/>
                        <a:p>
                          <a:fld id="{1813A019-940D-44C6-9B73-F202DE2F1A89}" type="CELLRANGE">
                            <a:rPr lang="en-US"/>
                            <a:pPr/>
                            <a:t>[CELLRANGE]</a:t>
                          </a:fld>
                          <a:endParaRPr lang="en-US"/>
                        </a:p>
                      </c:rich>
                    </c:tx>
                    <c:dLblPos val="inBase"/>
                    <c:showLegendKey val="0"/>
                    <c:showVal val="0"/>
                    <c:showCatName val="0"/>
                    <c:showSerName val="0"/>
                    <c:showPercent val="0"/>
                    <c:showBubbleSize val="0"/>
                    <c:extLst>
                      <c:ext uri="{CE6537A1-D6FC-4f65-9D91-7224C49458BB}">
                        <c15:dlblFieldTable/>
                        <c15:xForSave val="1"/>
                        <c15:showDataLabelsRange val="1"/>
                      </c:ext>
                      <c:ext xmlns:c16="http://schemas.microsoft.com/office/drawing/2014/chart" uri="{C3380CC4-5D6E-409C-BE32-E72D297353CC}">
                        <c16:uniqueId val="{00000017-8478-4707-8130-A6C616106FAD}"/>
                      </c:ext>
                    </c:extLst>
                  </c:dLbl>
                  <c:dLbl>
                    <c:idx val="7"/>
                    <c:tx>
                      <c:rich>
                        <a:bodyPr/>
                        <a:lstStyle/>
                        <a:p>
                          <a:endParaRPr lang="en-US"/>
                        </a:p>
                      </c:rich>
                    </c:tx>
                    <c:dLblPos val="inBase"/>
                    <c:showLegendKey val="0"/>
                    <c:showVal val="0"/>
                    <c:showCatName val="0"/>
                    <c:showSerName val="0"/>
                    <c:showPercent val="0"/>
                    <c:showBubbleSize val="0"/>
                    <c:extLst>
                      <c:ext uri="{CE6537A1-D6FC-4f65-9D91-7224C49458BB}">
                        <c15:xForSave val="1"/>
                        <c15:showDataLabelsRange val="1"/>
                      </c:ext>
                      <c:ext xmlns:c16="http://schemas.microsoft.com/office/drawing/2014/chart" uri="{C3380CC4-5D6E-409C-BE32-E72D297353CC}">
                        <c16:uniqueId val="{00000018-8478-4707-8130-A6C616106FA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0"/>
                  <c:showCatName val="0"/>
                  <c:showSerName val="0"/>
                  <c:showPercent val="0"/>
                  <c:showBubbleSize val="0"/>
                  <c:showLeaderLines val="0"/>
                  <c:extLst>
                    <c:ex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multiLvlStrRef>
                    <c:extLst>
                      <c:ext uri="{02D57815-91ED-43cb-92C2-25804820EDAC}">
                        <c15:formulaRef>
                          <c15:sqref>'PCP Summary Chart'!$A$5:$B$12</c15:sqref>
                        </c15:formulaRef>
                      </c:ext>
                    </c:extLst>
                    <c:multiLvlStrCache>
                      <c:ptCount val="7"/>
                      <c:lvl>
                        <c:pt idx="0">
                          <c:v>Main Lake</c:v>
                        </c:pt>
                        <c:pt idx="2">
                          <c:v>Malletts Bay</c:v>
                        </c:pt>
                        <c:pt idx="4">
                          <c:v>Main Lake</c:v>
                        </c:pt>
                        <c:pt idx="6">
                          <c:v>Malletts Bay</c:v>
                        </c:pt>
                      </c:lvl>
                      <c:lvl>
                        <c:pt idx="0">
                          <c:v>Village</c:v>
                        </c:pt>
                        <c:pt idx="2">
                          <c:v>Village</c:v>
                        </c:pt>
                        <c:pt idx="4">
                          <c:v>Town</c:v>
                        </c:pt>
                        <c:pt idx="6">
                          <c:v>Town</c:v>
                        </c:pt>
                      </c:lvl>
                    </c:multiLvlStrCache>
                  </c:multiLvlStrRef>
                </c:cat>
                <c:val>
                  <c:numRef>
                    <c:extLst>
                      <c:ext uri="{02D57815-91ED-43cb-92C2-25804820EDAC}">
                        <c15:formulaRef>
                          <c15:sqref>'PCP Summary Chart'!$G$5:$G$12</c15:sqref>
                        </c15:formulaRef>
                      </c:ext>
                    </c:extLst>
                    <c:numCache>
                      <c:formatCode>0.0</c:formatCode>
                      <c:ptCount val="8"/>
                      <c:pt idx="0">
                        <c:v>19.480314654932162</c:v>
                      </c:pt>
                      <c:pt idx="2">
                        <c:v>14.326401119277579</c:v>
                      </c:pt>
                      <c:pt idx="4">
                        <c:v>92.047335804533134</c:v>
                      </c:pt>
                      <c:pt idx="6">
                        <c:v>18.32904292289491</c:v>
                      </c:pt>
                    </c:numCache>
                  </c:numRef>
                </c:val>
                <c:extLst>
                  <c:ext uri="{02D57815-91ED-43cb-92C2-25804820EDAC}">
                    <c15:datalabelsRange>
                      <c15:f>'PCP Summary Chart'!$H$5:$H$12</c15:f>
                      <c15:dlblRangeCache>
                        <c:ptCount val="8"/>
                        <c:pt idx="0">
                          <c:v>86%</c:v>
                        </c:pt>
                        <c:pt idx="2">
                          <c:v>157%</c:v>
                        </c:pt>
                        <c:pt idx="4">
                          <c:v>211%</c:v>
                        </c:pt>
                        <c:pt idx="6">
                          <c:v>59%</c:v>
                        </c:pt>
                      </c15:dlblRangeCache>
                    </c15:datalabelsRange>
                  </c:ext>
                  <c:ext xmlns:c16="http://schemas.microsoft.com/office/drawing/2014/chart" uri="{C3380CC4-5D6E-409C-BE32-E72D297353CC}">
                    <c16:uniqueId val="{00000003-8478-4707-8130-A6C616106FAD}"/>
                  </c:ext>
                </c:extLst>
              </c15:ser>
            </c15:filteredBarSeries>
          </c:ext>
        </c:extLst>
      </c:barChart>
      <c:catAx>
        <c:axId val="32745638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27455728"/>
        <c:crosses val="autoZero"/>
        <c:auto val="0"/>
        <c:lblAlgn val="r"/>
        <c:lblOffset val="100"/>
        <c:noMultiLvlLbl val="1"/>
      </c:catAx>
      <c:valAx>
        <c:axId val="327455728"/>
        <c:scaling>
          <c:orientation val="minMax"/>
          <c:max val="9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 Reduction  (kg/yr)</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274563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1724025</xdr:colOff>
      <xdr:row>7</xdr:row>
      <xdr:rowOff>609600</xdr:rowOff>
    </xdr:from>
    <xdr:to>
      <xdr:col>0</xdr:col>
      <xdr:colOff>3368675</xdr:colOff>
      <xdr:row>10</xdr:row>
      <xdr:rowOff>53975</xdr:rowOff>
    </xdr:to>
    <xdr:pic>
      <xdr:nvPicPr>
        <xdr:cNvPr id="2" name="Picture 1">
          <a:extLst>
            <a:ext uri="{FF2B5EF4-FFF2-40B4-BE49-F238E27FC236}">
              <a16:creationId xmlns:a16="http://schemas.microsoft.com/office/drawing/2014/main" id="{42F64E46-11C7-4C06-A7E4-F4D553699371}"/>
            </a:ext>
          </a:extLst>
        </xdr:cNvPr>
        <xdr:cNvPicPr/>
      </xdr:nvPicPr>
      <xdr:blipFill rotWithShape="1">
        <a:blip xmlns:r="http://schemas.openxmlformats.org/officeDocument/2006/relationships" r:embed="rId1"/>
        <a:srcRect r="27731"/>
        <a:stretch/>
      </xdr:blipFill>
      <xdr:spPr bwMode="auto">
        <a:xfrm>
          <a:off x="1724025" y="2143125"/>
          <a:ext cx="1638300" cy="466725"/>
        </a:xfrm>
        <a:prstGeom prst="rect">
          <a:avLst/>
        </a:prstGeom>
        <a:ln>
          <a:noFill/>
        </a:ln>
        <a:extLst>
          <a:ext uri="{53640926-AAD7-44D8-BBD7-CCE9431645EC}">
            <a14:shadowObscured xmlns:a14="http://schemas.microsoft.com/office/drawing/2010/main"/>
          </a:ext>
        </a:extLst>
      </xdr:spPr>
    </xdr:pic>
    <xdr:clientData/>
  </xdr:twoCellAnchor>
  <xdr:twoCellAnchor>
    <xdr:from>
      <xdr:col>0</xdr:col>
      <xdr:colOff>1</xdr:colOff>
      <xdr:row>26</xdr:row>
      <xdr:rowOff>0</xdr:rowOff>
    </xdr:from>
    <xdr:to>
      <xdr:col>1</xdr:col>
      <xdr:colOff>70186</xdr:colOff>
      <xdr:row>37</xdr:row>
      <xdr:rowOff>164465</xdr:rowOff>
    </xdr:to>
    <xdr:grpSp>
      <xdr:nvGrpSpPr>
        <xdr:cNvPr id="4" name="Canvas 5">
          <a:extLst>
            <a:ext uri="{FF2B5EF4-FFF2-40B4-BE49-F238E27FC236}">
              <a16:creationId xmlns:a16="http://schemas.microsoft.com/office/drawing/2014/main" id="{759AEAB2-0C66-4650-8290-1C324715ECAA}"/>
            </a:ext>
          </a:extLst>
        </xdr:cNvPr>
        <xdr:cNvGrpSpPr/>
      </xdr:nvGrpSpPr>
      <xdr:grpSpPr>
        <a:xfrm>
          <a:off x="1" y="8439150"/>
          <a:ext cx="6909135" cy="2259965"/>
          <a:chOff x="0" y="0"/>
          <a:chExt cx="5928256" cy="2259965"/>
        </a:xfrm>
      </xdr:grpSpPr>
      <xdr:sp macro="" textlink="">
        <xdr:nvSpPr>
          <xdr:cNvPr id="5" name="Rectangle 4">
            <a:extLst>
              <a:ext uri="{FF2B5EF4-FFF2-40B4-BE49-F238E27FC236}">
                <a16:creationId xmlns:a16="http://schemas.microsoft.com/office/drawing/2014/main" id="{41F3DA3A-D475-4AB4-B343-4802D177D806}"/>
              </a:ext>
            </a:extLst>
          </xdr:cNvPr>
          <xdr:cNvSpPr/>
        </xdr:nvSpPr>
        <xdr:spPr>
          <a:xfrm>
            <a:off x="0" y="0"/>
            <a:ext cx="5868035" cy="2259965"/>
          </a:xfrm>
          <a:prstGeom prst="rect">
            <a:avLst/>
          </a:prstGeom>
          <a:solidFill>
            <a:prstClr val="white"/>
          </a:solidFill>
        </xdr:spPr>
      </xdr:sp>
      <xdr:grpSp>
        <xdr:nvGrpSpPr>
          <xdr:cNvPr id="6" name="Group 5">
            <a:extLst>
              <a:ext uri="{FF2B5EF4-FFF2-40B4-BE49-F238E27FC236}">
                <a16:creationId xmlns:a16="http://schemas.microsoft.com/office/drawing/2014/main" id="{DBA97ADC-9C96-4C74-8E05-80EC9FFCFFEC}"/>
              </a:ext>
            </a:extLst>
          </xdr:cNvPr>
          <xdr:cNvGrpSpPr/>
        </xdr:nvGrpSpPr>
        <xdr:grpSpPr>
          <a:xfrm>
            <a:off x="109181" y="28557"/>
            <a:ext cx="5819075" cy="2073109"/>
            <a:chOff x="109181" y="28557"/>
            <a:chExt cx="5819075" cy="2073109"/>
          </a:xfrm>
        </xdr:grpSpPr>
        <xdr:sp macro="" textlink="">
          <xdr:nvSpPr>
            <xdr:cNvPr id="7" name="Trapezoid 6">
              <a:extLst>
                <a:ext uri="{FF2B5EF4-FFF2-40B4-BE49-F238E27FC236}">
                  <a16:creationId xmlns:a16="http://schemas.microsoft.com/office/drawing/2014/main" id="{04E313BE-1DA1-4475-90B5-FB47EF32E859}"/>
                </a:ext>
              </a:extLst>
            </xdr:cNvPr>
            <xdr:cNvSpPr/>
          </xdr:nvSpPr>
          <xdr:spPr>
            <a:xfrm rot="10800000">
              <a:off x="818864" y="422747"/>
              <a:ext cx="4305865" cy="1678674"/>
            </a:xfrm>
            <a:prstGeom prst="trapezoid">
              <a:avLst>
                <a:gd name="adj" fmla="val 47127"/>
              </a:avLst>
            </a:prstGeom>
            <a:ln>
              <a:solidFill>
                <a:schemeClr val="accent1">
                  <a:lumMod val="75000"/>
                </a:schemeClr>
              </a:solidFill>
            </a:ln>
          </xdr:spPr>
          <xdr:style>
            <a:lnRef idx="2">
              <a:schemeClr val="accent1"/>
            </a:lnRef>
            <a:fillRef idx="1">
              <a:schemeClr val="l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8" name="Trapezoid 7">
              <a:extLst>
                <a:ext uri="{FF2B5EF4-FFF2-40B4-BE49-F238E27FC236}">
                  <a16:creationId xmlns:a16="http://schemas.microsoft.com/office/drawing/2014/main" id="{9BE2B637-5ABE-424D-ABDC-E996463AE6F9}"/>
                </a:ext>
              </a:extLst>
            </xdr:cNvPr>
            <xdr:cNvSpPr/>
          </xdr:nvSpPr>
          <xdr:spPr>
            <a:xfrm rot="10800000">
              <a:off x="1192959" y="1319839"/>
              <a:ext cx="3466106" cy="771097"/>
            </a:xfrm>
            <a:prstGeom prst="trapezoid">
              <a:avLst>
                <a:gd name="adj" fmla="val 48041"/>
              </a:avLst>
            </a:prstGeom>
            <a:solidFill>
              <a:schemeClr val="accent1">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9" name="Trapezoid 8">
              <a:extLst>
                <a:ext uri="{FF2B5EF4-FFF2-40B4-BE49-F238E27FC236}">
                  <a16:creationId xmlns:a16="http://schemas.microsoft.com/office/drawing/2014/main" id="{CFD3B4F2-52A0-418A-8070-65012C83E62E}"/>
                </a:ext>
              </a:extLst>
            </xdr:cNvPr>
            <xdr:cNvSpPr/>
          </xdr:nvSpPr>
          <xdr:spPr>
            <a:xfrm rot="10800000">
              <a:off x="976892" y="832032"/>
              <a:ext cx="3936243" cy="498138"/>
            </a:xfrm>
            <a:prstGeom prst="trapezoid">
              <a:avLst>
                <a:gd name="adj" fmla="val 48710"/>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0" name="Rectangle 9">
              <a:extLst>
                <a:ext uri="{FF2B5EF4-FFF2-40B4-BE49-F238E27FC236}">
                  <a16:creationId xmlns:a16="http://schemas.microsoft.com/office/drawing/2014/main" id="{E86293B4-8D7B-42D7-BE67-6752EDAAB9C0}"/>
                </a:ext>
              </a:extLst>
            </xdr:cNvPr>
            <xdr:cNvSpPr/>
          </xdr:nvSpPr>
          <xdr:spPr>
            <a:xfrm>
              <a:off x="4349655" y="586764"/>
              <a:ext cx="574770" cy="1514902"/>
            </a:xfrm>
            <a:prstGeom prst="rect">
              <a:avLst/>
            </a:prstGeom>
          </xdr:spPr>
          <xdr:style>
            <a:lnRef idx="2">
              <a:schemeClr val="accent3">
                <a:shade val="50000"/>
              </a:schemeClr>
            </a:lnRef>
            <a:fillRef idx="1">
              <a:schemeClr val="accent3"/>
            </a:fillRef>
            <a:effectRef idx="0">
              <a:schemeClr val="accent3"/>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1" name="Oval 10">
              <a:extLst>
                <a:ext uri="{FF2B5EF4-FFF2-40B4-BE49-F238E27FC236}">
                  <a16:creationId xmlns:a16="http://schemas.microsoft.com/office/drawing/2014/main" id="{49584C62-9294-415C-9A4A-CF2F5ED787D3}"/>
                </a:ext>
              </a:extLst>
            </xdr:cNvPr>
            <xdr:cNvSpPr/>
          </xdr:nvSpPr>
          <xdr:spPr>
            <a:xfrm>
              <a:off x="4353418" y="1262415"/>
              <a:ext cx="98946" cy="88708"/>
            </a:xfrm>
            <a:prstGeom prst="ellipse">
              <a:avLst/>
            </a:prstGeom>
          </xdr:spPr>
          <xdr:style>
            <a:lnRef idx="2">
              <a:schemeClr val="dk1">
                <a:shade val="50000"/>
              </a:schemeClr>
            </a:lnRef>
            <a:fillRef idx="1">
              <a:schemeClr val="dk1"/>
            </a:fillRef>
            <a:effectRef idx="0">
              <a:schemeClr val="dk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2" name="Rectangle 11">
              <a:extLst>
                <a:ext uri="{FF2B5EF4-FFF2-40B4-BE49-F238E27FC236}">
                  <a16:creationId xmlns:a16="http://schemas.microsoft.com/office/drawing/2014/main" id="{0C9FCFF0-5B8A-47C0-8EBE-93A3F1B4C2DA}"/>
                </a:ext>
              </a:extLst>
            </xdr:cNvPr>
            <xdr:cNvSpPr/>
          </xdr:nvSpPr>
          <xdr:spPr>
            <a:xfrm>
              <a:off x="4353844" y="716518"/>
              <a:ext cx="307075" cy="115999"/>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3" name="Text Box 12">
              <a:extLst>
                <a:ext uri="{FF2B5EF4-FFF2-40B4-BE49-F238E27FC236}">
                  <a16:creationId xmlns:a16="http://schemas.microsoft.com/office/drawing/2014/main" id="{41BC2AED-284C-4679-9F71-5F2DADEDEA46}"/>
                </a:ext>
              </a:extLst>
            </xdr:cNvPr>
            <xdr:cNvSpPr txBox="1"/>
          </xdr:nvSpPr>
          <xdr:spPr>
            <a:xfrm>
              <a:off x="2135874" y="1501254"/>
              <a:ext cx="1535373" cy="327547"/>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Permanent Pool </a:t>
              </a:r>
            </a:p>
          </xdr:txBody>
        </xdr:sp>
        <xdr:sp macro="" textlink="">
          <xdr:nvSpPr>
            <xdr:cNvPr id="14" name="Text Box 12">
              <a:extLst>
                <a:ext uri="{FF2B5EF4-FFF2-40B4-BE49-F238E27FC236}">
                  <a16:creationId xmlns:a16="http://schemas.microsoft.com/office/drawing/2014/main" id="{FD7447C5-5D58-4EC9-A685-B4107BA6D740}"/>
                </a:ext>
              </a:extLst>
            </xdr:cNvPr>
            <xdr:cNvSpPr txBox="1"/>
          </xdr:nvSpPr>
          <xdr:spPr>
            <a:xfrm>
              <a:off x="1350017" y="841885"/>
              <a:ext cx="2975211" cy="443546"/>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algn="ctr">
                <a:lnSpc>
                  <a:spcPct val="106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Extended Detention 12-24 hours, typically controlled by a small orifice</a:t>
              </a:r>
            </a:p>
          </xdr:txBody>
        </xdr:sp>
        <xdr:sp macro="" textlink="">
          <xdr:nvSpPr>
            <xdr:cNvPr id="15" name="Text Box 14">
              <a:extLst>
                <a:ext uri="{FF2B5EF4-FFF2-40B4-BE49-F238E27FC236}">
                  <a16:creationId xmlns:a16="http://schemas.microsoft.com/office/drawing/2014/main" id="{8A33F28F-B8B1-407D-8C7A-6508ED48F086}"/>
                </a:ext>
              </a:extLst>
            </xdr:cNvPr>
            <xdr:cNvSpPr txBox="1"/>
          </xdr:nvSpPr>
          <xdr:spPr>
            <a:xfrm>
              <a:off x="1187353" y="470757"/>
              <a:ext cx="3060797" cy="307074"/>
            </a:xfrm>
            <a:prstGeom prst="rect">
              <a:avLst/>
            </a:prstGeom>
            <a:solidFill>
              <a:schemeClr val="bg1"/>
            </a:solid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Flood Storage – Typically short detention times.</a:t>
              </a:r>
            </a:p>
          </xdr:txBody>
        </xdr:sp>
        <xdr:sp macro="" textlink="">
          <xdr:nvSpPr>
            <xdr:cNvPr id="16" name="Left Brace 15">
              <a:extLst>
                <a:ext uri="{FF2B5EF4-FFF2-40B4-BE49-F238E27FC236}">
                  <a16:creationId xmlns:a16="http://schemas.microsoft.com/office/drawing/2014/main" id="{E04F970C-E9F1-4DEB-8C3F-85F2A8D8D9E3}"/>
                </a:ext>
              </a:extLst>
            </xdr:cNvPr>
            <xdr:cNvSpPr/>
          </xdr:nvSpPr>
          <xdr:spPr>
            <a:xfrm>
              <a:off x="818865" y="832195"/>
              <a:ext cx="307075" cy="1268117"/>
            </a:xfrm>
            <a:prstGeom prst="leftBrace">
              <a:avLst>
                <a:gd name="adj1" fmla="val 40492"/>
                <a:gd name="adj2" fmla="val 50000"/>
              </a:avLst>
            </a:prstGeom>
            <a:ln w="19050"/>
          </xdr:spPr>
          <xdr:style>
            <a:lnRef idx="2">
              <a:schemeClr val="accent2"/>
            </a:lnRef>
            <a:fillRef idx="0">
              <a:schemeClr val="accent2"/>
            </a:fillRef>
            <a:effectRef idx="1">
              <a:schemeClr val="accent2"/>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7" name="Text Box 18">
              <a:extLst>
                <a:ext uri="{FF2B5EF4-FFF2-40B4-BE49-F238E27FC236}">
                  <a16:creationId xmlns:a16="http://schemas.microsoft.com/office/drawing/2014/main" id="{1E9F17ED-446E-4FA5-BC8D-9C4A80D4CD80}"/>
                </a:ext>
              </a:extLst>
            </xdr:cNvPr>
            <xdr:cNvSpPr txBox="1"/>
          </xdr:nvSpPr>
          <xdr:spPr>
            <a:xfrm>
              <a:off x="109181" y="948519"/>
              <a:ext cx="771099" cy="1090300"/>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a:lnSpc>
                  <a:spcPct val="107000"/>
                </a:lnSpc>
                <a:spcBef>
                  <a:spcPts val="0"/>
                </a:spcBef>
                <a:spcAft>
                  <a:spcPts val="0"/>
                </a:spcAft>
              </a:pPr>
              <a:r>
                <a:rPr lang="en-US" sz="1100">
                  <a:effectLst/>
                  <a:latin typeface="Calibri" panose="020F0502020204030204" pitchFamily="34" charset="0"/>
                  <a:ea typeface="Calibri" panose="020F0502020204030204" pitchFamily="34" charset="0"/>
                  <a:cs typeface="Times New Roman" panose="02020603050405020304" pitchFamily="18" charset="0"/>
                </a:rPr>
                <a:t>Storage Volume for Credit</a:t>
              </a:r>
            </a:p>
            <a:p>
              <a:pPr marL="0" marR="0">
                <a:lnSpc>
                  <a:spcPct val="107000"/>
                </a:lnSpc>
                <a:spcBef>
                  <a:spcPts val="0"/>
                </a:spcBef>
                <a:spcAft>
                  <a:spcPts val="0"/>
                </a:spcAft>
              </a:pPr>
              <a:r>
                <a:rPr lang="en-US" sz="1100">
                  <a:effectLst/>
                  <a:latin typeface="Calibri" panose="020F0502020204030204" pitchFamily="34" charset="0"/>
                  <a:ea typeface="Calibri" panose="020F0502020204030204" pitchFamily="34" charset="0"/>
                  <a:cs typeface="Times New Roman" panose="02020603050405020304" pitchFamily="18" charset="0"/>
                </a:rPr>
                <a:t>Calcs</a:t>
              </a:r>
            </a:p>
          </xdr:txBody>
        </xdr:sp>
        <xdr:sp macro="" textlink="">
          <xdr:nvSpPr>
            <xdr:cNvPr id="18" name="Text Box 19">
              <a:extLst>
                <a:ext uri="{FF2B5EF4-FFF2-40B4-BE49-F238E27FC236}">
                  <a16:creationId xmlns:a16="http://schemas.microsoft.com/office/drawing/2014/main" id="{B3F8F745-DAD9-4007-8798-143721ED91C5}"/>
                </a:ext>
              </a:extLst>
            </xdr:cNvPr>
            <xdr:cNvSpPr txBox="1"/>
          </xdr:nvSpPr>
          <xdr:spPr>
            <a:xfrm>
              <a:off x="4762567" y="28557"/>
              <a:ext cx="885758" cy="276243"/>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Outlet Riser</a:t>
              </a:r>
            </a:p>
          </xdr:txBody>
        </xdr:sp>
        <xdr:cxnSp macro="">
          <xdr:nvCxnSpPr>
            <xdr:cNvPr id="19" name="Connector: Curved 21">
              <a:extLst>
                <a:ext uri="{FF2B5EF4-FFF2-40B4-BE49-F238E27FC236}">
                  <a16:creationId xmlns:a16="http://schemas.microsoft.com/office/drawing/2014/main" id="{128A9530-F682-4A2E-A813-A8DC68C12C56}"/>
                </a:ext>
              </a:extLst>
            </xdr:cNvPr>
            <xdr:cNvCxnSpPr>
              <a:stCxn id="18" idx="2"/>
              <a:endCxn id="10" idx="0"/>
            </xdr:cNvCxnSpPr>
          </xdr:nvCxnSpPr>
          <xdr:spPr>
            <a:xfrm flipH="1">
              <a:off x="4637040" y="304800"/>
              <a:ext cx="568406" cy="281964"/>
            </a:xfrm>
            <a:prstGeom prst="straightConnector1">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20" name="Text Box 19">
              <a:extLst>
                <a:ext uri="{FF2B5EF4-FFF2-40B4-BE49-F238E27FC236}">
                  <a16:creationId xmlns:a16="http://schemas.microsoft.com/office/drawing/2014/main" id="{6179E006-E18D-40AB-914C-AEC97E4F38A5}"/>
                </a:ext>
              </a:extLst>
            </xdr:cNvPr>
            <xdr:cNvSpPr txBox="1"/>
          </xdr:nvSpPr>
          <xdr:spPr>
            <a:xfrm>
              <a:off x="4959880" y="577255"/>
              <a:ext cx="968376" cy="413068"/>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a:lnSpc>
                  <a:spcPct val="106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Overflow for large storms</a:t>
              </a:r>
            </a:p>
          </xdr:txBody>
        </xdr:sp>
        <xdr:sp macro="" textlink="">
          <xdr:nvSpPr>
            <xdr:cNvPr id="21" name="Text Box 19">
              <a:extLst>
                <a:ext uri="{FF2B5EF4-FFF2-40B4-BE49-F238E27FC236}">
                  <a16:creationId xmlns:a16="http://schemas.microsoft.com/office/drawing/2014/main" id="{30E84109-C1F7-4713-8541-F839B4B15EBA}"/>
                </a:ext>
              </a:extLst>
            </xdr:cNvPr>
            <xdr:cNvSpPr txBox="1"/>
          </xdr:nvSpPr>
          <xdr:spPr>
            <a:xfrm>
              <a:off x="4935362" y="1009650"/>
              <a:ext cx="968376" cy="691434"/>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a:lnSpc>
                  <a:spcPct val="105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Small outlet for extended detention</a:t>
              </a:r>
            </a:p>
          </xdr:txBody>
        </xdr:sp>
        <xdr:cxnSp macro="">
          <xdr:nvCxnSpPr>
            <xdr:cNvPr id="22" name="Straight Arrow Connector 21">
              <a:extLst>
                <a:ext uri="{FF2B5EF4-FFF2-40B4-BE49-F238E27FC236}">
                  <a16:creationId xmlns:a16="http://schemas.microsoft.com/office/drawing/2014/main" id="{68F9104D-AE77-4FB6-9CED-1F973E37C7C9}"/>
                </a:ext>
              </a:extLst>
            </xdr:cNvPr>
            <xdr:cNvCxnSpPr>
              <a:stCxn id="20" idx="1"/>
              <a:endCxn id="12" idx="3"/>
            </xdr:cNvCxnSpPr>
          </xdr:nvCxnSpPr>
          <xdr:spPr>
            <a:xfrm flipH="1" flipV="1">
              <a:off x="4660919" y="774518"/>
              <a:ext cx="298961" cy="9271"/>
            </a:xfrm>
            <a:prstGeom prst="straightConnector1">
              <a:avLst/>
            </a:prstGeom>
            <a:ln>
              <a:tailEnd type="triangle"/>
            </a:ln>
          </xdr:spPr>
          <xdr:style>
            <a:lnRef idx="2">
              <a:schemeClr val="dk1"/>
            </a:lnRef>
            <a:fillRef idx="0">
              <a:schemeClr val="dk1"/>
            </a:fillRef>
            <a:effectRef idx="1">
              <a:schemeClr val="dk1"/>
            </a:effectRef>
            <a:fontRef idx="minor">
              <a:schemeClr val="tx1"/>
            </a:fontRef>
          </xdr:style>
        </xdr:cxnSp>
        <xdr:cxnSp macro="">
          <xdr:nvCxnSpPr>
            <xdr:cNvPr id="23" name="Straight Arrow Connector 22">
              <a:extLst>
                <a:ext uri="{FF2B5EF4-FFF2-40B4-BE49-F238E27FC236}">
                  <a16:creationId xmlns:a16="http://schemas.microsoft.com/office/drawing/2014/main" id="{77D9314F-8413-46FD-A626-CB1751F51671}"/>
                </a:ext>
              </a:extLst>
            </xdr:cNvPr>
            <xdr:cNvCxnSpPr>
              <a:stCxn id="21" idx="1"/>
              <a:endCxn id="11" idx="5"/>
            </xdr:cNvCxnSpPr>
          </xdr:nvCxnSpPr>
          <xdr:spPr>
            <a:xfrm flipH="1" flipV="1">
              <a:off x="4437873" y="1338132"/>
              <a:ext cx="497488" cy="17235"/>
            </a:xfrm>
            <a:prstGeom prst="straightConnector1">
              <a:avLst/>
            </a:prstGeom>
            <a:ln>
              <a:tailEnd type="triangle"/>
            </a:ln>
          </xdr:spPr>
          <xdr:style>
            <a:lnRef idx="2">
              <a:schemeClr val="dk1"/>
            </a:lnRef>
            <a:fillRef idx="0">
              <a:schemeClr val="dk1"/>
            </a:fillRef>
            <a:effectRef idx="1">
              <a:schemeClr val="dk1"/>
            </a:effectRef>
            <a:fontRef idx="minor">
              <a:schemeClr val="tx1"/>
            </a:fontRef>
          </xdr:style>
        </xdr:cxnSp>
      </xdr:grpSp>
    </xdr:grpSp>
    <xdr:clientData/>
  </xdr:twoCellAnchor>
  <xdr:twoCellAnchor>
    <xdr:from>
      <xdr:col>0</xdr:col>
      <xdr:colOff>1</xdr:colOff>
      <xdr:row>43</xdr:row>
      <xdr:rowOff>0</xdr:rowOff>
    </xdr:from>
    <xdr:to>
      <xdr:col>0</xdr:col>
      <xdr:colOff>6438900</xdr:colOff>
      <xdr:row>57</xdr:row>
      <xdr:rowOff>94615</xdr:rowOff>
    </xdr:to>
    <xdr:grpSp>
      <xdr:nvGrpSpPr>
        <xdr:cNvPr id="25" name="Group 24">
          <a:extLst>
            <a:ext uri="{FF2B5EF4-FFF2-40B4-BE49-F238E27FC236}">
              <a16:creationId xmlns:a16="http://schemas.microsoft.com/office/drawing/2014/main" id="{E9E0B42B-297E-413A-9558-7BAEC49262F7}"/>
            </a:ext>
          </a:extLst>
        </xdr:cNvPr>
        <xdr:cNvGrpSpPr/>
      </xdr:nvGrpSpPr>
      <xdr:grpSpPr>
        <a:xfrm>
          <a:off x="1" y="11868150"/>
          <a:ext cx="6438899" cy="2761615"/>
          <a:chOff x="0" y="0"/>
          <a:chExt cx="5771515" cy="2762250"/>
        </a:xfrm>
      </xdr:grpSpPr>
      <xdr:pic>
        <xdr:nvPicPr>
          <xdr:cNvPr id="26" name="Picture 25">
            <a:extLst>
              <a:ext uri="{FF2B5EF4-FFF2-40B4-BE49-F238E27FC236}">
                <a16:creationId xmlns:a16="http://schemas.microsoft.com/office/drawing/2014/main" id="{E5A1E862-5216-45BE-96B0-881857ADE048}"/>
              </a:ext>
            </a:extLst>
          </xdr:cNvPr>
          <xdr:cNvPicPr>
            <a:picLocks noChangeAspect="1"/>
          </xdr:cNvPicPr>
        </xdr:nvPicPr>
        <xdr:blipFill>
          <a:blip xmlns:r="http://schemas.openxmlformats.org/officeDocument/2006/relationships" r:embed="rId2"/>
          <a:stretch>
            <a:fillRect/>
          </a:stretch>
        </xdr:blipFill>
        <xdr:spPr>
          <a:xfrm>
            <a:off x="0" y="0"/>
            <a:ext cx="5552495" cy="2762250"/>
          </a:xfrm>
          <a:prstGeom prst="rect">
            <a:avLst/>
          </a:prstGeom>
        </xdr:spPr>
      </xdr:pic>
      <xdr:sp macro="" textlink="">
        <xdr:nvSpPr>
          <xdr:cNvPr id="27" name="Text Box 3">
            <a:extLst>
              <a:ext uri="{FF2B5EF4-FFF2-40B4-BE49-F238E27FC236}">
                <a16:creationId xmlns:a16="http://schemas.microsoft.com/office/drawing/2014/main" id="{26BD9608-22DE-4394-B3FD-5150F17CD991}"/>
              </a:ext>
            </a:extLst>
          </xdr:cNvPr>
          <xdr:cNvSpPr txBox="1"/>
        </xdr:nvSpPr>
        <xdr:spPr>
          <a:xfrm>
            <a:off x="4353419" y="2095500"/>
            <a:ext cx="1252248" cy="361950"/>
          </a:xfrm>
          <a:prstGeom prst="rect">
            <a:avLst/>
          </a:prstGeom>
          <a:ln>
            <a:noFill/>
          </a:ln>
        </xdr:spPr>
        <xdr:style>
          <a:lnRef idx="2">
            <a:schemeClr val="accent2"/>
          </a:lnRef>
          <a:fillRef idx="1">
            <a:schemeClr val="lt1"/>
          </a:fillRef>
          <a:effectRef idx="0">
            <a:schemeClr val="accent2"/>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marL="0" marR="0">
              <a:lnSpc>
                <a:spcPct val="107000"/>
              </a:lnSpc>
              <a:spcBef>
                <a:spcPts val="0"/>
              </a:spcBef>
              <a:spcAft>
                <a:spcPts val="800"/>
              </a:spcAft>
            </a:pPr>
            <a:r>
              <a:rPr lang="en-US" sz="1100" b="1">
                <a:solidFill>
                  <a:srgbClr val="2F5496"/>
                </a:solidFill>
                <a:effectLst/>
                <a:ea typeface="Calibri" panose="020F0502020204030204" pitchFamily="34" charset="0"/>
                <a:cs typeface="Times New Roman" panose="02020603050405020304" pitchFamily="18" charset="0"/>
              </a:rPr>
              <a:t>Overflow Orifice</a:t>
            </a:r>
            <a:endParaRPr lang="en-US" sz="1100">
              <a:effectLst/>
              <a:ea typeface="Calibri" panose="020F0502020204030204" pitchFamily="34" charset="0"/>
              <a:cs typeface="Times New Roman" panose="02020603050405020304" pitchFamily="18" charset="0"/>
            </a:endParaRPr>
          </a:p>
        </xdr:txBody>
      </xdr:sp>
      <xdr:sp macro="" textlink="">
        <xdr:nvSpPr>
          <xdr:cNvPr id="28" name="Rectangle: Rounded Corners 27">
            <a:extLst>
              <a:ext uri="{FF2B5EF4-FFF2-40B4-BE49-F238E27FC236}">
                <a16:creationId xmlns:a16="http://schemas.microsoft.com/office/drawing/2014/main" id="{94AD35CA-1BB2-41DB-88C9-9B130975D77D}"/>
              </a:ext>
            </a:extLst>
          </xdr:cNvPr>
          <xdr:cNvSpPr/>
        </xdr:nvSpPr>
        <xdr:spPr>
          <a:xfrm>
            <a:off x="109181" y="2143125"/>
            <a:ext cx="5662334" cy="314325"/>
          </a:xfrm>
          <a:prstGeom prst="roundRect">
            <a:avLst/>
          </a:prstGeom>
          <a:noFill/>
          <a:ln w="19050"/>
        </xdr:spPr>
        <xdr:style>
          <a:lnRef idx="2">
            <a:schemeClr val="accent2"/>
          </a:lnRef>
          <a:fillRef idx="1">
            <a:schemeClr val="lt1"/>
          </a:fillRef>
          <a:effectRef idx="0">
            <a:schemeClr val="accent2"/>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cxnSp macro="">
        <xdr:nvCxnSpPr>
          <xdr:cNvPr id="29" name="Straight Arrow Connector 28">
            <a:extLst>
              <a:ext uri="{FF2B5EF4-FFF2-40B4-BE49-F238E27FC236}">
                <a16:creationId xmlns:a16="http://schemas.microsoft.com/office/drawing/2014/main" id="{CD90C1CA-1935-4A3B-A344-357820BC869A}"/>
              </a:ext>
            </a:extLst>
          </xdr:cNvPr>
          <xdr:cNvCxnSpPr/>
        </xdr:nvCxnSpPr>
        <xdr:spPr>
          <a:xfrm flipH="1">
            <a:off x="3305177" y="952500"/>
            <a:ext cx="571499" cy="0"/>
          </a:xfrm>
          <a:prstGeom prst="straightConnector1">
            <a:avLst/>
          </a:prstGeom>
          <a:ln w="28575">
            <a:solidFill>
              <a:schemeClr val="accent2"/>
            </a:solidFill>
            <a:tailEnd type="triangle"/>
          </a:ln>
        </xdr:spPr>
        <xdr:style>
          <a:lnRef idx="2">
            <a:schemeClr val="accent2"/>
          </a:lnRef>
          <a:fillRef idx="0">
            <a:schemeClr val="accent2"/>
          </a:fillRef>
          <a:effectRef idx="1">
            <a:schemeClr val="accent2"/>
          </a:effectRef>
          <a:fontRef idx="minor">
            <a:schemeClr val="tx1"/>
          </a:fontRef>
        </xdr:style>
      </xdr:cxnSp>
      <xdr:sp macro="" textlink="">
        <xdr:nvSpPr>
          <xdr:cNvPr id="30" name="Text Box 6">
            <a:extLst>
              <a:ext uri="{FF2B5EF4-FFF2-40B4-BE49-F238E27FC236}">
                <a16:creationId xmlns:a16="http://schemas.microsoft.com/office/drawing/2014/main" id="{51C49B1E-8D1F-4C68-BAA4-F64827D782D4}"/>
              </a:ext>
            </a:extLst>
          </xdr:cNvPr>
          <xdr:cNvSpPr txBox="1"/>
        </xdr:nvSpPr>
        <xdr:spPr>
          <a:xfrm>
            <a:off x="3876675" y="657225"/>
            <a:ext cx="1328716" cy="685800"/>
          </a:xfrm>
          <a:prstGeom prst="rect">
            <a:avLst/>
          </a:prstGeom>
          <a:solidFill>
            <a:schemeClr val="lt1"/>
          </a:solid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a:lnSpc>
                <a:spcPct val="107000"/>
              </a:lnSpc>
              <a:spcBef>
                <a:spcPts val="0"/>
              </a:spcBef>
              <a:spcAft>
                <a:spcPts val="800"/>
              </a:spcAft>
            </a:pPr>
            <a:r>
              <a:rPr lang="en-US" sz="1100" b="1">
                <a:solidFill>
                  <a:srgbClr val="2F5496"/>
                </a:solidFill>
                <a:effectLst/>
                <a:latin typeface="Calibri" panose="020F0502020204030204" pitchFamily="34" charset="0"/>
                <a:ea typeface="Calibri" panose="020F0502020204030204" pitchFamily="34" charset="0"/>
                <a:cs typeface="Times New Roman" panose="02020603050405020304" pitchFamily="18" charset="0"/>
              </a:rPr>
              <a:t>Storage volume @ 370’ = 26,389 ft</a:t>
            </a:r>
            <a:r>
              <a:rPr lang="en-US" sz="1100" b="1" baseline="30000">
                <a:solidFill>
                  <a:srgbClr val="2F5496"/>
                </a:solidFill>
                <a:effectLst/>
                <a:latin typeface="Calibri" panose="020F0502020204030204" pitchFamily="34" charset="0"/>
                <a:ea typeface="Calibri" panose="020F0502020204030204" pitchFamily="34" charset="0"/>
                <a:cs typeface="Times New Roman" panose="02020603050405020304" pitchFamily="18" charset="0"/>
              </a:rPr>
              <a:t>3</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0</xdr:col>
      <xdr:colOff>2</xdr:colOff>
      <xdr:row>64</xdr:row>
      <xdr:rowOff>123825</xdr:rowOff>
    </xdr:from>
    <xdr:to>
      <xdr:col>0</xdr:col>
      <xdr:colOff>6276975</xdr:colOff>
      <xdr:row>83</xdr:row>
      <xdr:rowOff>38100</xdr:rowOff>
    </xdr:to>
    <xdr:grpSp>
      <xdr:nvGrpSpPr>
        <xdr:cNvPr id="31" name="Group 30">
          <a:extLst>
            <a:ext uri="{FF2B5EF4-FFF2-40B4-BE49-F238E27FC236}">
              <a16:creationId xmlns:a16="http://schemas.microsoft.com/office/drawing/2014/main" id="{9BD44A01-6789-4DC6-8193-C0EA3950C576}"/>
            </a:ext>
          </a:extLst>
        </xdr:cNvPr>
        <xdr:cNvGrpSpPr/>
      </xdr:nvGrpSpPr>
      <xdr:grpSpPr>
        <a:xfrm>
          <a:off x="2" y="16954500"/>
          <a:ext cx="6276973" cy="3533775"/>
          <a:chOff x="215122" y="5"/>
          <a:chExt cx="5814203" cy="3652833"/>
        </a:xfrm>
      </xdr:grpSpPr>
      <xdr:pic>
        <xdr:nvPicPr>
          <xdr:cNvPr id="32" name="Picture 31">
            <a:extLst>
              <a:ext uri="{FF2B5EF4-FFF2-40B4-BE49-F238E27FC236}">
                <a16:creationId xmlns:a16="http://schemas.microsoft.com/office/drawing/2014/main" id="{F5A187C1-8BCA-4B1A-ADEF-22D501DEBE7D}"/>
              </a:ext>
            </a:extLst>
          </xdr:cNvPr>
          <xdr:cNvPicPr>
            <a:picLocks noChangeAspect="1"/>
          </xdr:cNvPicPr>
        </xdr:nvPicPr>
        <xdr:blipFill rotWithShape="1">
          <a:blip xmlns:r="http://schemas.openxmlformats.org/officeDocument/2006/relationships" r:embed="rId3"/>
          <a:srcRect t="1797" r="2178" b="4"/>
          <a:stretch/>
        </xdr:blipFill>
        <xdr:spPr>
          <a:xfrm>
            <a:off x="215122" y="5"/>
            <a:ext cx="5814203" cy="3652833"/>
          </a:xfrm>
          <a:prstGeom prst="rect">
            <a:avLst/>
          </a:prstGeom>
        </xdr:spPr>
      </xdr:pic>
      <xdr:sp macro="" textlink="">
        <xdr:nvSpPr>
          <xdr:cNvPr id="33" name="Rectangle: Rounded Corners 32">
            <a:extLst>
              <a:ext uri="{FF2B5EF4-FFF2-40B4-BE49-F238E27FC236}">
                <a16:creationId xmlns:a16="http://schemas.microsoft.com/office/drawing/2014/main" id="{0A723731-038F-4F73-BC5D-8B3D0900D924}"/>
              </a:ext>
            </a:extLst>
          </xdr:cNvPr>
          <xdr:cNvSpPr/>
        </xdr:nvSpPr>
        <xdr:spPr>
          <a:xfrm>
            <a:off x="215123" y="1542557"/>
            <a:ext cx="1251728" cy="145635"/>
          </a:xfrm>
          <a:prstGeom prst="roundRect">
            <a:avLst/>
          </a:prstGeom>
          <a:noFill/>
          <a:ln w="19050"/>
        </xdr:spPr>
        <xdr:style>
          <a:lnRef idx="2">
            <a:schemeClr val="accent2"/>
          </a:lnRef>
          <a:fillRef idx="1">
            <a:schemeClr val="lt1"/>
          </a:fillRef>
          <a:effectRef idx="0">
            <a:schemeClr val="accent2"/>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marR="0" algn="ctr">
              <a:lnSpc>
                <a:spcPct val="106000"/>
              </a:lnSpc>
              <a:spcBef>
                <a:spcPts val="0"/>
              </a:spcBef>
              <a:spcAft>
                <a:spcPts val="800"/>
              </a:spcAft>
            </a:pPr>
            <a:r>
              <a:rPr lang="en-US" sz="1100">
                <a:effectLst/>
                <a:ea typeface="Calibri" panose="020F0502020204030204" pitchFamily="34" charset="0"/>
                <a:cs typeface="Times New Roman" panose="02020603050405020304" pitchFamily="18" charset="0"/>
              </a:rPr>
              <a:t> </a:t>
            </a:r>
          </a:p>
        </xdr:txBody>
      </xdr:sp>
    </xdr:grpSp>
    <xdr:clientData/>
  </xdr:twoCellAnchor>
  <xdr:twoCellAnchor>
    <xdr:from>
      <xdr:col>0</xdr:col>
      <xdr:colOff>3114675</xdr:colOff>
      <xdr:row>11</xdr:row>
      <xdr:rowOff>28575</xdr:rowOff>
    </xdr:from>
    <xdr:to>
      <xdr:col>0</xdr:col>
      <xdr:colOff>3286125</xdr:colOff>
      <xdr:row>11</xdr:row>
      <xdr:rowOff>180975</xdr:rowOff>
    </xdr:to>
    <xdr:sp macro="" textlink="">
      <xdr:nvSpPr>
        <xdr:cNvPr id="34" name="Rectangle 33">
          <a:extLst>
            <a:ext uri="{FF2B5EF4-FFF2-40B4-BE49-F238E27FC236}">
              <a16:creationId xmlns:a16="http://schemas.microsoft.com/office/drawing/2014/main" id="{7032C46C-5F69-45F8-8C45-5DB2C535A1D2}"/>
            </a:ext>
          </a:extLst>
        </xdr:cNvPr>
        <xdr:cNvSpPr/>
      </xdr:nvSpPr>
      <xdr:spPr>
        <a:xfrm>
          <a:off x="3114675" y="3019425"/>
          <a:ext cx="171450" cy="152400"/>
        </a:xfrm>
        <a:prstGeom prst="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68580</xdr:colOff>
      <xdr:row>13</xdr:row>
      <xdr:rowOff>26670</xdr:rowOff>
    </xdr:from>
    <xdr:to>
      <xdr:col>7</xdr:col>
      <xdr:colOff>196327</xdr:colOff>
      <xdr:row>28</xdr:row>
      <xdr:rowOff>26670</xdr:rowOff>
    </xdr:to>
    <xdr:graphicFrame macro="">
      <xdr:nvGraphicFramePr>
        <xdr:cNvPr id="5" name="Chart 4">
          <a:extLst>
            <a:ext uri="{FF2B5EF4-FFF2-40B4-BE49-F238E27FC236}">
              <a16:creationId xmlns:a16="http://schemas.microsoft.com/office/drawing/2014/main" id="{28C08B70-DF19-4DA2-B9FC-EF45B31DEA5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my Macrellis" refreshedDate="45372.303085069441" createdVersion="8" refreshedVersion="8" minRefreshableVersion="3" recordCount="140" xr:uid="{A23D41A1-7F57-46C0-81B1-26C4A9C8C95A}">
  <cacheSource type="worksheet">
    <worksheetSource ref="A2:BF142" sheet="BMP P Tracking Table"/>
  </cacheSource>
  <cacheFields count="58">
    <cacheField name="GIS permit number _x000a_(further identifier if needed)" numFmtId="0">
      <sharedItems containsBlank="1"/>
    </cacheField>
    <cacheField name="Unique ID " numFmtId="0">
      <sharedItems/>
    </cacheField>
    <cacheField name="Project Name" numFmtId="0">
      <sharedItems/>
    </cacheField>
    <cacheField name="Land Owner" numFmtId="0">
      <sharedItems/>
    </cacheField>
    <cacheField name="Responsible Party " numFmtId="0">
      <sharedItems count="2">
        <s v="Essex Town MS4"/>
        <s v="Essex Junction MS4"/>
      </sharedItems>
    </cacheField>
    <cacheField name="Latitude (decimal degrees)" numFmtId="165">
      <sharedItems containsString="0" containsBlank="1" containsNumber="1" minValue="44.492621" maxValue="44.499437"/>
    </cacheField>
    <cacheField name="Longitude (decimal degrees)" numFmtId="165">
      <sharedItems containsString="0" containsBlank="1" containsNumber="1" minValue="-73.099537999999995" maxValue="-73.097318000000001"/>
    </cacheField>
    <cacheField name="Existing SW permit number (if applicable)" numFmtId="0">
      <sharedItems containsBlank="1"/>
    </cacheField>
    <cacheField name="Watershed Projects Database ID (if known)" numFmtId="0">
      <sharedItems containsNonDate="0" containsString="0" containsBlank="1"/>
    </cacheField>
    <cacheField name="Part of MS4/ Incorporated into MS4" numFmtId="0">
      <sharedItems/>
    </cacheField>
    <cacheField name="Cost Estimate (optional)" numFmtId="0">
      <sharedItems containsString="0" containsBlank="1" containsNumber="1" minValue="2500" maxValue="950000"/>
    </cacheField>
    <cacheField name="BMP Status " numFmtId="0">
      <sharedItems/>
    </cacheField>
    <cacheField name="Year Planned Construction" numFmtId="0">
      <sharedItems containsBlank="1" containsMixedTypes="1" containsNumber="1" containsInteger="1" minValue="2020" maxValue="2024"/>
    </cacheField>
    <cacheField name="Date Constructed" numFmtId="0">
      <sharedItems containsDate="1" containsBlank="1" containsMixedTypes="1" minDate="1993-06-01T00:00:00" maxDate="1900-01-05T02:40:04"/>
    </cacheField>
    <cacheField name="Date of last inspection" numFmtId="0">
      <sharedItems containsNonDate="0" containsDate="1" containsString="0" containsBlank="1" minDate="2019-10-01T00:00:00" maxDate="2020-11-06T00:00:00"/>
    </cacheField>
    <cacheField name="Maintence needed?" numFmtId="0">
      <sharedItems containsBlank="1"/>
    </cacheField>
    <cacheField name="Applicable FRP" numFmtId="0">
      <sharedItems containsBlank="1"/>
    </cacheField>
    <cacheField name="LC TMDL Drainage Area" numFmtId="0">
      <sharedItems containsBlank="1"/>
    </cacheField>
    <cacheField name="LC TMDL Lake Segment" numFmtId="0">
      <sharedItems containsBlank="1" count="3">
        <s v="Malletts Bay"/>
        <s v="Main Lake"/>
        <m/>
      </sharedItems>
    </cacheField>
    <cacheField name="Eligible for Phosphorus Credit?" numFmtId="0">
      <sharedItems containsBlank="1" count="3">
        <s v="Yes"/>
        <s v="No"/>
        <m/>
      </sharedItems>
    </cacheField>
    <cacheField name="BMP Type " numFmtId="0">
      <sharedItems containsBlank="1"/>
    </cacheField>
    <cacheField name="Impervious area  (acres)" numFmtId="0">
      <sharedItems containsBlank="1" containsMixedTypes="1" containsNumber="1" minValue="0.05" maxValue="15.96"/>
    </cacheField>
    <cacheField name="Pervious Entry Method" numFmtId="0">
      <sharedItems containsBlank="1"/>
    </cacheField>
    <cacheField name="Pervious HSG A" numFmtId="0">
      <sharedItems containsString="0" containsBlank="1" containsNumber="1" minValue="0" maxValue="20.880000000000003"/>
    </cacheField>
    <cacheField name="Pervious HSG B" numFmtId="0">
      <sharedItems containsString="0" containsBlank="1" containsNumber="1" minValue="0" maxValue="2.5299999999999998"/>
    </cacheField>
    <cacheField name="Pervious HSG C" numFmtId="0">
      <sharedItems containsString="0" containsBlank="1" containsNumber="1" minValue="0" maxValue="3.8"/>
    </cacheField>
    <cacheField name="Pervious HSG D " numFmtId="0">
      <sharedItems containsString="0" containsBlank="1" containsNumber="1" minValue="0" maxValue="3.39"/>
    </cacheField>
    <cacheField name="Total Pervious area (acres) " numFmtId="0">
      <sharedItems containsString="0" containsBlank="1" containsNumber="1" minValue="0" maxValue="74.25"/>
    </cacheField>
    <cacheField name="Storage volume (ft3)" numFmtId="166">
      <sharedItems containsString="0" containsBlank="1" containsNumber="1" minValue="208.72499999999999" maxValue="290966"/>
    </cacheField>
    <cacheField name="Infiltration rate (in/hr)" numFmtId="0">
      <sharedItems containsBlank="1"/>
    </cacheField>
    <cacheField name="* Load Before Treatment (kg/yr)" numFmtId="2">
      <sharedItems containsMixedTypes="1" containsNumber="1" minValue="0" maxValue="27.595700000000001"/>
    </cacheField>
    <cacheField name="* Storage Depth (inches)" numFmtId="2">
      <sharedItems containsBlank="1" containsMixedTypes="1" containsNumber="1" minValue="0" maxValue="2"/>
    </cacheField>
    <cacheField name="Upper Efficiency - Lower Efficiency" numFmtId="2">
      <sharedItems containsBlank="1" containsMixedTypes="1" containsNumber="1" minValue="0" maxValue="0.5"/>
    </cacheField>
    <cacheField name="Percent of Storage Depth Step" numFmtId="2">
      <sharedItems containsBlank="1" containsMixedTypes="1" containsNumber="1" minValue="0" maxValue="0.9998667459586732"/>
    </cacheField>
    <cacheField name="* Practice Efficiency" numFmtId="10">
      <sharedItems containsBlank="1" containsMixedTypes="1" containsNumber="1" minValue="0" maxValue="1"/>
    </cacheField>
    <cacheField name="* P Reduction (kg/year)" numFmtId="2">
      <sharedItems containsBlank="1" containsMixedTypes="1" containsNumber="1" minValue="0" maxValue="20.820564142273287"/>
    </cacheField>
    <cacheField name="Manual P Reduction (kg/yr)" numFmtId="0">
      <sharedItems containsString="0" containsBlank="1" containsNumber="1" minValue="0.03" maxValue="3.0851685"/>
    </cacheField>
    <cacheField name="Is this an upgrade to an existing BMP?" numFmtId="0">
      <sharedItems containsBlank="1"/>
    </cacheField>
    <cacheField name="Does the upgrade changed the drainage area?" numFmtId="2">
      <sharedItems containsBlank="1"/>
    </cacheField>
    <cacheField name="% Credit to MS4" numFmtId="9">
      <sharedItems containsString="0" containsBlank="1" containsNumber="1" minValue="0.25" maxValue="1"/>
    </cacheField>
    <cacheField name="* P Credit (kg/yr)" numFmtId="2">
      <sharedItems containsBlank="1" containsMixedTypes="1" containsNumber="1" minValue="0" maxValue="20.820564142273287"/>
    </cacheField>
    <cacheField name="Prior Impervious area (acres)" numFmtId="2">
      <sharedItems containsString="0" containsBlank="1" containsNumber="1" minValue="3.03" maxValue="10"/>
    </cacheField>
    <cacheField name="Pervious Entry Method 2" numFmtId="2">
      <sharedItems containsBlank="1"/>
    </cacheField>
    <cacheField name=" HSG A " numFmtId="2">
      <sharedItems containsNonDate="0" containsString="0" containsBlank="1"/>
    </cacheField>
    <cacheField name=" HSG B" numFmtId="2">
      <sharedItems containsNonDate="0" containsString="0" containsBlank="1"/>
    </cacheField>
    <cacheField name="HSG C" numFmtId="2">
      <sharedItems containsNonDate="0" containsString="0" containsBlank="1"/>
    </cacheField>
    <cacheField name="HSG D" numFmtId="2">
      <sharedItems containsNonDate="0" containsString="0" containsBlank="1"/>
    </cacheField>
    <cacheField name="Total Pervious Area" numFmtId="2">
      <sharedItems containsString="0" containsBlank="1" containsNumber="1" minValue="4.29" maxValue="61.5"/>
    </cacheField>
    <cacheField name="BMP type prior to upgrade" numFmtId="0">
      <sharedItems containsBlank="1"/>
    </cacheField>
    <cacheField name="Previous storage volume (ft3)" numFmtId="3">
      <sharedItems containsString="0" containsBlank="1" containsNumber="1" containsInteger="1" minValue="2000" maxValue="60309"/>
    </cacheField>
    <cacheField name="Infiltration rate prior to upgrade (in/hr)" numFmtId="3">
      <sharedItems containsNonDate="0" containsString="0" containsBlank="1"/>
    </cacheField>
    <cacheField name="* Prior Load Before Treatment (kg/acre/year)" numFmtId="2">
      <sharedItems containsBlank="1" containsMixedTypes="1" containsNumber="1" minValue="5.5106799999999998" maxValue="8.85"/>
    </cacheField>
    <cacheField name="* Prior Storage Depth (inches)" numFmtId="2">
      <sharedItems containsBlank="1" containsMixedTypes="1" containsNumber="1" minValue="0" maxValue="1.2449840792778453"/>
    </cacheField>
    <cacheField name="Upper Efficiency - Lower Efficiency4" numFmtId="2">
      <sharedItems containsBlank="1" containsMixedTypes="1" containsNumber="1" minValue="1.0000000000000009E-2" maxValue="4.9999999999999933E-2"/>
    </cacheField>
    <cacheField name="Percent of Storage Depth Step5" numFmtId="2">
      <sharedItems containsBlank="1" containsMixedTypes="1" containsNumber="1" minValue="0" maxValue="0.5020489028495686"/>
    </cacheField>
    <cacheField name="* Prior Practice Efficiency" numFmtId="10">
      <sharedItems containsBlank="1" containsMixedTypes="1" containsNumber="1" minValue="1.5061467085487057E-2" maxValue="0.54674300364115924"/>
    </cacheField>
    <cacheField name="* Estimated P removal of Prior Practice (kg/yr)" numFmtId="2">
      <sharedItems containsBlank="1" containsMixedTypes="1" containsNumber="1" minValue="0.13329398370656045" maxValue="0.66128159999999991"/>
    </cacheField>
    <cacheField name="Manual P Reduction - Prior Practice (kg/yr)" numFmtId="2">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my Macrellis" refreshedDate="45372.334461689818" createdVersion="6" refreshedVersion="8" minRefreshableVersion="3" recordCount="145" xr:uid="{3956A162-978A-4299-966A-B7E971731913}">
  <cacheSource type="worksheet">
    <worksheetSource ref="A2:BF147" sheet="BMP P Tracking Table"/>
  </cacheSource>
  <cacheFields count="58">
    <cacheField name="GIS permit number _x000a_(further identifier if needed)" numFmtId="0">
      <sharedItems containsBlank="1"/>
    </cacheField>
    <cacheField name="Unique ID " numFmtId="0">
      <sharedItems containsBlank="1"/>
    </cacheField>
    <cacheField name="Project Name" numFmtId="0">
      <sharedItems containsBlank="1" count="140">
        <s v="Essex Town Center‐ Essex Outlets"/>
        <s v="Essex Outlets Pond A"/>
        <s v="Essex Outlets Pond B"/>
        <s v="Essex Outlets Pond C"/>
        <s v="Fairview Drive/Main St Gravel Wetland"/>
        <s v="Sydney Drive - Woodlands II‐ Lang Farm Parcel"/>
        <s v="Church of Jesus Christ of Latter Day Saints, South Vault"/>
        <s v="Church of Jesus Christ of Latter Day Saints, North Vault"/>
        <s v="Old Stage Rd/Rt‐15 (Essex STP 030‐1(17))"/>
        <s v="Countryside Cluster Homes A,B,C and Essex Parks East and West"/>
        <s v="Mansfield Brickyard Gravel Wetland"/>
        <s v="Lang Family, LLC"/>
        <s v="5 Corners North"/>
        <s v="Countryside Dr Intersection"/>
        <s v="Grove St."/>
        <s v="Racquet's Edge drywell 2"/>
        <s v="Racquet's Edge drywell 1"/>
        <s v="Outfall 126: Fort Ethan Allen (Ryan St.)"/>
        <s v="Outfall 199‐Morse Dr."/>
        <s v="David Dr. Outfall"/>
        <s v="Kellogg Rd Detention Pond"/>
        <s v="Acorn Circle cul-de-sac retrofit - media filter with specialized media"/>
        <s v="Acorn Circle cul-de-sac retrofit - impervious removal"/>
        <s v="Oakwood Drive cul-de-sac retrofit - media filter with specialized media"/>
        <s v="Oakwood Drive cul-de-sac retrofit - impervious removal"/>
        <s v="Sage Circle cul-de-sac retrofit - infiltration trenches"/>
        <s v="Sage Circle cul-de-sac retrofit - impervious removal"/>
        <s v="Oak Ridge-Forestdale Drywells SN 001"/>
        <s v="Oak Ridge-Forestdale Drywells SN 002"/>
        <s v="Oak Ridge-Forestdale Drywells SN 003"/>
        <s v="Oak Ridge-Forestdale Drywells SN 004"/>
        <s v="Oak Ridge-Forestdale Drywells SN 005"/>
        <s v="Oak Ridge-Forestdale Drywells SN 006"/>
        <s v="Oak Ridge-Forestdale Drywells SN 007"/>
        <s v="Oak Ridge-Forestdale Drywells SN 008"/>
        <s v="Oak Ridge-Forestdale Drywells SN 009"/>
        <s v="Oak Ridge-Forestdale Drywells SN 0010"/>
        <s v="Perkins Bend 002"/>
        <s v="Pinewood Manor Section G"/>
        <s v="Meadows Edge/Steeplebush SN 001"/>
        <s v="Meadows Edge/Steeplebush (old 1-1124) expansion of SN 002"/>
        <s v="Meadows Edge/Steeplebush SN 003"/>
        <s v="Meadows Edge/Steeplebush SN 004"/>
        <s v="Meadows Edge/Steeplebush SN 005"/>
        <s v="Meadows Edge/Steeplebush SN 006"/>
        <s v="Meadows Edge/Steeplebush SN 007"/>
        <s v="Forestdale Heights S/N001"/>
        <s v="Forestdale Heights S/N002"/>
        <s v="Forestdale Heights S/N003"/>
        <s v="Lang Farm Parcel I - Woodlands II S/N 001 (Basin)"/>
        <s v="Lang Farm Parcel I - Woodlands II S/N 001 (South Forebay)"/>
        <s v="Lang Farm Parcel I - Woodlands II S/N 001 (North Forebay)"/>
        <s v="Lang Farm Parcel H S/N 001"/>
        <s v="Lang Farm Parcel H S/N 002"/>
        <s v="Lang Farm Parcel H S/N 003"/>
        <s v="Lang Farm Parcel H S/N 004"/>
        <s v="Pinewood Manor S/N 001"/>
        <s v="Pinewood Manor S/N 002"/>
        <s v="Pinewood Manor S/N 003"/>
        <s v="Pinewood Manor S/N 004"/>
        <s v="Old Stage Village S/N 001"/>
        <s v="Old Stage Village S/N 002"/>
        <s v="Old Stage Village S/N 003"/>
        <s v="Old Stage Village S/N 004"/>
        <s v="Saxon Hill ROW S/N 001 (Industrial Park)"/>
        <s v="Autumn Knoll S/N 001"/>
        <s v="Autumn Knoll S/N 003"/>
        <s v="Taft Street S/N 001"/>
        <s v="Taft Street S/N 002"/>
        <s v="Village Walk POI 1"/>
        <s v="Village Walk POI 2"/>
        <s v="Village Walk POI 3"/>
        <s v="Briar Lane cul-de-sac impervious removal"/>
        <s v="Essex Police Station"/>
        <s v="Maplewood Lane cul-de-sac"/>
        <s v="Perkins Bend 002 impervious removal"/>
        <s v="Tyler Drive, Wilkinson Drive - South St. intersection - retrofit/expand"/>
        <s v="CB522 Elm St drywell"/>
        <s v="CB521 Elm St drywell"/>
        <s v="CB523 Elm and Jackson drywell"/>
        <s v="CB525 Elm and Jackson drywell"/>
        <s v="CB533 Jackson and McGregor drywell"/>
        <s v="CB546 McGregor and Grant drywell"/>
        <s v="CB532 MCGregor and Jackson drywell"/>
        <s v="CB535 Grant and Jackson drywell"/>
        <s v="CB536 Jackson drywell"/>
        <s v="CB531 Jackson and Wrisley drywell"/>
        <s v="CB537 Jackson and Grant drywell"/>
        <s v="CB544 Camp drywell"/>
        <s v="CB543 Camp drywell"/>
        <s v="CB541 Camp drywell"/>
        <s v="CB542 Camp drywell"/>
        <s v="CB538 Camp and Jackson drywell"/>
        <s v="CB754 and CB755 Oak St drywells"/>
        <s v="CB756 Oak St drywell"/>
        <s v="Meadows Edge/Steeplebush retrofit"/>
        <s v="Old Stage Village S/N 001 RETROFIT"/>
        <s v="Autumn Knoll S/N 001 retrofit"/>
        <s v="Whitcomb Heights (former 1-1227)"/>
        <s v="CB534 Jackson and Wrisley drywell"/>
        <s v="Loubier Drive cul de sacs impervious removal"/>
        <s v="CB90 Loubier Drive drywell"/>
        <s v="CB92 Loubier Drive drywell"/>
        <s v="CB91 Loubier Drive drywell"/>
        <s v="CB757 Loubier Drive drywell"/>
        <s v="CB1425 Killoran Drive drywell"/>
        <s v="CB54 and CB55 Killoran Drive drywells"/>
        <s v="CB56 and CB57 Killoran Drive drywells"/>
        <s v="Killoran Drive cul de sac impervious removal"/>
        <s v="CB35 Cascadnac Ave drywell"/>
        <s v="CB36 Cascadnac Ave drywell"/>
        <s v="CB37 Cascadnac Ave drywell"/>
        <s v="CB42 Cascadnac and Owaissa Ave drywell"/>
        <s v="CB43 Owaissa and Wenonah drywell"/>
        <s v="CB44 Wenonah Ave drywell"/>
        <s v="CB706 Wenonah &amp; Owaissa drywell"/>
        <s v="CB889 CB890 CB891 Saxonhollow and Hillside drywells "/>
        <s v="CB884 CB885 Saxonhollow drywells"/>
        <s v="CB898 899 Hillside Ave drywells"/>
        <s v="CB897 898 Hillside Ave drywells"/>
        <s v="CB892 893 894 895 Saxonhollow Hillside drywells"/>
        <s v="CB957-960 Greenbriar Dr drywells"/>
        <s v="CB1046-1050 Sand Hill Rd drywells"/>
        <s v="CB964 968-970 Greenfield Rd drywells"/>
        <s v="CB1122 1123 Wildwood Dr drywells"/>
        <s v="CB1120 1121 Wildwood Dr drywells"/>
        <s v="CB772-775 Foster Rd drywells"/>
        <s v="Thompson Drive infiltration"/>
        <s v="CB524 Elm and Jackson drywell"/>
        <s v="Tanglewood Drive infiltration - Birchwood Manor"/>
        <s v="2OLET120 Logwood Circle stormline and catchbasin retrofits"/>
        <s v="2OLET88 Tanglewood Drive and Fern Hollow Road retrofits (Alternative 4)"/>
        <s v="2OLET56 Craftsbury Court pond retrofit"/>
        <s v="2OLET120 Logwood Circle stormline retrofit and infiltration chambers"/>
        <s v="Hiawatha Infiltration Gallery Retrofit"/>
        <s v="Crescent Connector"/>
        <s v="Pinewood Manor Section H 3-Acre Permit"/>
        <m/>
        <s v="Saxon Hill ROW S/N 001" u="1"/>
        <s v="Pinewood H 3-Acre Permit" u="1"/>
      </sharedItems>
    </cacheField>
    <cacheField name="Land Owner" numFmtId="0">
      <sharedItems containsBlank="1"/>
    </cacheField>
    <cacheField name="Responsible Party " numFmtId="0">
      <sharedItems containsBlank="1" count="3">
        <s v="Essex Town MS4"/>
        <s v="Essex Junction MS4"/>
        <m/>
      </sharedItems>
    </cacheField>
    <cacheField name="Latitude (decimal degrees)" numFmtId="165">
      <sharedItems containsString="0" containsBlank="1" containsNumber="1" minValue="44.492621" maxValue="44.499437"/>
    </cacheField>
    <cacheField name="Longitude (decimal degrees)" numFmtId="165">
      <sharedItems containsString="0" containsBlank="1" containsNumber="1" minValue="-73.099537999999995" maxValue="-73.097318000000001"/>
    </cacheField>
    <cacheField name="Existing SW permit number (if applicable)" numFmtId="0">
      <sharedItems containsBlank="1"/>
    </cacheField>
    <cacheField name="Watershed Projects Database ID (if known)" numFmtId="0">
      <sharedItems containsNonDate="0" containsString="0" containsBlank="1"/>
    </cacheField>
    <cacheField name="Part of MS4/ Incorporated into MS4" numFmtId="0">
      <sharedItems containsBlank="1"/>
    </cacheField>
    <cacheField name="Cost Estimate (optional)" numFmtId="0">
      <sharedItems containsString="0" containsBlank="1" containsNumber="1" minValue="2500" maxValue="950000"/>
    </cacheField>
    <cacheField name="BMP Status " numFmtId="0">
      <sharedItems containsBlank="1" count="6">
        <s v="Complete"/>
        <s v="Final Design (100%)"/>
        <s v="Preliminary Design (&lt;100%)"/>
        <s v="Planned"/>
        <s v="Under Construction"/>
        <m/>
      </sharedItems>
    </cacheField>
    <cacheField name="Year Planned Construction" numFmtId="0">
      <sharedItems containsBlank="1" containsMixedTypes="1" containsNumber="1" containsInteger="1" minValue="2020" maxValue="2024"/>
    </cacheField>
    <cacheField name="Date Constructed" numFmtId="0">
      <sharedItems containsDate="1" containsBlank="1" containsMixedTypes="1" minDate="1993-06-01T00:00:00" maxDate="1900-01-05T02:40:04"/>
    </cacheField>
    <cacheField name="Date of last inspection" numFmtId="0">
      <sharedItems containsNonDate="0" containsDate="1" containsString="0" containsBlank="1" minDate="2019-10-01T00:00:00" maxDate="2020-11-06T00:00:00"/>
    </cacheField>
    <cacheField name="Maintence needed?" numFmtId="0">
      <sharedItems containsBlank="1"/>
    </cacheField>
    <cacheField name="Applicable FRP" numFmtId="0">
      <sharedItems containsBlank="1"/>
    </cacheField>
    <cacheField name="LC TMDL Drainage Area" numFmtId="0">
      <sharedItems containsBlank="1"/>
    </cacheField>
    <cacheField name="LC TMDL Lake Segment" numFmtId="0">
      <sharedItems containsBlank="1" count="4">
        <s v="Malletts Bay"/>
        <s v="Main Lake"/>
        <m/>
        <s v="" u="1"/>
      </sharedItems>
    </cacheField>
    <cacheField name="Eligible for Phosphorus Credit?" numFmtId="0">
      <sharedItems containsBlank="1" count="3">
        <s v="Yes"/>
        <s v="No"/>
        <m/>
      </sharedItems>
    </cacheField>
    <cacheField name="BMP Type " numFmtId="0">
      <sharedItems containsBlank="1"/>
    </cacheField>
    <cacheField name="Impervious area  (acres)" numFmtId="0">
      <sharedItems containsBlank="1" containsMixedTypes="1" containsNumber="1" minValue="0.05" maxValue="15.96"/>
    </cacheField>
    <cacheField name="Pervious Entry Method" numFmtId="0">
      <sharedItems containsBlank="1"/>
    </cacheField>
    <cacheField name="Pervious HSG A" numFmtId="0">
      <sharedItems containsString="0" containsBlank="1" containsNumber="1" minValue="0" maxValue="20.880000000000003"/>
    </cacheField>
    <cacheField name="Pervious HSG B" numFmtId="0">
      <sharedItems containsString="0" containsBlank="1" containsNumber="1" minValue="0" maxValue="2.5299999999999998"/>
    </cacheField>
    <cacheField name="Pervious HSG C" numFmtId="0">
      <sharedItems containsString="0" containsBlank="1" containsNumber="1" minValue="0" maxValue="3.8"/>
    </cacheField>
    <cacheField name="Pervious HSG D " numFmtId="0">
      <sharedItems containsString="0" containsBlank="1" containsNumber="1" minValue="0" maxValue="3.39"/>
    </cacheField>
    <cacheField name="Total Pervious area (acres) " numFmtId="0">
      <sharedItems containsString="0" containsBlank="1" containsNumber="1" minValue="0" maxValue="74.25"/>
    </cacheField>
    <cacheField name="Storage volume (ft3)" numFmtId="166">
      <sharedItems containsString="0" containsBlank="1" containsNumber="1" minValue="208.72499999999999" maxValue="290966"/>
    </cacheField>
    <cacheField name="Infiltration rate (in/hr)" numFmtId="0">
      <sharedItems containsBlank="1"/>
    </cacheField>
    <cacheField name="* Load Before Treatment (kg/yr)" numFmtId="2">
      <sharedItems containsMixedTypes="1" containsNumber="1" minValue="0" maxValue="27.595700000000001"/>
    </cacheField>
    <cacheField name="* Storage Depth (inches)" numFmtId="2">
      <sharedItems containsBlank="1" containsMixedTypes="1" containsNumber="1" minValue="0" maxValue="2"/>
    </cacheField>
    <cacheField name="Upper Efficiency - Lower Efficiency" numFmtId="2">
      <sharedItems containsBlank="1" containsMixedTypes="1" containsNumber="1" minValue="0" maxValue="0.5"/>
    </cacheField>
    <cacheField name="Percent of Storage Depth Step" numFmtId="2">
      <sharedItems containsBlank="1" containsMixedTypes="1" containsNumber="1" minValue="0" maxValue="0.9998667459586732"/>
    </cacheField>
    <cacheField name="* Practice Efficiency" numFmtId="10">
      <sharedItems containsBlank="1" containsMixedTypes="1" containsNumber="1" minValue="0" maxValue="1"/>
    </cacheField>
    <cacheField name="* P Reduction (kg/year)" numFmtId="2">
      <sharedItems containsBlank="1" containsMixedTypes="1" containsNumber="1" minValue="0" maxValue="20.820564142273287"/>
    </cacheField>
    <cacheField name="Manual P Reduction (kg/yr)" numFmtId="0">
      <sharedItems containsString="0" containsBlank="1" containsNumber="1" minValue="0.03" maxValue="3.0851685"/>
    </cacheField>
    <cacheField name="Is this an upgrade to an existing BMP?" numFmtId="0">
      <sharedItems containsBlank="1"/>
    </cacheField>
    <cacheField name="Does the upgrade changed the drainage area?" numFmtId="2">
      <sharedItems containsBlank="1"/>
    </cacheField>
    <cacheField name="% Credit to MS4" numFmtId="9">
      <sharedItems containsString="0" containsBlank="1" containsNumber="1" minValue="0.25" maxValue="1"/>
    </cacheField>
    <cacheField name="* P Credit (kg/yr)" numFmtId="2">
      <sharedItems containsBlank="1" containsMixedTypes="1" containsNumber="1" minValue="0" maxValue="20.820564142273287"/>
    </cacheField>
    <cacheField name="Prior Impervious area (acres)" numFmtId="2">
      <sharedItems containsString="0" containsBlank="1" containsNumber="1" minValue="3.03" maxValue="10"/>
    </cacheField>
    <cacheField name="Pervious Entry Method 2" numFmtId="2">
      <sharedItems containsBlank="1"/>
    </cacheField>
    <cacheField name=" HSG A " numFmtId="2">
      <sharedItems containsNonDate="0" containsString="0" containsBlank="1"/>
    </cacheField>
    <cacheField name=" HSG B" numFmtId="2">
      <sharedItems containsNonDate="0" containsString="0" containsBlank="1"/>
    </cacheField>
    <cacheField name="HSG C" numFmtId="2">
      <sharedItems containsNonDate="0" containsString="0" containsBlank="1"/>
    </cacheField>
    <cacheField name="HSG D" numFmtId="2">
      <sharedItems containsNonDate="0" containsString="0" containsBlank="1"/>
    </cacheField>
    <cacheField name="Total Pervious Area" numFmtId="2">
      <sharedItems containsString="0" containsBlank="1" containsNumber="1" minValue="4.29" maxValue="61.5"/>
    </cacheField>
    <cacheField name="BMP type prior to upgrade" numFmtId="0">
      <sharedItems containsBlank="1"/>
    </cacheField>
    <cacheField name="Previous storage volume (ft3)" numFmtId="3">
      <sharedItems containsString="0" containsBlank="1" containsNumber="1" containsInteger="1" minValue="2000" maxValue="60309"/>
    </cacheField>
    <cacheField name="Infiltration rate prior to upgrade (in/hr)" numFmtId="3">
      <sharedItems containsNonDate="0" containsString="0" containsBlank="1"/>
    </cacheField>
    <cacheField name="* Prior Load Before Treatment (kg/acre/year)" numFmtId="2">
      <sharedItems containsBlank="1" containsMixedTypes="1" containsNumber="1" minValue="5.5106799999999998" maxValue="8.85"/>
    </cacheField>
    <cacheField name="* Prior Storage Depth (inches)" numFmtId="2">
      <sharedItems containsBlank="1" containsMixedTypes="1" containsNumber="1" minValue="0" maxValue="1.2449840792778453"/>
    </cacheField>
    <cacheField name="Upper Efficiency - Lower Efficiency4" numFmtId="2">
      <sharedItems containsBlank="1" containsMixedTypes="1" containsNumber="1" minValue="1.0000000000000009E-2" maxValue="4.9999999999999933E-2"/>
    </cacheField>
    <cacheField name="Percent of Storage Depth Step5" numFmtId="2">
      <sharedItems containsBlank="1" containsMixedTypes="1" containsNumber="1" minValue="0" maxValue="0.5020489028495686"/>
    </cacheField>
    <cacheField name="* Prior Practice Efficiency" numFmtId="10">
      <sharedItems containsBlank="1" containsMixedTypes="1" containsNumber="1" minValue="1.5061467085487057E-2" maxValue="0.54674300364115924"/>
    </cacheField>
    <cacheField name="* Estimated P removal of Prior Practice (kg/yr)" numFmtId="2">
      <sharedItems containsBlank="1" containsMixedTypes="1" containsNumber="1" minValue="0.13329398370656045" maxValue="0.66128159999999991"/>
    </cacheField>
    <cacheField name="Manual P Reduction - Prior Practice (kg/yr)" numFmtId="2">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0">
  <r>
    <s v="see 1-1307"/>
    <s v="4002‐INDS.A"/>
    <s v="Essex Town Center‐ Essex Outlets"/>
    <s v="Private"/>
    <x v="0"/>
    <m/>
    <m/>
    <s v="4002‐INDS.A"/>
    <m/>
    <s v="Yes"/>
    <m/>
    <s v="Complete"/>
    <m/>
    <m/>
    <m/>
    <m/>
    <s v="Indian Brook"/>
    <s v="Malletts Bay Direct Drainage"/>
    <x v="0"/>
    <x v="0"/>
    <s v="Wet pond/ Created Wetland"/>
    <n v="6.4489999999999998"/>
    <s v="Total Pervious"/>
    <m/>
    <m/>
    <m/>
    <m/>
    <n v="6.0809999999999995"/>
    <n v="28009.08"/>
    <m/>
    <n v="1"/>
    <n v="0.95512042258512209"/>
    <n v="5.0000000000000044E-2"/>
    <n v="0.77560211292561043"/>
    <n v="0.51878010564628052"/>
    <n v="0.51878010564628052"/>
    <m/>
    <s v="Yes"/>
    <s v="Yes"/>
    <n v="1"/>
    <n v="0.38548612193972009"/>
    <n v="10"/>
    <s v="Total Pervious"/>
    <m/>
    <m/>
    <m/>
    <m/>
    <n v="50"/>
    <s v="Extended Dry Detention Pond"/>
    <n v="2000"/>
    <m/>
    <n v="8.85"/>
    <n v="5.0204890284956866E-2"/>
    <n v="0.03"/>
    <n v="0.5020489028495686"/>
    <n v="1.5061467085487057E-2"/>
    <n v="0.13329398370656045"/>
    <m/>
  </r>
  <r>
    <s v="see 1-0775a"/>
    <s v="6262‐9020"/>
    <s v="Essex Outlets Pond A"/>
    <s v="Private"/>
    <x v="0"/>
    <m/>
    <m/>
    <s v="6262‐9020"/>
    <m/>
    <s v="Yes"/>
    <m/>
    <s v="Complete"/>
    <m/>
    <m/>
    <m/>
    <m/>
    <s v="Indian Brook"/>
    <s v="Malletts Bay Direct Drainage"/>
    <x v="0"/>
    <x v="0"/>
    <s v="Wet pond/ Created Wetland"/>
    <n v="5.6520000000000001"/>
    <s v="Total Pervious"/>
    <m/>
    <m/>
    <m/>
    <m/>
    <n v="9.0659999999999989"/>
    <n v="74139.12"/>
    <m/>
    <n v="4.7716919999999998"/>
    <n v="1.9393032585986731"/>
    <n v="5.0000000000000044E-2"/>
    <n v="0.87860651719734628"/>
    <n v="0.6239303258598673"/>
    <n v="2.977203344462922"/>
    <m/>
    <m/>
    <m/>
    <n v="1"/>
    <n v="2.977203344462922"/>
    <m/>
    <m/>
    <m/>
    <m/>
    <m/>
    <m/>
    <m/>
    <m/>
    <m/>
    <m/>
    <s v=""/>
    <n v="0"/>
    <s v=""/>
    <n v="0"/>
    <s v=""/>
    <s v=""/>
    <m/>
  </r>
  <r>
    <s v="see 1-0775b"/>
    <s v="6262‐9020"/>
    <s v="Essex Outlets Pond B"/>
    <s v="Private"/>
    <x v="0"/>
    <m/>
    <m/>
    <s v="6262‐9020"/>
    <m/>
    <s v="Yes"/>
    <m/>
    <s v="Complete"/>
    <m/>
    <m/>
    <m/>
    <m/>
    <s v="Indian Brook"/>
    <s v="Malletts Bay Direct Drainage"/>
    <x v="0"/>
    <x v="0"/>
    <s v="Wet pond/ Created Wetland"/>
    <n v="3.77"/>
    <s v="Total Pervious"/>
    <m/>
    <m/>
    <m/>
    <m/>
    <n v="1.2200000000000002"/>
    <n v="40772.160000000003"/>
    <m/>
    <n v="3.1248899999999997"/>
    <n v="2"/>
    <s v=""/>
    <s v=""/>
    <n v="0.63"/>
    <n v="1.9686807"/>
    <m/>
    <m/>
    <m/>
    <n v="1"/>
    <n v="1.9686807"/>
    <m/>
    <m/>
    <m/>
    <m/>
    <m/>
    <m/>
    <m/>
    <m/>
    <m/>
    <m/>
    <s v=""/>
    <n v="0"/>
    <s v=""/>
    <n v="0"/>
    <s v=""/>
    <s v=""/>
    <m/>
  </r>
  <r>
    <s v="see 1-0775c"/>
    <s v="6262‐9020"/>
    <s v="Essex Outlets Pond C"/>
    <s v="Private"/>
    <x v="0"/>
    <m/>
    <m/>
    <s v="6262‐9020"/>
    <m/>
    <s v="Yes"/>
    <m/>
    <s v="Complete"/>
    <m/>
    <m/>
    <m/>
    <m/>
    <s v="Indian Brook"/>
    <s v="Malletts Bay Direct Drainage"/>
    <x v="0"/>
    <x v="0"/>
    <s v="Wet pond/ Created Wetland"/>
    <n v="11.85"/>
    <s v="Total Pervious"/>
    <m/>
    <m/>
    <m/>
    <m/>
    <n v="10.302999999999999"/>
    <n v="290966"/>
    <m/>
    <n v="9.8998859999999986"/>
    <n v="2"/>
    <s v=""/>
    <s v=""/>
    <n v="0.63"/>
    <n v="6.2369281799999996"/>
    <m/>
    <m/>
    <m/>
    <n v="1"/>
    <n v="6.2369281799999996"/>
    <m/>
    <m/>
    <m/>
    <m/>
    <m/>
    <m/>
    <m/>
    <m/>
    <m/>
    <m/>
    <s v=""/>
    <n v="0"/>
    <s v=""/>
    <n v="0"/>
    <s v=""/>
    <s v=""/>
    <m/>
  </r>
  <r>
    <s v="see 1-1074"/>
    <s v="1‐1074 SN 002"/>
    <s v="Fairview Drive/Main St Gravel Wetland"/>
    <s v="Village"/>
    <x v="1"/>
    <n v="44.499437"/>
    <n v="-73.099537999999995"/>
    <s v="1‐1074"/>
    <m/>
    <s v="Yes"/>
    <n v="247066"/>
    <s v="Complete"/>
    <m/>
    <d v="2019-10-01T00:00:00"/>
    <d v="2019-10-01T00:00:00"/>
    <s v="No"/>
    <s v="Indian Brook"/>
    <s v="Malletts Bay Direct Drainage"/>
    <x v="0"/>
    <x v="0"/>
    <s v="Gravel Wetland"/>
    <n v="3.75"/>
    <s v="Total Pervious"/>
    <m/>
    <m/>
    <m/>
    <m/>
    <n v="18.77"/>
    <n v="40800"/>
    <m/>
    <n v="3.3189899999999999"/>
    <n v="1.1492135717081842"/>
    <n v="4.0000000000000036E-2"/>
    <n v="0.29842714341636833"/>
    <n v="0.62193708573665474"/>
    <n v="2.0642029681890994"/>
    <m/>
    <s v="No"/>
    <m/>
    <n v="1"/>
    <n v="2.0642029681890994"/>
    <m/>
    <m/>
    <m/>
    <m/>
    <m/>
    <m/>
    <m/>
    <m/>
    <m/>
    <m/>
    <s v=""/>
    <n v="0"/>
    <s v=""/>
    <n v="0"/>
    <s v=""/>
    <s v=""/>
    <m/>
  </r>
  <r>
    <s v="1-1186 Woodlands"/>
    <s v="1‐1186"/>
    <s v="Sydney Drive - Woodlands II‐ Lang Farm Parcel"/>
    <s v="Private"/>
    <x v="0"/>
    <m/>
    <m/>
    <s v="1‐1186"/>
    <m/>
    <s v="Yes"/>
    <m/>
    <s v="Complete"/>
    <n v="2020"/>
    <d v="2020-10-31T00:00:00"/>
    <m/>
    <m/>
    <s v="Indian Brook"/>
    <s v="Malletts Bay Direct Drainage"/>
    <x v="0"/>
    <x v="0"/>
    <s v="Infiltration Chambers"/>
    <n v="4.0409600000000001"/>
    <s v="Total Pervious"/>
    <m/>
    <m/>
    <m/>
    <m/>
    <n v="28.759039999999999"/>
    <n v="38811.96"/>
    <s v="0.52 in/hr"/>
    <n v="3.6789004799999998"/>
    <n v="0.92741111643700047"/>
    <n v="4.9999999999999933E-2"/>
    <n v="0.63705558218500224"/>
    <n v="0.92185277910925012"/>
    <n v="3.3914046315543542"/>
    <m/>
    <s v="No"/>
    <m/>
    <n v="1"/>
    <n v="3.3914046315543542"/>
    <m/>
    <m/>
    <m/>
    <m/>
    <m/>
    <m/>
    <m/>
    <m/>
    <m/>
    <m/>
    <s v=""/>
    <n v="0"/>
    <s v=""/>
    <n v="0"/>
    <s v=""/>
    <s v=""/>
    <m/>
  </r>
  <r>
    <s v="1-1319 LDS (p1)"/>
    <s v="1‐1319_p1_South"/>
    <s v="Church of Jesus Christ of Latter Day Saints, South Vault"/>
    <s v="Private"/>
    <x v="0"/>
    <m/>
    <m/>
    <s v="1‐1319"/>
    <m/>
    <s v="Yes"/>
    <m/>
    <s v="Final Design (100%)"/>
    <n v="2022"/>
    <m/>
    <m/>
    <m/>
    <s v="Indian Brook"/>
    <s v="Malletts Bay Direct Drainage"/>
    <x v="0"/>
    <x v="0"/>
    <s v="Sand filter (w/ underdrain)"/>
    <n v="1.83"/>
    <s v="Total Pervious"/>
    <m/>
    <m/>
    <m/>
    <m/>
    <n v="0.67"/>
    <n v="13285.78"/>
    <m/>
    <n v="1.51779"/>
    <n v="1.7043875960304933"/>
    <n v="5.0000000000000044E-2"/>
    <n v="0.40877519206098656"/>
    <n v="0.60043875960304927"/>
    <n v="0.91133994493791215"/>
    <m/>
    <s v="No"/>
    <m/>
    <n v="1"/>
    <n v="0.91133994493791215"/>
    <m/>
    <m/>
    <m/>
    <m/>
    <m/>
    <m/>
    <m/>
    <m/>
    <m/>
    <m/>
    <s v=""/>
    <n v="0"/>
    <s v=""/>
    <n v="0"/>
    <s v=""/>
    <s v=""/>
    <m/>
  </r>
  <r>
    <s v="1-1319 LDS (p2)"/>
    <s v="1‐1319_p2_North"/>
    <s v="Church of Jesus Christ of Latter Day Saints, North Vault"/>
    <s v="Private"/>
    <x v="0"/>
    <m/>
    <m/>
    <s v="1‐1319"/>
    <m/>
    <s v="Yes"/>
    <m/>
    <s v="Final Design (100%)"/>
    <n v="2022"/>
    <m/>
    <m/>
    <m/>
    <s v="Indian Brook"/>
    <s v="Malletts Bay Direct Drainage"/>
    <x v="0"/>
    <x v="1"/>
    <s v="Underground Detention"/>
    <n v="10.35"/>
    <s v="Total Pervious"/>
    <m/>
    <m/>
    <m/>
    <m/>
    <n v="15.55"/>
    <n v="74400.479999999996"/>
    <m/>
    <n v="8.7253499999999988"/>
    <n v="1.2864741059790727"/>
    <n v="1.0000000000000009E-2"/>
    <n v="0.57294821195814549"/>
    <n v="0.12572948211958146"/>
    <n v="1.0970337368120899"/>
    <m/>
    <s v="No"/>
    <m/>
    <n v="1"/>
    <n v="1.0970337368120899"/>
    <m/>
    <m/>
    <m/>
    <m/>
    <m/>
    <m/>
    <m/>
    <m/>
    <m/>
    <m/>
    <s v=""/>
    <n v="0"/>
    <s v=""/>
    <n v="0"/>
    <s v=""/>
    <s v=""/>
    <m/>
  </r>
  <r>
    <s v="1081"/>
    <s v="1081"/>
    <s v="Old Stage Rd/Rt‐15 (Essex STP 030‐1(17))"/>
    <s v="Town"/>
    <x v="0"/>
    <m/>
    <m/>
    <m/>
    <m/>
    <s v="Yes"/>
    <m/>
    <s v="Complete"/>
    <m/>
    <m/>
    <m/>
    <m/>
    <s v="Indian Brook"/>
    <s v="Malletts Bay Direct Drainage"/>
    <x v="0"/>
    <x v="1"/>
    <s v="Extended Dry Detention Pond"/>
    <m/>
    <s v="Total Pervious"/>
    <m/>
    <m/>
    <m/>
    <m/>
    <m/>
    <m/>
    <m/>
    <n v="0"/>
    <s v=""/>
    <s v=""/>
    <s v=""/>
    <s v=""/>
    <s v=""/>
    <m/>
    <m/>
    <m/>
    <n v="1"/>
    <s v=""/>
    <m/>
    <m/>
    <m/>
    <m/>
    <m/>
    <m/>
    <m/>
    <m/>
    <m/>
    <m/>
    <s v=""/>
    <s v=""/>
    <s v=""/>
    <s v=""/>
    <s v=""/>
    <s v=""/>
    <m/>
  </r>
  <r>
    <s v="2-0289 "/>
    <s v="2‐0289"/>
    <s v="Countryside Cluster Homes A,B,C and Essex Parks East and West"/>
    <s v="Private"/>
    <x v="1"/>
    <m/>
    <m/>
    <s v="2‐0289"/>
    <m/>
    <s v="No"/>
    <m/>
    <s v="Final Design (100%)"/>
    <n v="2020"/>
    <m/>
    <m/>
    <m/>
    <s v="Indian Brook"/>
    <s v="Malletts Bay Direct Drainage"/>
    <x v="0"/>
    <x v="0"/>
    <s v="Extended Dry Detention Pond"/>
    <n v="14.400327000000001"/>
    <s v="Total Pervious"/>
    <m/>
    <m/>
    <m/>
    <m/>
    <n v="33.809673000000004"/>
    <n v="161433.35999999999"/>
    <m/>
    <n v="12.285985851"/>
    <n v="1.5395474637780082"/>
    <n v="1.0000000000000009E-2"/>
    <n v="7.9094927556016437E-2"/>
    <n v="0.13079094927556018"/>
    <n v="1.6068957522383909"/>
    <m/>
    <m/>
    <m/>
    <n v="1"/>
    <n v="1.6068957522383909"/>
    <m/>
    <m/>
    <m/>
    <m/>
    <m/>
    <m/>
    <m/>
    <m/>
    <m/>
    <m/>
    <s v=""/>
    <n v="0"/>
    <s v=""/>
    <n v="0"/>
    <s v=""/>
    <s v=""/>
    <m/>
  </r>
  <r>
    <s v="2-0317/2-0952"/>
    <s v="2-0317/2-0952"/>
    <s v="Mansfield Brickyard Gravel Wetland"/>
    <s v="Private"/>
    <x v="1"/>
    <n v="44.492621"/>
    <n v="-73.097318000000001"/>
    <s v="2-0317/2-0952"/>
    <m/>
    <s v="Yes"/>
    <n v="308903.67999999999"/>
    <s v="Complete"/>
    <m/>
    <d v="2020-11-05T00:00:00"/>
    <d v="2020-11-05T00:00:00"/>
    <s v="No"/>
    <s v="Indian Brook"/>
    <s v="Malletts Bay Direct Drainage"/>
    <x v="0"/>
    <x v="0"/>
    <s v="Gravel Wetland"/>
    <n v="11.39"/>
    <s v="Total Pervious"/>
    <m/>
    <m/>
    <m/>
    <m/>
    <n v="6.28"/>
    <n v="70153"/>
    <m/>
    <n v="9.4721100000000007"/>
    <n v="1.3969096276118234"/>
    <n v="4.0000000000000036E-2"/>
    <n v="0.79381925522364671"/>
    <n v="0.64175277020894583"/>
    <n v="6.0787528322238584"/>
    <m/>
    <m/>
    <m/>
    <n v="1"/>
    <n v="6.0787528322238584"/>
    <m/>
    <m/>
    <m/>
    <m/>
    <m/>
    <m/>
    <m/>
    <m/>
    <m/>
    <m/>
    <s v=""/>
    <n v="0"/>
    <s v=""/>
    <n v="0"/>
    <s v=""/>
    <s v=""/>
    <m/>
  </r>
  <r>
    <s v="5864-INDS"/>
    <s v="5864‐INDS"/>
    <s v="Lang Family, LLC"/>
    <s v="Private"/>
    <x v="0"/>
    <m/>
    <m/>
    <s v="5864‐INDS.A"/>
    <m/>
    <s v="No"/>
    <m/>
    <s v="Complete"/>
    <m/>
    <m/>
    <m/>
    <m/>
    <s v="Indian Brook"/>
    <s v="Malletts Bay Direct Drainage"/>
    <x v="0"/>
    <x v="1"/>
    <s v="Wet Swale"/>
    <n v="0.75006399999999995"/>
    <s v="Total Pervious"/>
    <m/>
    <m/>
    <m/>
    <m/>
    <n v="2.869936"/>
    <n v="7143.84"/>
    <m/>
    <n v="0.65324203199999986"/>
    <n v="1.1671156123037325"/>
    <s v=""/>
    <n v="0.33423122460746502"/>
    <s v=""/>
    <s v=""/>
    <n v="0.26129681279999994"/>
    <m/>
    <m/>
    <n v="1"/>
    <n v="0.26129681279999994"/>
    <m/>
    <m/>
    <m/>
    <m/>
    <m/>
    <m/>
    <m/>
    <m/>
    <m/>
    <m/>
    <s v=""/>
    <n v="0"/>
    <s v=""/>
    <n v="0"/>
    <s v=""/>
    <s v=""/>
    <m/>
  </r>
  <r>
    <s v="4989-INDO 5 Corners N."/>
    <s v="4989‐INDO"/>
    <s v="5 Corners North"/>
    <s v="Essex School D"/>
    <x v="1"/>
    <m/>
    <m/>
    <s v="4989‐INDO.R"/>
    <m/>
    <s v="Yes"/>
    <m/>
    <s v="Complete"/>
    <m/>
    <m/>
    <m/>
    <m/>
    <s v="Indian Brook"/>
    <s v="Malletts Bay Direct Drainage"/>
    <x v="0"/>
    <x v="0"/>
    <s v="Underground Detention"/>
    <n v="13.891233"/>
    <s v="Total Pervious"/>
    <m/>
    <m/>
    <m/>
    <m/>
    <n v="16.998767000000001"/>
    <n v="11891.880000000001"/>
    <m/>
    <n v="11.664252428999999"/>
    <n v="0.2182966103986245"/>
    <n v="2.0000000000000004E-2"/>
    <n v="9.1483051993122427E-2"/>
    <n v="6.1829661039862448E-2"/>
    <n v="0.72119677396846216"/>
    <m/>
    <m/>
    <m/>
    <n v="1"/>
    <n v="0.72119677396846216"/>
    <m/>
    <m/>
    <m/>
    <m/>
    <m/>
    <m/>
    <m/>
    <m/>
    <m/>
    <m/>
    <s v=""/>
    <n v="0"/>
    <s v=""/>
    <n v="0"/>
    <s v=""/>
    <s v=""/>
    <m/>
  </r>
  <r>
    <s v="Countryside Dr.-1"/>
    <s v="2‐0155"/>
    <s v="Countryside Dr Intersection"/>
    <s v="ROW"/>
    <x v="1"/>
    <m/>
    <m/>
    <s v="2‐0155"/>
    <m/>
    <s v="Yes"/>
    <m/>
    <s v="Preliminary Design (&lt;100%)"/>
    <m/>
    <m/>
    <m/>
    <m/>
    <s v="Indian Brook"/>
    <s v="Malletts Bay Direct Drainage"/>
    <x v="0"/>
    <x v="0"/>
    <s v="Infiltration Chambers"/>
    <n v="1.946"/>
    <s v="Total Pervious"/>
    <m/>
    <m/>
    <m/>
    <m/>
    <n v="3.3040000000000003"/>
    <n v="4791.6000000000004"/>
    <s v="0.17 in/hr"/>
    <n v="1.6450979999999997"/>
    <n v="0.53810664644947515"/>
    <n v="0.16000000000000003"/>
    <n v="0.69053323224737573"/>
    <n v="0.68048531715958005"/>
    <n v="1.1194650342885906"/>
    <m/>
    <m/>
    <m/>
    <n v="1"/>
    <n v="1.1194650342885906"/>
    <m/>
    <m/>
    <m/>
    <m/>
    <m/>
    <m/>
    <m/>
    <m/>
    <m/>
    <m/>
    <s v=""/>
    <n v="0"/>
    <s v=""/>
    <n v="0"/>
    <s v=""/>
    <s v=""/>
    <m/>
  </r>
  <r>
    <s v="Grove St."/>
    <s v="2‐0187"/>
    <s v="Grove St."/>
    <s v="ROW"/>
    <x v="1"/>
    <m/>
    <m/>
    <s v="2‐0187"/>
    <m/>
    <s v="Yes"/>
    <m/>
    <s v="Preliminary Design (&lt;100%)"/>
    <m/>
    <m/>
    <m/>
    <m/>
    <s v="Indian Brook"/>
    <s v="Malletts Bay Direct Drainage"/>
    <x v="0"/>
    <x v="0"/>
    <s v="Infiltration Chambers"/>
    <n v="8.7142649999999993"/>
    <s v="Total Pervious"/>
    <m/>
    <m/>
    <m/>
    <m/>
    <n v="14.679734999999999"/>
    <n v="2047.32"/>
    <s v="8.27 in/hr"/>
    <n v="7.3654254449999987"/>
    <n v="6.2326093252613582E-2"/>
    <n v="0.5"/>
    <n v="0.62326093252613579"/>
    <n v="0.3116304662630679"/>
    <n v="2.2952909656512142"/>
    <m/>
    <m/>
    <m/>
    <n v="1"/>
    <n v="2.2952909656512142"/>
    <m/>
    <m/>
    <m/>
    <m/>
    <m/>
    <m/>
    <m/>
    <m/>
    <m/>
    <m/>
    <s v=""/>
    <n v="0"/>
    <s v=""/>
    <n v="0"/>
    <s v=""/>
    <s v=""/>
    <m/>
  </r>
  <r>
    <s v="1-1143 (Racquet's Edge drywell 2)"/>
    <s v="1‐1143"/>
    <s v="Racquet's Edge drywell 2"/>
    <s v="Private"/>
    <x v="0"/>
    <m/>
    <m/>
    <s v="1‐1143"/>
    <m/>
    <s v="Yes"/>
    <m/>
    <s v="Complete"/>
    <m/>
    <s v="pre-2002"/>
    <m/>
    <m/>
    <s v="Sunderland Brook"/>
    <s v="Winooski River"/>
    <x v="1"/>
    <x v="1"/>
    <s v="Infiltration Trench"/>
    <n v="0.74098419999999998"/>
    <s v="Total Pervious"/>
    <m/>
    <m/>
    <m/>
    <m/>
    <n v="7.3015799999999964E-2"/>
    <n v="784.08"/>
    <s v="8.27 in/hr"/>
    <n v="0.8445460011999999"/>
    <n v="0.28908058481588572"/>
    <n v="0.18999999999999995"/>
    <n v="0.44540292407942855"/>
    <n v="0.83462655557509136"/>
    <n v="0.70488052000627288"/>
    <m/>
    <m/>
    <m/>
    <n v="1"/>
    <n v="0.70488052000627288"/>
    <m/>
    <m/>
    <m/>
    <m/>
    <m/>
    <m/>
    <m/>
    <m/>
    <m/>
    <m/>
    <s v=""/>
    <n v="0"/>
    <s v=""/>
    <n v="0"/>
    <s v=""/>
    <s v=""/>
    <m/>
  </r>
  <r>
    <s v="1-1143 (Racquet's Edge drywell 1)"/>
    <s v="1‐1143"/>
    <s v="Racquet's Edge drywell 1"/>
    <s v="Private"/>
    <x v="0"/>
    <m/>
    <m/>
    <s v="1‐1143"/>
    <m/>
    <s v="Yes"/>
    <m/>
    <s v="Complete"/>
    <m/>
    <s v="pre-2002"/>
    <m/>
    <m/>
    <s v="Sunderland Brook"/>
    <s v="Winooski River"/>
    <x v="1"/>
    <x v="1"/>
    <s v="Infiltration Trench"/>
    <n v="0.2432"/>
    <s v="Total Pervious"/>
    <m/>
    <m/>
    <m/>
    <m/>
    <n v="0.39680000000000004"/>
    <n v="479.11"/>
    <s v="2.41 in/hr"/>
    <n v="0.36331520000000006"/>
    <n v="0.44843828521903356"/>
    <n v="9.9999999999999978E-2"/>
    <n v="0.24219142609516775"/>
    <n v="0.83421914260951679"/>
    <n v="0.30308449464100518"/>
    <m/>
    <m/>
    <m/>
    <n v="1"/>
    <n v="0.30308449464100518"/>
    <m/>
    <m/>
    <m/>
    <m/>
    <m/>
    <m/>
    <m/>
    <m/>
    <m/>
    <m/>
    <s v=""/>
    <n v="0"/>
    <s v=""/>
    <n v="0"/>
    <s v=""/>
    <s v=""/>
    <m/>
  </r>
  <r>
    <s v="O126"/>
    <s v="Outfall 126"/>
    <s v="Outfall 126: Fort Ethan Allen (Ryan St.)"/>
    <s v="Town (easement)"/>
    <x v="0"/>
    <m/>
    <m/>
    <m/>
    <m/>
    <s v="Yes"/>
    <n v="613000"/>
    <s v="Preliminary Design (&lt;100%)"/>
    <s v="2027?"/>
    <m/>
    <m/>
    <m/>
    <s v="Sunderland Brook"/>
    <s v="Winooski River"/>
    <x v="1"/>
    <x v="0"/>
    <s v="Infiltration Chambers"/>
    <n v="3.4359999999999999"/>
    <s v="By HSG"/>
    <n v="2.1500000000000004"/>
    <m/>
    <m/>
    <m/>
    <n v="2.15"/>
    <n v="12239.270999999999"/>
    <s v="8.27 in/hr"/>
    <n v="3.8810120000000001"/>
    <n v="0.96437294638158322"/>
    <n v="1.0000000000000009E-2"/>
    <n v="0.82186473190791609"/>
    <n v="0.99821864731907917"/>
    <n v="3.8740985488691142"/>
    <m/>
    <m/>
    <m/>
    <n v="1"/>
    <n v="3.8740985488691142"/>
    <m/>
    <m/>
    <m/>
    <m/>
    <m/>
    <m/>
    <m/>
    <m/>
    <m/>
    <m/>
    <s v=""/>
    <n v="0"/>
    <s v=""/>
    <n v="0"/>
    <s v=""/>
    <s v=""/>
    <m/>
  </r>
  <r>
    <s v="O199"/>
    <s v="Outfall 199"/>
    <s v="Outfall 199‐Morse Dr."/>
    <s v="Town"/>
    <x v="0"/>
    <m/>
    <m/>
    <m/>
    <m/>
    <s v="Yes"/>
    <n v="38600"/>
    <s v="Planned"/>
    <s v="not planned but keep on list"/>
    <m/>
    <m/>
    <m/>
    <s v="Sunderland Brook"/>
    <s v="Winooski River"/>
    <x v="1"/>
    <x v="0"/>
    <s v="Infiltration Trench"/>
    <n v="5.18"/>
    <s v="Total Pervious"/>
    <m/>
    <m/>
    <m/>
    <m/>
    <n v="3"/>
    <n v="5009"/>
    <s v="8.27 in/hr"/>
    <n v="6.4790600000000005"/>
    <n v="0.25518900440647196"/>
    <n v="0.18999999999999995"/>
    <n v="0.27594502203235977"/>
    <n v="0.80242955418614836"/>
    <n v="5.1989892273453071"/>
    <m/>
    <m/>
    <m/>
    <n v="1"/>
    <n v="5.1989892273453071"/>
    <m/>
    <m/>
    <m/>
    <m/>
    <m/>
    <m/>
    <m/>
    <m/>
    <m/>
    <m/>
    <s v=""/>
    <n v="0"/>
    <s v=""/>
    <n v="0"/>
    <s v=""/>
    <s v=""/>
    <m/>
  </r>
  <r>
    <m/>
    <s v="1‐0896,_x000a_1‐0552,_x000a_1‐1463"/>
    <s v="David Dr. Outfall"/>
    <s v="ROW"/>
    <x v="0"/>
    <m/>
    <m/>
    <s v="1‐0896,_x000a_1‐0552,_x000a_1‐1463"/>
    <m/>
    <s v="Yes"/>
    <n v="852200"/>
    <s v="Preliminary Design (&lt;100%)"/>
    <s v="2032?"/>
    <m/>
    <m/>
    <m/>
    <s v="Sunderland Brook"/>
    <s v="Winooski River"/>
    <x v="1"/>
    <x v="0"/>
    <s v="Infiltration Chambers"/>
    <n v="15.96"/>
    <s v="Total Pervious"/>
    <m/>
    <m/>
    <m/>
    <m/>
    <n v="16.25"/>
    <n v="61028"/>
    <s v="2.41 in/hr"/>
    <n v="21.58107"/>
    <n v="0.84760511979864128"/>
    <n v="2.0000000000000018E-2"/>
    <n v="0.23802559899320624"/>
    <n v="0.96476051197986412"/>
    <n v="20.820564142273287"/>
    <m/>
    <m/>
    <m/>
    <n v="1"/>
    <n v="20.820564142273287"/>
    <m/>
    <m/>
    <m/>
    <m/>
    <m/>
    <m/>
    <m/>
    <m/>
    <m/>
    <m/>
    <s v=""/>
    <n v="0"/>
    <s v=""/>
    <n v="0"/>
    <s v=""/>
    <s v=""/>
    <m/>
  </r>
  <r>
    <s v="5944-INDO.R"/>
    <s v="5944-INDO.R"/>
    <s v="Kellogg Rd Detention Pond"/>
    <s v="Town"/>
    <x v="0"/>
    <m/>
    <m/>
    <s v="5944-INDO.R"/>
    <m/>
    <s v="Yes"/>
    <m/>
    <s v="Complete"/>
    <m/>
    <d v="2011-12-31T00:00:00"/>
    <m/>
    <m/>
    <s v="Sunderland Brook"/>
    <s v="Winooski River"/>
    <x v="1"/>
    <x v="0"/>
    <s v="Wet pond/ Created Wetland"/>
    <n v="9.5"/>
    <s v="Total Pervious"/>
    <m/>
    <m/>
    <m/>
    <m/>
    <n v="4"/>
    <n v="170450.28"/>
    <m/>
    <n v="11.535499999999999"/>
    <n v="2"/>
    <s v=""/>
    <s v=""/>
    <n v="0.63"/>
    <n v="7.267364999999999"/>
    <m/>
    <s v="No"/>
    <m/>
    <n v="1"/>
    <n v="7.267364999999999"/>
    <m/>
    <m/>
    <m/>
    <m/>
    <m/>
    <m/>
    <m/>
    <m/>
    <m/>
    <m/>
    <s v=""/>
    <n v="0"/>
    <s v=""/>
    <n v="0"/>
    <s v=""/>
    <s v=""/>
    <m/>
  </r>
  <r>
    <m/>
    <s v="TAP TA 18(2) Acorn 3"/>
    <s v="Acorn Circle cul-de-sac retrofit - media filter with specialized media"/>
    <s v="Village"/>
    <x v="1"/>
    <m/>
    <m/>
    <m/>
    <m/>
    <s v="Yes"/>
    <m/>
    <s v="Complete"/>
    <n v="2021"/>
    <d v="2022-12-31T00:00:00"/>
    <m/>
    <m/>
    <s v="n/a"/>
    <s v="Winooski River"/>
    <x v="1"/>
    <x v="0"/>
    <s v="Sand filter (w/ underdrain)"/>
    <n v="0.70399999999999996"/>
    <s v="Total Pervious"/>
    <m/>
    <m/>
    <m/>
    <m/>
    <n v="1.1020000000000001"/>
    <n v="3613"/>
    <m/>
    <n v="1.0409299999999999"/>
    <n v="0.98659966744405703"/>
    <n v="5.0000000000000044E-2"/>
    <n v="0.93299833722028513"/>
    <n v="0.52664991686101426"/>
    <n v="0.54820569795813556"/>
    <n v="0.93683699999999992"/>
    <s v="No"/>
    <m/>
    <n v="1"/>
    <n v="0.93683699999999992"/>
    <m/>
    <m/>
    <m/>
    <m/>
    <m/>
    <m/>
    <m/>
    <m/>
    <m/>
    <m/>
    <s v=""/>
    <n v="0"/>
    <s v=""/>
    <n v="0"/>
    <s v=""/>
    <s v=""/>
    <m/>
  </r>
  <r>
    <m/>
    <s v="TAP TA 18(2) Acorn 3 impervious removal"/>
    <s v="Acorn Circle cul-de-sac retrofit - impervious removal"/>
    <s v="Village"/>
    <x v="1"/>
    <m/>
    <m/>
    <m/>
    <m/>
    <s v="Yes"/>
    <m/>
    <s v="Complete"/>
    <n v="2021"/>
    <d v="2022-12-31T00:00:00"/>
    <m/>
    <m/>
    <s v="n/a"/>
    <s v="Winooski River"/>
    <x v="1"/>
    <x v="0"/>
    <s v="Impervious removal"/>
    <n v="1.042"/>
    <s v="By HSG"/>
    <n v="0"/>
    <n v="0.76400000000000001"/>
    <n v="0"/>
    <n v="0"/>
    <m/>
    <m/>
    <s v="0.52 in/hr"/>
    <n v="1.3579700000000001"/>
    <n v="0"/>
    <s v=""/>
    <n v="0"/>
    <s v=""/>
    <s v=""/>
    <n v="0.03"/>
    <s v="No"/>
    <m/>
    <n v="1"/>
    <n v="0.03"/>
    <m/>
    <m/>
    <m/>
    <m/>
    <m/>
    <m/>
    <m/>
    <m/>
    <m/>
    <m/>
    <s v=""/>
    <n v="0"/>
    <s v=""/>
    <n v="0"/>
    <s v=""/>
    <s v=""/>
    <m/>
  </r>
  <r>
    <m/>
    <s v="TAP TA 18(2) Oakwood 1"/>
    <s v="Oakwood Drive cul-de-sac retrofit - media filter with specialized media"/>
    <s v="Town"/>
    <x v="0"/>
    <m/>
    <m/>
    <m/>
    <m/>
    <s v="Yes"/>
    <m/>
    <s v="Complete"/>
    <n v="2021"/>
    <d v="2022-12-31T00:00:00"/>
    <m/>
    <m/>
    <s v="n/a"/>
    <s v="Winooski River"/>
    <x v="1"/>
    <x v="0"/>
    <s v="Sand filter (w/ underdrain)"/>
    <n v="2.133"/>
    <s v="By HSG"/>
    <n v="0"/>
    <n v="0"/>
    <n v="3.681"/>
    <n v="0"/>
    <m/>
    <n v="11500"/>
    <m/>
    <n v="3.4279649999999999"/>
    <n v="1.1483881120987298"/>
    <n v="4.9999999999999933E-2"/>
    <n v="0.29677622419745964"/>
    <n v="0.54483881120987299"/>
    <n v="1.8676883754690523"/>
    <n v="3.0851685"/>
    <s v="No"/>
    <m/>
    <n v="1"/>
    <n v="3.0851685"/>
    <m/>
    <m/>
    <m/>
    <m/>
    <m/>
    <m/>
    <m/>
    <m/>
    <m/>
    <m/>
    <s v=""/>
    <n v="0"/>
    <s v=""/>
    <n v="0"/>
    <s v=""/>
    <s v=""/>
    <m/>
  </r>
  <r>
    <m/>
    <s v="TAP TA 18(2) Oakwood 1 impervious removal"/>
    <s v="Oakwood Drive cul-de-sac retrofit - impervious removal"/>
    <s v="Town"/>
    <x v="0"/>
    <m/>
    <m/>
    <m/>
    <m/>
    <s v="Yes"/>
    <m/>
    <s v="Complete"/>
    <n v="2021"/>
    <d v="2022-12-31T00:00:00"/>
    <m/>
    <m/>
    <s v="n/a"/>
    <s v="Winooski River"/>
    <x v="1"/>
    <x v="0"/>
    <s v="Impervious removal"/>
    <n v="2.0329999999999999"/>
    <s v="By HSG"/>
    <n v="0"/>
    <n v="0"/>
    <n v="3.581"/>
    <n v="0"/>
    <m/>
    <m/>
    <s v="0.27 in /hr"/>
    <n v="3.287865"/>
    <n v="0"/>
    <s v=""/>
    <n v="0"/>
    <s v=""/>
    <s v=""/>
    <n v="0.14000000000000001"/>
    <s v="No"/>
    <m/>
    <n v="1"/>
    <n v="0.14000000000000001"/>
    <m/>
    <m/>
    <m/>
    <m/>
    <m/>
    <m/>
    <m/>
    <m/>
    <m/>
    <m/>
    <s v=""/>
    <n v="0"/>
    <s v=""/>
    <n v="0"/>
    <s v=""/>
    <s v=""/>
    <m/>
  </r>
  <r>
    <m/>
    <s v="TAP TA 18(2) Sage 1"/>
    <s v="Sage Circle cul-de-sac retrofit - infiltration trenches"/>
    <s v="Town"/>
    <x v="0"/>
    <m/>
    <m/>
    <m/>
    <m/>
    <s v="Yes"/>
    <m/>
    <s v="Complete"/>
    <n v="2021"/>
    <d v="2022-12-31T00:00:00"/>
    <m/>
    <m/>
    <s v="n/a"/>
    <s v="Winooski River"/>
    <x v="1"/>
    <x v="0"/>
    <s v="Infiltration Trench"/>
    <n v="0.80400000000000005"/>
    <s v="By HSG"/>
    <n v="1.2549999999999999"/>
    <n v="0"/>
    <n v="0"/>
    <n v="0"/>
    <m/>
    <n v="6096"/>
    <s v="8.27 in/hr"/>
    <n v="0.9231680000000001"/>
    <n v="1.8926597784227577"/>
    <n v="0"/>
    <n v="0.78531955684551535"/>
    <n v="1"/>
    <n v="0.9231680000000001"/>
    <m/>
    <s v="No"/>
    <m/>
    <n v="1"/>
    <n v="0.9231680000000001"/>
    <m/>
    <m/>
    <m/>
    <m/>
    <m/>
    <m/>
    <m/>
    <m/>
    <m/>
    <m/>
    <s v=""/>
    <n v="0"/>
    <s v=""/>
    <n v="0"/>
    <s v=""/>
    <s v=""/>
    <m/>
  </r>
  <r>
    <m/>
    <s v="TAP TA 18(2) Sage 1 impervious removal"/>
    <s v="Sage Circle cul-de-sac retrofit - impervious removal"/>
    <s v="Town"/>
    <x v="0"/>
    <m/>
    <m/>
    <m/>
    <m/>
    <s v="Yes"/>
    <m/>
    <s v="Complete"/>
    <n v="2021"/>
    <d v="2022-12-31T00:00:00"/>
    <m/>
    <m/>
    <s v="n/a"/>
    <s v="Winooski River"/>
    <x v="1"/>
    <x v="0"/>
    <s v="Impervious removal"/>
    <n v="0.73899999999999999"/>
    <s v="By HSG"/>
    <n v="1.32"/>
    <n v="0"/>
    <n v="0"/>
    <n v="0"/>
    <m/>
    <m/>
    <m/>
    <n v="0.85186299999999993"/>
    <n v="0"/>
    <s v=""/>
    <n v="0"/>
    <s v=""/>
    <s v=""/>
    <n v="0.06"/>
    <s v="No"/>
    <m/>
    <n v="1"/>
    <n v="0.06"/>
    <m/>
    <m/>
    <m/>
    <m/>
    <m/>
    <m/>
    <m/>
    <m/>
    <m/>
    <m/>
    <s v=""/>
    <n v="0"/>
    <s v=""/>
    <n v="0"/>
    <s v=""/>
    <s v=""/>
    <m/>
  </r>
  <r>
    <s v="3790-9010.R1 "/>
    <s v="3790-9010.R1 "/>
    <s v="Oak Ridge-Forestdale Drywells SN 001"/>
    <s v="Town"/>
    <x v="0"/>
    <m/>
    <m/>
    <s v="3790-9010.R1 "/>
    <m/>
    <s v="Yes"/>
    <m/>
    <s v="Complete"/>
    <m/>
    <d v="2002-09-30T00:00:00"/>
    <m/>
    <m/>
    <s v="n/a"/>
    <s v="Winooski River"/>
    <x v="1"/>
    <x v="1"/>
    <s v="Infiltration Trench"/>
    <n v="0.91"/>
    <s v="Total Pervious"/>
    <m/>
    <m/>
    <m/>
    <m/>
    <n v="0.82"/>
    <n v="5217"/>
    <s v="2.41 in/hr"/>
    <n v="1.2058899999999999"/>
    <n v="1.2105208012149675"/>
    <n v="2.0000000000000018E-2"/>
    <n v="0.42104160242993505"/>
    <n v="0.98842083204859865"/>
    <n v="1.1919267971590846"/>
    <m/>
    <s v="No"/>
    <m/>
    <n v="0.38"/>
    <n v="0.45293218292045212"/>
    <m/>
    <m/>
    <m/>
    <m/>
    <m/>
    <m/>
    <m/>
    <m/>
    <m/>
    <m/>
    <s v=""/>
    <n v="0"/>
    <s v=""/>
    <n v="0"/>
    <s v=""/>
    <s v=""/>
    <m/>
  </r>
  <r>
    <s v="3790-9010.R1 "/>
    <s v="3790-9010.R1 "/>
    <s v="Oak Ridge-Forestdale Drywells SN 002"/>
    <s v="Town"/>
    <x v="0"/>
    <m/>
    <m/>
    <s v="3790-9010.R1 "/>
    <m/>
    <s v="Yes"/>
    <m/>
    <s v="Complete"/>
    <m/>
    <d v="2002-09-30T00:00:00"/>
    <m/>
    <m/>
    <s v="n/a"/>
    <s v="Winooski River"/>
    <x v="1"/>
    <x v="1"/>
    <s v="Infiltration Trench"/>
    <n v="0.9"/>
    <s v="Total Pervious"/>
    <m/>
    <m/>
    <m/>
    <m/>
    <n v="0.85"/>
    <n v="5217"/>
    <s v="2.41 in/hr"/>
    <n v="1.2016500000000001"/>
    <n v="1.2104028134311162"/>
    <n v="2.0000000000000018E-2"/>
    <n v="0.42080562686223244"/>
    <n v="0.9884161125372446"/>
    <n v="1.18773022163038"/>
    <m/>
    <s v="No"/>
    <m/>
    <n v="0.38"/>
    <n v="0.45133748421954439"/>
    <m/>
    <m/>
    <m/>
    <m/>
    <m/>
    <m/>
    <m/>
    <m/>
    <m/>
    <m/>
    <s v=""/>
    <n v="0"/>
    <s v=""/>
    <n v="0"/>
    <s v=""/>
    <s v=""/>
    <m/>
  </r>
  <r>
    <s v="3790-9010.R1 "/>
    <s v="3790-9010.R1 "/>
    <s v="Oak Ridge-Forestdale Drywells SN 003"/>
    <s v="Town"/>
    <x v="0"/>
    <m/>
    <m/>
    <s v="3790-9010.R1 "/>
    <m/>
    <s v="Yes"/>
    <m/>
    <s v="Complete"/>
    <m/>
    <d v="2002-09-30T00:00:00"/>
    <m/>
    <m/>
    <s v="n/a"/>
    <s v="Winooski River"/>
    <x v="1"/>
    <x v="1"/>
    <s v="Infiltration Trench"/>
    <n v="1.08"/>
    <s v="Total Pervious"/>
    <m/>
    <m/>
    <m/>
    <m/>
    <n v="1.1599999999999999"/>
    <n v="6827"/>
    <s v="2.41 in/hr"/>
    <n v="1.4743200000000001"/>
    <n v="1.2631092096839496"/>
    <n v="2.0000000000000018E-2"/>
    <n v="0.52621841936789915"/>
    <n v="0.99052436838735802"/>
    <n v="1.4603498868008498"/>
    <m/>
    <s v="No"/>
    <m/>
    <n v="0.41"/>
    <n v="0.59874345358834835"/>
    <m/>
    <m/>
    <m/>
    <m/>
    <m/>
    <m/>
    <m/>
    <m/>
    <m/>
    <m/>
    <s v=""/>
    <n v="0"/>
    <s v=""/>
    <n v="0"/>
    <s v=""/>
    <s v=""/>
    <m/>
  </r>
  <r>
    <s v="3790-9010.R1 "/>
    <s v="3790-9010.R1 "/>
    <s v="Oak Ridge-Forestdale Drywells SN 004"/>
    <s v="Town"/>
    <x v="0"/>
    <m/>
    <m/>
    <s v="3790-9010.R1 "/>
    <m/>
    <s v="Yes"/>
    <m/>
    <s v="Complete"/>
    <m/>
    <d v="2002-09-30T00:00:00"/>
    <m/>
    <m/>
    <s v="n/a"/>
    <s v="Winooski River"/>
    <x v="1"/>
    <x v="1"/>
    <s v="Infiltration Trench"/>
    <n v="0.86"/>
    <s v="Total Pervious"/>
    <m/>
    <m/>
    <m/>
    <m/>
    <n v="1.1399999999999999"/>
    <n v="3477"/>
    <s v="2.41 in/hr"/>
    <n v="1.2239599999999999"/>
    <n v="0.84653234511389619"/>
    <n v="2.0000000000000018E-2"/>
    <n v="0.23266172556948078"/>
    <n v="0.96465323451138962"/>
    <n v="1.1806969729125605"/>
    <m/>
    <s v="No"/>
    <m/>
    <n v="0.26"/>
    <n v="0.30698121295726571"/>
    <m/>
    <m/>
    <m/>
    <m/>
    <m/>
    <m/>
    <m/>
    <m/>
    <m/>
    <m/>
    <s v=""/>
    <n v="0"/>
    <s v=""/>
    <n v="0"/>
    <s v=""/>
    <s v=""/>
    <m/>
  </r>
  <r>
    <s v="3790-9010.R1 "/>
    <s v="3790-9010.R1 "/>
    <s v="Oak Ridge-Forestdale Drywells SN 005"/>
    <s v="Town"/>
    <x v="0"/>
    <m/>
    <m/>
    <s v="3790-9010.R1 "/>
    <m/>
    <s v="Yes"/>
    <m/>
    <s v="Complete"/>
    <m/>
    <d v="2002-09-30T00:00:00"/>
    <m/>
    <m/>
    <s v="n/a"/>
    <s v="Winooski River"/>
    <x v="1"/>
    <x v="1"/>
    <s v="Infiltration Trench"/>
    <n v="0.75"/>
    <s v="Total Pervious"/>
    <m/>
    <m/>
    <m/>
    <m/>
    <n v="6.63"/>
    <n v="9012"/>
    <s v="2.41 in/hr"/>
    <n v="2.3692799999999998"/>
    <n v="0.97126946339851916"/>
    <n v="2.0000000000000018E-2"/>
    <n v="0.85634731699259581"/>
    <n v="0.97712694633985187"/>
    <n v="2.3150873314240838"/>
    <m/>
    <s v="No"/>
    <m/>
    <n v="1"/>
    <n v="2.3150873314240838"/>
    <m/>
    <m/>
    <m/>
    <m/>
    <m/>
    <m/>
    <m/>
    <m/>
    <m/>
    <m/>
    <s v=""/>
    <n v="0"/>
    <s v=""/>
    <n v="0"/>
    <s v=""/>
    <s v=""/>
    <m/>
  </r>
  <r>
    <s v="3790-9010.R1 "/>
    <s v="3790-9010.R1 "/>
    <s v="Oak Ridge-Forestdale Drywells SN 006"/>
    <s v="Town"/>
    <x v="0"/>
    <m/>
    <m/>
    <s v="3790-9010.R1 "/>
    <m/>
    <s v="Yes"/>
    <m/>
    <s v="Complete"/>
    <m/>
    <d v="2002-09-30T00:00:00"/>
    <m/>
    <m/>
    <s v="n/a"/>
    <s v="Winooski River"/>
    <x v="1"/>
    <x v="1"/>
    <s v="Infiltration Trench"/>
    <n v="1.18"/>
    <s v="Total Pervious"/>
    <m/>
    <m/>
    <m/>
    <m/>
    <n v="1.24"/>
    <n v="7847"/>
    <s v="2.41 in/hr"/>
    <n v="1.6045"/>
    <n v="1.3207113557530437"/>
    <n v="2.0000000000000018E-2"/>
    <n v="0.64142271150608732"/>
    <n v="0.99282845423012178"/>
    <n v="1.5929932548122305"/>
    <m/>
    <s v="No"/>
    <m/>
    <n v="0.26"/>
    <n v="0.41417824625117994"/>
    <m/>
    <m/>
    <m/>
    <m/>
    <m/>
    <m/>
    <m/>
    <m/>
    <m/>
    <m/>
    <s v=""/>
    <n v="0"/>
    <s v=""/>
    <n v="0"/>
    <s v=""/>
    <s v=""/>
    <m/>
  </r>
  <r>
    <s v="3790-9010.R1 "/>
    <s v="3790-9010.R1 "/>
    <s v="Oak Ridge-Forestdale Drywells SN 007"/>
    <s v="Town"/>
    <x v="0"/>
    <m/>
    <m/>
    <s v="3790-9010.R1 "/>
    <m/>
    <s v="Yes"/>
    <m/>
    <s v="Complete"/>
    <m/>
    <d v="2002-09-30T00:00:00"/>
    <m/>
    <m/>
    <s v="n/a"/>
    <s v="Winooski River"/>
    <x v="1"/>
    <x v="1"/>
    <s v="Infiltration Trench"/>
    <n v="1.32"/>
    <s v="Total Pervious"/>
    <m/>
    <m/>
    <m/>
    <m/>
    <n v="1.82"/>
    <n v="10127"/>
    <s v="2.41 in/hr"/>
    <n v="1.89486"/>
    <n v="1.3807841839811335"/>
    <n v="2.0000000000000018E-2"/>
    <n v="0.7615683679622669"/>
    <n v="0.99523136735924533"/>
    <n v="1.8858241087543397"/>
    <m/>
    <s v="No"/>
    <m/>
    <n v="0.3"/>
    <n v="0.56574723262630189"/>
    <m/>
    <m/>
    <m/>
    <m/>
    <m/>
    <m/>
    <m/>
    <m/>
    <m/>
    <m/>
    <s v=""/>
    <n v="0"/>
    <s v=""/>
    <n v="0"/>
    <s v=""/>
    <s v=""/>
    <m/>
  </r>
  <r>
    <s v="3790-9010.R1 "/>
    <s v="3790-9010.R1 "/>
    <s v="Oak Ridge-Forestdale Drywells SN 008"/>
    <s v="Town"/>
    <x v="0"/>
    <m/>
    <m/>
    <s v="3790-9010.R1 "/>
    <m/>
    <s v="Yes"/>
    <m/>
    <s v="Complete"/>
    <m/>
    <d v="2002-09-30T00:00:00"/>
    <m/>
    <m/>
    <s v="n/a"/>
    <s v="Winooski River"/>
    <x v="1"/>
    <x v="1"/>
    <s v="Infiltration Trench"/>
    <n v="1.1599999999999999"/>
    <s v="Total Pervious"/>
    <m/>
    <m/>
    <m/>
    <m/>
    <n v="1.93"/>
    <n v="6947"/>
    <s v="2.41 in/hr"/>
    <n v="1.7415499999999999"/>
    <n v="1.0933143426696652"/>
    <n v="2.0000000000000018E-2"/>
    <n v="0.18662868533933041"/>
    <n v="0.98373257370678657"/>
    <n v="1.7132194637390541"/>
    <m/>
    <s v="No"/>
    <m/>
    <n v="0.25"/>
    <n v="0.42830486593476352"/>
    <m/>
    <m/>
    <m/>
    <m/>
    <m/>
    <m/>
    <m/>
    <m/>
    <m/>
    <m/>
    <s v=""/>
    <n v="0"/>
    <s v=""/>
    <n v="0"/>
    <s v=""/>
    <s v=""/>
    <m/>
  </r>
  <r>
    <s v="3790-9010.R1 "/>
    <s v="3790-9010.R1 "/>
    <s v="Oak Ridge-Forestdale Drywells SN 009"/>
    <s v="Town"/>
    <x v="0"/>
    <m/>
    <m/>
    <s v="3790-9010.R1 "/>
    <m/>
    <s v="Yes"/>
    <m/>
    <s v="Complete"/>
    <m/>
    <d v="2002-09-30T00:00:00"/>
    <m/>
    <m/>
    <s v="n/a"/>
    <s v="Winooski River"/>
    <x v="1"/>
    <x v="1"/>
    <s v="Infiltration Trench"/>
    <n v="1.1100000000000001"/>
    <s v="Total Pervious"/>
    <m/>
    <m/>
    <m/>
    <m/>
    <n v="2.09"/>
    <n v="9398"/>
    <s v="2.41 in/hr"/>
    <n v="1.7226600000000001"/>
    <n v="1.3606215078638175"/>
    <n v="2.0000000000000018E-2"/>
    <n v="0.72124301572763505"/>
    <n v="0.99442486031455268"/>
    <n v="1.7130559298694674"/>
    <m/>
    <s v="No"/>
    <m/>
    <n v="0.4"/>
    <n v="0.68522237194778701"/>
    <m/>
    <m/>
    <m/>
    <m/>
    <m/>
    <m/>
    <m/>
    <m/>
    <m/>
    <m/>
    <s v=""/>
    <n v="0"/>
    <s v=""/>
    <n v="0"/>
    <s v=""/>
    <s v=""/>
    <m/>
  </r>
  <r>
    <s v="3790-9010.R1 "/>
    <s v="3790-9010.R1 "/>
    <s v="Oak Ridge-Forestdale Drywells SN 0010"/>
    <s v="Town"/>
    <x v="0"/>
    <m/>
    <m/>
    <s v="3790-9010.R1 "/>
    <m/>
    <s v="Yes"/>
    <m/>
    <s v="Complete"/>
    <m/>
    <d v="2002-09-30T00:00:00"/>
    <m/>
    <m/>
    <s v="n/a"/>
    <s v="Winooski River"/>
    <x v="1"/>
    <x v="1"/>
    <s v="Infiltration Trench"/>
    <n v="1.33"/>
    <s v="Total Pervious"/>
    <m/>
    <m/>
    <m/>
    <m/>
    <n v="1.92"/>
    <n v="10067"/>
    <s v="2.41 in/hr"/>
    <n v="1.9291300000000002"/>
    <n v="1.3507680335131722"/>
    <n v="2.0000000000000018E-2"/>
    <n v="0.70153606702634441"/>
    <n v="0.99403072134052683"/>
    <n v="1.9176144854596509"/>
    <m/>
    <s v="No"/>
    <m/>
    <n v="0.28000000000000003"/>
    <n v="0.5369320559287023"/>
    <m/>
    <m/>
    <m/>
    <m/>
    <m/>
    <m/>
    <m/>
    <m/>
    <m/>
    <m/>
    <s v=""/>
    <n v="0"/>
    <s v=""/>
    <n v="0"/>
    <s v=""/>
    <s v=""/>
    <m/>
  </r>
  <r>
    <s v="3081-9010.R"/>
    <s v="3081-9010.R"/>
    <s v="Perkins Bend 002"/>
    <s v="Town"/>
    <x v="0"/>
    <m/>
    <m/>
    <s v="3081-9010.R"/>
    <m/>
    <s v="Yes"/>
    <m/>
    <s v="Complete"/>
    <m/>
    <d v="2010-11-03T00:00:00"/>
    <m/>
    <m/>
    <s v="n/a"/>
    <s v="Winooski River"/>
    <x v="1"/>
    <x v="0"/>
    <s v="Infiltration Chambers"/>
    <n v="6"/>
    <s v="Total Pervious"/>
    <m/>
    <m/>
    <m/>
    <m/>
    <n v="7.3"/>
    <n v="1520"/>
    <s v="2.41 in/hr"/>
    <n v="8.388300000000001"/>
    <n v="6.7783668200072728E-2"/>
    <n v="0.33"/>
    <n v="0.67783668200072722"/>
    <n v="0.22368610506024"/>
    <n v="1.8763461550768115"/>
    <m/>
    <s v="No"/>
    <m/>
    <n v="1"/>
    <n v="1.8763461550768115"/>
    <m/>
    <m/>
    <m/>
    <m/>
    <m/>
    <m/>
    <m/>
    <m/>
    <m/>
    <m/>
    <s v=""/>
    <n v="0"/>
    <s v=""/>
    <n v="0"/>
    <s v=""/>
    <s v=""/>
    <m/>
  </r>
  <r>
    <s v="3201-9010.R"/>
    <s v="3201-9010.R"/>
    <s v="Pinewood Manor Section G"/>
    <s v="Town"/>
    <x v="0"/>
    <m/>
    <m/>
    <s v="3201-9010.R"/>
    <m/>
    <s v="Yes"/>
    <m/>
    <s v="Complete"/>
    <m/>
    <d v="2002-09-30T00:00:00"/>
    <m/>
    <m/>
    <s v="n/a"/>
    <s v="Winooski River"/>
    <x v="1"/>
    <x v="1"/>
    <s v="Wet pond/ Created Wetland"/>
    <n v="2"/>
    <s v="Total Pervious"/>
    <m/>
    <m/>
    <m/>
    <m/>
    <n v="17.3"/>
    <n v="45000"/>
    <m/>
    <n v="6.2302999999999997"/>
    <n v="1.4095498654315068"/>
    <n v="4.9999999999999933E-2"/>
    <n v="0.81909973086301369"/>
    <n v="0.57095498654315069"/>
    <n v="3.5572208526597917"/>
    <m/>
    <s v="No"/>
    <m/>
    <n v="1"/>
    <n v="3.5572208526597917"/>
    <m/>
    <m/>
    <m/>
    <m/>
    <m/>
    <m/>
    <m/>
    <m/>
    <m/>
    <m/>
    <s v=""/>
    <n v="0"/>
    <s v=""/>
    <n v="0"/>
    <s v=""/>
    <s v=""/>
    <m/>
  </r>
  <r>
    <s v="3324-9010.R"/>
    <s v="3324-9010.R"/>
    <s v="Meadows Edge/Steeplebush SN 001"/>
    <s v="Town"/>
    <x v="0"/>
    <m/>
    <m/>
    <s v="3324-9010.R"/>
    <m/>
    <s v="Yes"/>
    <m/>
    <s v="Complete"/>
    <m/>
    <d v="1994-01-25T00:00:00"/>
    <m/>
    <m/>
    <s v="n/a"/>
    <s v="Winooski River"/>
    <x v="1"/>
    <x v="1"/>
    <s v="Grass Channel"/>
    <n v="0.5"/>
    <s v="Total Pervious"/>
    <m/>
    <m/>
    <m/>
    <m/>
    <n v="8.5"/>
    <m/>
    <m/>
    <n v="2.5220000000000002"/>
    <n v="0"/>
    <n v="0.02"/>
    <n v="0"/>
    <n v="0"/>
    <n v="0"/>
    <m/>
    <s v="No"/>
    <m/>
    <n v="1"/>
    <n v="0"/>
    <m/>
    <m/>
    <m/>
    <m/>
    <m/>
    <m/>
    <m/>
    <m/>
    <m/>
    <m/>
    <s v=""/>
    <n v="0"/>
    <s v=""/>
    <n v="0"/>
    <s v=""/>
    <s v=""/>
    <m/>
  </r>
  <r>
    <s v="3324-9010.R"/>
    <s v="3324-9010.R"/>
    <s v="Meadows Edge/Steeplebush (old 1-1124) expansion of SN 002"/>
    <s v="Town"/>
    <x v="0"/>
    <m/>
    <m/>
    <s v="3324-9010.R"/>
    <m/>
    <s v="Yes"/>
    <m/>
    <s v="Complete"/>
    <m/>
    <d v="1993-06-01T00:00:00"/>
    <m/>
    <m/>
    <s v="n/a"/>
    <s v="Winooski River"/>
    <x v="1"/>
    <x v="1"/>
    <s v="Wet pond/ Created Wetland"/>
    <n v="1.85"/>
    <s v="Total Pervious"/>
    <m/>
    <m/>
    <m/>
    <m/>
    <n v="6"/>
    <n v="60309"/>
    <m/>
    <n v="3.4524500000000002"/>
    <n v="2"/>
    <s v=""/>
    <s v=""/>
    <n v="0.63"/>
    <n v="2.1750435000000001"/>
    <m/>
    <s v="No"/>
    <m/>
    <n v="1"/>
    <n v="2.1750435000000001"/>
    <m/>
    <m/>
    <m/>
    <m/>
    <m/>
    <m/>
    <m/>
    <m/>
    <m/>
    <m/>
    <s v=""/>
    <n v="0"/>
    <s v=""/>
    <n v="0"/>
    <s v=""/>
    <s v=""/>
    <m/>
  </r>
  <r>
    <s v="3324-9010.R"/>
    <s v="3324-9010.R"/>
    <s v="Meadows Edge/Steeplebush SN 003"/>
    <s v="Town"/>
    <x v="0"/>
    <m/>
    <m/>
    <s v="3324-9010.R"/>
    <m/>
    <s v="Yes"/>
    <m/>
    <s v="Complete"/>
    <m/>
    <d v="1994-01-25T00:00:00"/>
    <m/>
    <m/>
    <s v="n/a"/>
    <s v="Winooski River"/>
    <x v="1"/>
    <x v="1"/>
    <s v="Grass Channel"/>
    <n v="1"/>
    <s v="Total Pervious"/>
    <m/>
    <m/>
    <m/>
    <m/>
    <n v="15"/>
    <m/>
    <m/>
    <n v="4.5820000000000007"/>
    <n v="0"/>
    <n v="0.02"/>
    <n v="0"/>
    <n v="0"/>
    <n v="0"/>
    <m/>
    <s v="No"/>
    <m/>
    <n v="1"/>
    <n v="0"/>
    <m/>
    <m/>
    <m/>
    <m/>
    <m/>
    <m/>
    <m/>
    <m/>
    <m/>
    <m/>
    <s v=""/>
    <n v="0"/>
    <s v=""/>
    <n v="0"/>
    <s v=""/>
    <s v=""/>
    <m/>
  </r>
  <r>
    <s v="3324-9010.R"/>
    <s v="3324-9010.R"/>
    <s v="Meadows Edge/Steeplebush SN 004"/>
    <s v="Town"/>
    <x v="0"/>
    <m/>
    <m/>
    <s v="3324-9010.R"/>
    <m/>
    <s v="Yes"/>
    <m/>
    <s v="Complete"/>
    <m/>
    <d v="1994-01-25T00:00:00"/>
    <m/>
    <m/>
    <s v="n/a"/>
    <s v="Winooski River"/>
    <x v="1"/>
    <x v="1"/>
    <s v="Grass Channel"/>
    <n v="1.5"/>
    <s v="Total Pervious"/>
    <m/>
    <m/>
    <m/>
    <m/>
    <n v="13.5"/>
    <m/>
    <m/>
    <n v="4.7940000000000005"/>
    <n v="0"/>
    <n v="0.02"/>
    <n v="0"/>
    <n v="0"/>
    <n v="0"/>
    <m/>
    <s v="No"/>
    <m/>
    <n v="1"/>
    <n v="0"/>
    <m/>
    <m/>
    <m/>
    <m/>
    <m/>
    <m/>
    <m/>
    <m/>
    <m/>
    <m/>
    <s v=""/>
    <n v="0"/>
    <s v=""/>
    <n v="0"/>
    <s v=""/>
    <s v=""/>
    <m/>
  </r>
  <r>
    <s v="3324-9010.R"/>
    <s v="3324-9010.R"/>
    <s v="Meadows Edge/Steeplebush SN 005"/>
    <s v="Town"/>
    <x v="0"/>
    <m/>
    <m/>
    <s v="3324-9010.R"/>
    <m/>
    <s v="Yes"/>
    <m/>
    <s v="Complete"/>
    <m/>
    <d v="1994-01-25T00:00:00"/>
    <m/>
    <m/>
    <s v="n/a"/>
    <s v="Winooski River"/>
    <x v="1"/>
    <x v="1"/>
    <s v="Grass Channel"/>
    <n v="0.5"/>
    <s v="Total Pervious"/>
    <m/>
    <m/>
    <m/>
    <m/>
    <n v="3.5"/>
    <m/>
    <m/>
    <n v="1.367"/>
    <n v="0"/>
    <n v="0.02"/>
    <n v="0"/>
    <n v="0"/>
    <n v="0"/>
    <m/>
    <s v="No"/>
    <m/>
    <n v="1"/>
    <n v="0"/>
    <m/>
    <m/>
    <m/>
    <m/>
    <m/>
    <m/>
    <m/>
    <m/>
    <m/>
    <m/>
    <s v=""/>
    <n v="0"/>
    <s v=""/>
    <n v="0"/>
    <s v=""/>
    <s v=""/>
    <m/>
  </r>
  <r>
    <s v="3324-9010.R"/>
    <s v="3324-9010.R"/>
    <s v="Meadows Edge/Steeplebush SN 006"/>
    <s v="Town"/>
    <x v="0"/>
    <m/>
    <m/>
    <s v="3324-9010.R"/>
    <m/>
    <s v="Yes"/>
    <m/>
    <s v="Complete"/>
    <m/>
    <d v="1994-01-25T00:00:00"/>
    <m/>
    <m/>
    <s v="n/a"/>
    <s v="Winooski River"/>
    <x v="1"/>
    <x v="1"/>
    <s v="Grass Channel"/>
    <n v="0.25"/>
    <s v="Total Pervious"/>
    <m/>
    <m/>
    <m/>
    <m/>
    <n v="7"/>
    <m/>
    <m/>
    <n v="1.89625"/>
    <n v="0"/>
    <n v="0.02"/>
    <n v="0"/>
    <n v="0"/>
    <n v="0"/>
    <m/>
    <s v="No"/>
    <m/>
    <n v="1"/>
    <n v="0"/>
    <m/>
    <m/>
    <m/>
    <m/>
    <m/>
    <m/>
    <m/>
    <m/>
    <m/>
    <m/>
    <s v=""/>
    <n v="0"/>
    <s v=""/>
    <n v="0"/>
    <s v=""/>
    <s v=""/>
    <m/>
  </r>
  <r>
    <s v="3324-9010.R"/>
    <s v="3324-9010.R"/>
    <s v="Meadows Edge/Steeplebush SN 007"/>
    <s v="Town"/>
    <x v="0"/>
    <m/>
    <m/>
    <s v="3324-9010.R"/>
    <m/>
    <s v="Yes"/>
    <m/>
    <s v="Complete"/>
    <m/>
    <d v="1994-01-25T00:00:00"/>
    <m/>
    <m/>
    <s v="n/a"/>
    <s v="Winooski River"/>
    <x v="1"/>
    <x v="1"/>
    <s v="Grass Channel"/>
    <n v="1.25"/>
    <s v="Total Pervious"/>
    <m/>
    <m/>
    <m/>
    <m/>
    <n v="14"/>
    <m/>
    <m/>
    <n v="4.6302500000000002"/>
    <n v="0"/>
    <n v="0.02"/>
    <n v="0"/>
    <n v="0"/>
    <n v="0"/>
    <m/>
    <s v="No"/>
    <m/>
    <n v="1"/>
    <n v="0"/>
    <m/>
    <m/>
    <m/>
    <m/>
    <m/>
    <m/>
    <m/>
    <m/>
    <m/>
    <m/>
    <s v=""/>
    <n v="0"/>
    <s v=""/>
    <n v="0"/>
    <s v=""/>
    <s v=""/>
    <m/>
  </r>
  <r>
    <s v="3574-9010.R"/>
    <s v="3574-9010.R"/>
    <s v="Forestdale Heights S/N001"/>
    <s v="Town"/>
    <x v="0"/>
    <m/>
    <m/>
    <s v="3574-9010.R"/>
    <m/>
    <s v="Yes"/>
    <m/>
    <s v="Complete"/>
    <m/>
    <d v="2007-11-01T00:00:00"/>
    <m/>
    <m/>
    <s v="n/a"/>
    <s v="Winooski River"/>
    <x v="1"/>
    <x v="1"/>
    <s v="Infiltration Chambers"/>
    <m/>
    <s v="Total Pervious"/>
    <m/>
    <m/>
    <m/>
    <m/>
    <m/>
    <m/>
    <m/>
    <n v="0"/>
    <s v=""/>
    <s v=""/>
    <s v=""/>
    <s v=""/>
    <s v=""/>
    <m/>
    <s v="No"/>
    <m/>
    <n v="1"/>
    <s v=""/>
    <m/>
    <m/>
    <m/>
    <m/>
    <m/>
    <m/>
    <m/>
    <m/>
    <m/>
    <m/>
    <s v=""/>
    <s v=""/>
    <s v=""/>
    <s v=""/>
    <s v=""/>
    <s v=""/>
    <m/>
  </r>
  <r>
    <s v="3574-9010.R"/>
    <s v="3574-9010.R"/>
    <s v="Forestdale Heights S/N002"/>
    <s v="Town"/>
    <x v="0"/>
    <m/>
    <m/>
    <s v="3574-9010.R"/>
    <m/>
    <s v="Yes"/>
    <m/>
    <s v="Complete"/>
    <m/>
    <d v="2007-11-01T00:00:00"/>
    <m/>
    <m/>
    <s v="n/a"/>
    <s v="Winooski River"/>
    <x v="1"/>
    <x v="1"/>
    <s v="Infiltration Chambers"/>
    <m/>
    <s v="Total Pervious"/>
    <m/>
    <m/>
    <m/>
    <m/>
    <m/>
    <m/>
    <m/>
    <n v="0"/>
    <s v=""/>
    <s v=""/>
    <s v=""/>
    <s v=""/>
    <s v=""/>
    <m/>
    <s v="No"/>
    <m/>
    <n v="1"/>
    <s v=""/>
    <m/>
    <m/>
    <m/>
    <m/>
    <m/>
    <m/>
    <m/>
    <m/>
    <m/>
    <m/>
    <s v=""/>
    <s v=""/>
    <s v=""/>
    <s v=""/>
    <s v=""/>
    <s v=""/>
    <m/>
  </r>
  <r>
    <s v="3574-9010.R"/>
    <s v="3574-9010.R"/>
    <s v="Forestdale Heights S/N003"/>
    <s v="Town"/>
    <x v="0"/>
    <m/>
    <m/>
    <s v="3574-9010.R"/>
    <m/>
    <s v="Yes"/>
    <m/>
    <s v="Complete"/>
    <m/>
    <d v="2007-11-01T00:00:00"/>
    <m/>
    <m/>
    <s v="n/a"/>
    <s v="Winooski River"/>
    <x v="1"/>
    <x v="1"/>
    <s v="Infiltration Basin"/>
    <m/>
    <s v="Total Pervious"/>
    <m/>
    <m/>
    <m/>
    <m/>
    <m/>
    <m/>
    <m/>
    <n v="0"/>
    <s v=""/>
    <s v=""/>
    <s v=""/>
    <s v=""/>
    <s v=""/>
    <m/>
    <s v="No"/>
    <m/>
    <n v="1"/>
    <s v=""/>
    <m/>
    <m/>
    <m/>
    <m/>
    <m/>
    <m/>
    <m/>
    <m/>
    <m/>
    <m/>
    <s v=""/>
    <s v=""/>
    <s v=""/>
    <s v=""/>
    <s v=""/>
    <s v=""/>
    <m/>
  </r>
  <r>
    <s v="3575-9010.R"/>
    <s v="3575-9010.R"/>
    <s v="Lang Farm Parcel I - Woodlands II S/N 001 (Basin)"/>
    <s v="Town"/>
    <x v="0"/>
    <m/>
    <m/>
    <s v="3575-9010.R"/>
    <m/>
    <s v="Yes"/>
    <m/>
    <s v="Complete"/>
    <m/>
    <d v="1996-10-15T00:00:00"/>
    <m/>
    <m/>
    <s v="n/a"/>
    <s v="Winooski River"/>
    <x v="1"/>
    <x v="1"/>
    <s v="Extended Dry Detention Pond"/>
    <n v="5.69"/>
    <s v="Total Pervious"/>
    <m/>
    <m/>
    <m/>
    <m/>
    <n v="15.309999999999999"/>
    <n v="20161"/>
    <m/>
    <n v="9.8923400000000008"/>
    <n v="0.65200227606485961"/>
    <n v="2.0000000000000004E-2"/>
    <n v="0.26001138032429805"/>
    <n v="9.5200227606485957E-2"/>
    <n v="0.94175301956074542"/>
    <m/>
    <s v="No"/>
    <m/>
    <n v="1"/>
    <n v="0.94175301956074542"/>
    <m/>
    <m/>
    <m/>
    <m/>
    <m/>
    <m/>
    <m/>
    <m/>
    <m/>
    <m/>
    <s v=""/>
    <n v="0"/>
    <s v=""/>
    <n v="0"/>
    <s v=""/>
    <s v=""/>
    <m/>
  </r>
  <r>
    <s v="3575-9010.R"/>
    <s v="3575-9010.R"/>
    <s v="Lang Farm Parcel I - Woodlands II S/N 001 (Basin)"/>
    <s v="Town"/>
    <x v="0"/>
    <m/>
    <m/>
    <s v="3575-9010.R"/>
    <m/>
    <s v="Yes"/>
    <m/>
    <s v="Complete"/>
    <m/>
    <d v="1996-10-15T00:00:00"/>
    <m/>
    <m/>
    <s v="n/a"/>
    <s v="Winooski River"/>
    <x v="1"/>
    <x v="1"/>
    <s v="Extended Dry Detention Pond"/>
    <n v="1.17"/>
    <s v="Total Pervious"/>
    <m/>
    <m/>
    <m/>
    <m/>
    <n v="19.829999999999998"/>
    <n v="5100"/>
    <m/>
    <n v="5.8876200000000001"/>
    <m/>
    <m/>
    <m/>
    <m/>
    <m/>
    <m/>
    <m/>
    <m/>
    <m/>
    <m/>
    <m/>
    <m/>
    <m/>
    <m/>
    <m/>
    <m/>
    <m/>
    <m/>
    <m/>
    <m/>
    <m/>
    <m/>
    <m/>
    <m/>
    <m/>
    <m/>
    <m/>
  </r>
  <r>
    <s v="3575-9010.R"/>
    <s v="3575-9010.R"/>
    <s v="Lang Farm Parcel I - Woodlands II S/N 001 (South Forebay)"/>
    <s v="Town"/>
    <x v="0"/>
    <m/>
    <m/>
    <s v="3575-9010.R"/>
    <m/>
    <s v="Yes"/>
    <m/>
    <s v="Complete"/>
    <m/>
    <d v="1996-10-15T00:00:00"/>
    <m/>
    <m/>
    <s v="Indian Brook"/>
    <s v="Malletts Bay Direct Drainage"/>
    <x v="0"/>
    <x v="1"/>
    <s v="Extended Dry Detention Pond"/>
    <n v="3.26"/>
    <s v="Total Pervious"/>
    <m/>
    <m/>
    <m/>
    <m/>
    <n v="9.74"/>
    <n v="11709"/>
    <m/>
    <n v="2.8063799999999999"/>
    <n v="0.6412118378161471"/>
    <n v="2.0000000000000004E-2"/>
    <n v="0.20605918908073556"/>
    <n v="9.4121183781614715E-2"/>
    <n v="0.26413980774104789"/>
    <m/>
    <s v="No"/>
    <m/>
    <n v="1"/>
    <n v="0.26413980774104789"/>
    <m/>
    <m/>
    <m/>
    <m/>
    <m/>
    <m/>
    <m/>
    <m/>
    <m/>
    <m/>
    <s v=""/>
    <n v="0"/>
    <s v=""/>
    <n v="0"/>
    <s v=""/>
    <s v=""/>
    <m/>
  </r>
  <r>
    <s v="3575-9010.R"/>
    <s v="3575-9010.R"/>
    <s v="Lang Farm Parcel I - Woodlands II S/N 001 (North Forebay)"/>
    <s v="Town"/>
    <x v="0"/>
    <m/>
    <m/>
    <s v="3575-9010.R"/>
    <m/>
    <s v="Yes"/>
    <m/>
    <s v="Complete"/>
    <m/>
    <d v="1996-10-15T00:00:00"/>
    <m/>
    <m/>
    <s v="Indian Brook"/>
    <s v="Malletts Bay Direct Drainage"/>
    <x v="0"/>
    <x v="1"/>
    <s v="Extended Dry Detention Pond"/>
    <n v="2.4300000000000002"/>
    <s v="Total Pervious"/>
    <m/>
    <m/>
    <m/>
    <m/>
    <n v="5.57"/>
    <n v="8452"/>
    <m/>
    <n v="2.07159"/>
    <n v="0.66831447005332001"/>
    <n v="2.0000000000000004E-2"/>
    <n v="0.34157235026660004"/>
    <n v="9.6831447005332E-2"/>
    <n v="0.20059505730177571"/>
    <m/>
    <s v="No"/>
    <m/>
    <n v="1"/>
    <n v="0.20059505730177571"/>
    <m/>
    <m/>
    <m/>
    <m/>
    <m/>
    <m/>
    <m/>
    <m/>
    <m/>
    <m/>
    <s v=""/>
    <n v="0"/>
    <s v=""/>
    <n v="0"/>
    <s v=""/>
    <s v=""/>
    <m/>
  </r>
  <r>
    <s v="3577-9010.R"/>
    <s v="3577-9010.R"/>
    <s v="Lang Farm Parcel H S/N 001"/>
    <s v="Town"/>
    <x v="0"/>
    <m/>
    <m/>
    <s v="3577-9010.R"/>
    <m/>
    <s v="Yes"/>
    <m/>
    <s v="Complete"/>
    <m/>
    <s v="1988/1989"/>
    <m/>
    <m/>
    <s v="n/a"/>
    <s v="Winooski River"/>
    <x v="1"/>
    <x v="1"/>
    <s v="Infiltration Trench"/>
    <n v="2.2000000000000002"/>
    <s v="Total Pervious"/>
    <m/>
    <m/>
    <m/>
    <m/>
    <n v="10.4"/>
    <m/>
    <m/>
    <n v="4.8597999999999999"/>
    <n v="0"/>
    <s v=""/>
    <n v="0"/>
    <s v=""/>
    <s v=""/>
    <m/>
    <s v="No"/>
    <m/>
    <n v="1"/>
    <s v=""/>
    <m/>
    <m/>
    <m/>
    <m/>
    <m/>
    <m/>
    <m/>
    <m/>
    <m/>
    <m/>
    <s v=""/>
    <n v="0"/>
    <s v=""/>
    <n v="0"/>
    <s v=""/>
    <s v=""/>
    <m/>
  </r>
  <r>
    <s v="3577-9010.R"/>
    <s v="3577-9010.R"/>
    <s v="Lang Farm Parcel H S/N 002"/>
    <s v="Town"/>
    <x v="0"/>
    <m/>
    <m/>
    <s v="3577-9010.R"/>
    <m/>
    <s v="Yes"/>
    <m/>
    <s v="Complete"/>
    <m/>
    <s v="1988/1989"/>
    <m/>
    <m/>
    <s v="n/a"/>
    <s v="Winooski River"/>
    <x v="1"/>
    <x v="1"/>
    <s v="Infiltration Trench"/>
    <n v="2"/>
    <s v="Total Pervious"/>
    <m/>
    <m/>
    <m/>
    <m/>
    <n v="6.7"/>
    <m/>
    <m/>
    <n v="3.7816999999999998"/>
    <n v="0"/>
    <s v=""/>
    <n v="0"/>
    <s v=""/>
    <s v=""/>
    <m/>
    <s v="No"/>
    <m/>
    <n v="1"/>
    <s v=""/>
    <m/>
    <m/>
    <m/>
    <m/>
    <m/>
    <m/>
    <m/>
    <m/>
    <m/>
    <m/>
    <s v=""/>
    <n v="0"/>
    <s v=""/>
    <n v="0"/>
    <s v=""/>
    <s v=""/>
    <m/>
  </r>
  <r>
    <s v="3577-9010.R"/>
    <s v="3577-9010.R"/>
    <s v="Lang Farm Parcel H S/N 003"/>
    <s v="Town"/>
    <x v="0"/>
    <m/>
    <m/>
    <s v="3577-9010.R"/>
    <m/>
    <s v="Yes"/>
    <m/>
    <s v="Complete"/>
    <m/>
    <s v="1988/1989"/>
    <m/>
    <m/>
    <s v="Indian Brook"/>
    <s v="Malletts Bay Direct Drainage"/>
    <x v="0"/>
    <x v="1"/>
    <s v="Infiltration Trench"/>
    <n v="2"/>
    <s v="Total Pervious"/>
    <m/>
    <m/>
    <m/>
    <m/>
    <n v="7.2"/>
    <m/>
    <m/>
    <n v="1.7363999999999999"/>
    <n v="0"/>
    <s v=""/>
    <n v="0"/>
    <s v=""/>
    <s v=""/>
    <m/>
    <s v="No"/>
    <m/>
    <n v="1"/>
    <s v=""/>
    <m/>
    <m/>
    <m/>
    <m/>
    <m/>
    <m/>
    <m/>
    <m/>
    <m/>
    <m/>
    <s v=""/>
    <n v="0"/>
    <s v=""/>
    <n v="0"/>
    <s v=""/>
    <s v=""/>
    <m/>
  </r>
  <r>
    <s v="3577-9010.R"/>
    <s v="3577-9010.R"/>
    <s v="Lang Farm Parcel H S/N 004"/>
    <s v="Town"/>
    <x v="0"/>
    <m/>
    <m/>
    <s v="3577-9010.R"/>
    <m/>
    <s v="Yes"/>
    <m/>
    <s v="Complete"/>
    <m/>
    <s v="1988/1989"/>
    <m/>
    <m/>
    <s v="Indian Brook"/>
    <s v="Malletts Bay Direct Drainage"/>
    <x v="0"/>
    <x v="1"/>
    <s v="Infiltration Trench"/>
    <n v="1.8"/>
    <s v="Total Pervious"/>
    <m/>
    <m/>
    <m/>
    <m/>
    <n v="7.4"/>
    <m/>
    <m/>
    <n v="1.5737999999999999"/>
    <n v="0"/>
    <s v=""/>
    <n v="0"/>
    <s v=""/>
    <s v=""/>
    <m/>
    <s v="No"/>
    <m/>
    <n v="1"/>
    <s v=""/>
    <m/>
    <m/>
    <m/>
    <m/>
    <m/>
    <m/>
    <m/>
    <m/>
    <m/>
    <m/>
    <s v=""/>
    <n v="0"/>
    <s v=""/>
    <n v="0"/>
    <s v=""/>
    <s v=""/>
    <m/>
  </r>
  <r>
    <s v="3578-9010.R"/>
    <s v="3578-9010.R"/>
    <s v="Pinewood Manor S/N 001"/>
    <s v="Town"/>
    <x v="0"/>
    <m/>
    <m/>
    <s v="3578-9010.R"/>
    <m/>
    <s v="Yes"/>
    <m/>
    <s v="Complete"/>
    <m/>
    <s v="1988?"/>
    <m/>
    <m/>
    <s v="n/a"/>
    <s v="Winooski River"/>
    <x v="1"/>
    <x v="1"/>
    <s v="Extended Dry Detention Pond"/>
    <n v="0.66700000000000004"/>
    <s v="Total Pervious"/>
    <m/>
    <m/>
    <m/>
    <m/>
    <m/>
    <n v="900"/>
    <m/>
    <n v="0.74503900000000001"/>
    <s v=""/>
    <s v=""/>
    <s v=""/>
    <s v=""/>
    <s v=""/>
    <m/>
    <s v="No"/>
    <m/>
    <n v="1"/>
    <s v=""/>
    <m/>
    <m/>
    <m/>
    <m/>
    <m/>
    <m/>
    <m/>
    <m/>
    <m/>
    <m/>
    <s v=""/>
    <n v="0"/>
    <s v=""/>
    <n v="0"/>
    <s v=""/>
    <s v=""/>
    <m/>
  </r>
  <r>
    <s v="3578-9010.R"/>
    <s v="3578-9010.R"/>
    <s v="Pinewood Manor S/N 002"/>
    <s v="Town"/>
    <x v="0"/>
    <m/>
    <m/>
    <s v="3578-9010.R"/>
    <m/>
    <s v="Yes"/>
    <m/>
    <s v="Complete"/>
    <m/>
    <s v="1988?"/>
    <m/>
    <m/>
    <s v="n/a"/>
    <s v="Winooski River"/>
    <x v="1"/>
    <x v="1"/>
    <m/>
    <m/>
    <s v="Total Pervious"/>
    <m/>
    <m/>
    <m/>
    <m/>
    <m/>
    <m/>
    <m/>
    <n v="0"/>
    <s v=""/>
    <s v=""/>
    <s v=""/>
    <s v=""/>
    <s v=""/>
    <m/>
    <s v="No"/>
    <m/>
    <n v="1"/>
    <s v=""/>
    <m/>
    <m/>
    <m/>
    <m/>
    <m/>
    <m/>
    <m/>
    <m/>
    <m/>
    <m/>
    <s v=""/>
    <s v=""/>
    <s v=""/>
    <s v=""/>
    <s v=""/>
    <s v=""/>
    <m/>
  </r>
  <r>
    <s v="3578-9010.R"/>
    <s v="3578-9010.R"/>
    <s v="Pinewood Manor S/N 003"/>
    <s v="Town"/>
    <x v="0"/>
    <m/>
    <m/>
    <s v="3578-9010.R"/>
    <m/>
    <s v="Yes"/>
    <m/>
    <s v="Complete"/>
    <m/>
    <s v="1988?"/>
    <m/>
    <m/>
    <s v="n/a"/>
    <s v="Winooski River"/>
    <x v="1"/>
    <x v="1"/>
    <m/>
    <m/>
    <s v="Total Pervious"/>
    <m/>
    <m/>
    <m/>
    <m/>
    <m/>
    <m/>
    <m/>
    <n v="0"/>
    <s v=""/>
    <s v=""/>
    <s v=""/>
    <s v=""/>
    <s v=""/>
    <m/>
    <s v="No"/>
    <m/>
    <n v="1"/>
    <s v=""/>
    <m/>
    <m/>
    <m/>
    <m/>
    <m/>
    <m/>
    <m/>
    <m/>
    <m/>
    <m/>
    <s v=""/>
    <s v=""/>
    <s v=""/>
    <s v=""/>
    <s v=""/>
    <s v=""/>
    <m/>
  </r>
  <r>
    <s v="3578-9010.R"/>
    <s v="3578-9010.R"/>
    <s v="Pinewood Manor S/N 004"/>
    <s v="Town"/>
    <x v="0"/>
    <m/>
    <m/>
    <s v="3578-9010.R"/>
    <m/>
    <s v="Yes"/>
    <m/>
    <s v="Complete"/>
    <m/>
    <s v="1988?"/>
    <m/>
    <m/>
    <s v="n/a"/>
    <s v="Winooski River"/>
    <x v="1"/>
    <x v="1"/>
    <m/>
    <m/>
    <s v="Total Pervious"/>
    <m/>
    <m/>
    <m/>
    <m/>
    <m/>
    <m/>
    <m/>
    <n v="0"/>
    <s v=""/>
    <s v=""/>
    <s v=""/>
    <s v=""/>
    <s v=""/>
    <m/>
    <s v="No"/>
    <m/>
    <n v="1"/>
    <s v=""/>
    <m/>
    <m/>
    <m/>
    <m/>
    <m/>
    <m/>
    <m/>
    <m/>
    <m/>
    <m/>
    <s v=""/>
    <s v=""/>
    <s v=""/>
    <s v=""/>
    <s v=""/>
    <s v=""/>
    <m/>
  </r>
  <r>
    <s v="3579-9010.R"/>
    <s v="3579-9010.R"/>
    <s v="Old Stage Village S/N 001"/>
    <s v="Town"/>
    <x v="0"/>
    <m/>
    <m/>
    <s v="3579-9010.R"/>
    <m/>
    <s v="Yes"/>
    <m/>
    <s v="Complete"/>
    <m/>
    <d v="1994-05-28T00:00:00"/>
    <m/>
    <m/>
    <s v="n/a"/>
    <s v="Winooski River"/>
    <x v="1"/>
    <x v="1"/>
    <s v="Grass Channel"/>
    <n v="9.35"/>
    <s v="Total Pervious"/>
    <m/>
    <m/>
    <m/>
    <m/>
    <n v="74.25"/>
    <m/>
    <m/>
    <n v="27.595700000000001"/>
    <n v="0"/>
    <n v="0.02"/>
    <n v="0"/>
    <n v="0"/>
    <n v="0"/>
    <m/>
    <s v="No"/>
    <m/>
    <n v="1"/>
    <n v="0"/>
    <m/>
    <m/>
    <m/>
    <m/>
    <m/>
    <m/>
    <m/>
    <m/>
    <m/>
    <m/>
    <s v=""/>
    <n v="0"/>
    <s v=""/>
    <n v="0"/>
    <s v=""/>
    <s v=""/>
    <m/>
  </r>
  <r>
    <s v="3579-9010.R"/>
    <s v="3579-9010.R"/>
    <s v="Old Stage Village S/N 002"/>
    <s v="Town"/>
    <x v="0"/>
    <m/>
    <m/>
    <s v="3579-9010.R"/>
    <m/>
    <s v="Yes"/>
    <m/>
    <s v="Complete"/>
    <m/>
    <d v="1994-05-28T00:00:00"/>
    <m/>
    <m/>
    <s v="n/a"/>
    <s v="Winooski River"/>
    <x v="1"/>
    <x v="1"/>
    <s v="Grass Channel"/>
    <s v="included above"/>
    <s v="Total Pervious"/>
    <m/>
    <m/>
    <m/>
    <m/>
    <m/>
    <m/>
    <m/>
    <s v=""/>
    <s v=""/>
    <s v=""/>
    <s v=""/>
    <s v=""/>
    <s v=""/>
    <m/>
    <s v="No"/>
    <m/>
    <n v="1"/>
    <s v=""/>
    <m/>
    <m/>
    <m/>
    <m/>
    <m/>
    <m/>
    <m/>
    <m/>
    <m/>
    <m/>
    <s v=""/>
    <s v=""/>
    <s v=""/>
    <s v=""/>
    <s v=""/>
    <s v=""/>
    <m/>
  </r>
  <r>
    <s v="3579-9010.R"/>
    <s v="3579-9010.R"/>
    <s v="Old Stage Village S/N 003"/>
    <s v="Town"/>
    <x v="0"/>
    <m/>
    <m/>
    <s v="3579-9010.R"/>
    <m/>
    <s v="Yes"/>
    <m/>
    <s v="Complete"/>
    <m/>
    <d v="1994-05-28T00:00:00"/>
    <m/>
    <m/>
    <s v="n/a"/>
    <s v="Winooski River"/>
    <x v="1"/>
    <x v="1"/>
    <s v="Grass Channel"/>
    <s v="included above"/>
    <s v="Total Pervious"/>
    <m/>
    <m/>
    <m/>
    <m/>
    <m/>
    <m/>
    <m/>
    <s v=""/>
    <s v=""/>
    <s v=""/>
    <s v=""/>
    <s v=""/>
    <s v=""/>
    <m/>
    <s v="No"/>
    <m/>
    <n v="1"/>
    <s v=""/>
    <m/>
    <m/>
    <m/>
    <m/>
    <m/>
    <m/>
    <m/>
    <m/>
    <m/>
    <m/>
    <s v=""/>
    <s v=""/>
    <s v=""/>
    <s v=""/>
    <s v=""/>
    <s v=""/>
    <m/>
  </r>
  <r>
    <s v="3579-9010.R"/>
    <s v="3579-9010.R"/>
    <s v="Old Stage Village S/N 004"/>
    <s v="Town"/>
    <x v="0"/>
    <m/>
    <m/>
    <s v="3579-9010.R"/>
    <m/>
    <s v="Yes"/>
    <m/>
    <s v="Complete"/>
    <m/>
    <d v="1994-05-28T00:00:00"/>
    <m/>
    <m/>
    <s v="n/a"/>
    <s v="Winooski River"/>
    <x v="1"/>
    <x v="1"/>
    <s v="Grass Channel"/>
    <s v="included above"/>
    <s v="Total Pervious"/>
    <m/>
    <m/>
    <m/>
    <m/>
    <m/>
    <m/>
    <m/>
    <s v=""/>
    <s v=""/>
    <s v=""/>
    <s v=""/>
    <s v=""/>
    <s v=""/>
    <m/>
    <s v="No"/>
    <m/>
    <n v="1"/>
    <s v=""/>
    <m/>
    <m/>
    <m/>
    <m/>
    <m/>
    <m/>
    <m/>
    <m/>
    <m/>
    <m/>
    <s v=""/>
    <s v=""/>
    <s v=""/>
    <s v=""/>
    <s v=""/>
    <s v=""/>
    <m/>
  </r>
  <r>
    <s v="3585-9010.T"/>
    <s v="3585-9010.T"/>
    <s v="Saxon Hill ROW S/N 001 (Industrial Park)"/>
    <s v="Town"/>
    <x v="0"/>
    <m/>
    <m/>
    <s v="3585-9010.T"/>
    <m/>
    <s v="Yes"/>
    <m/>
    <s v="Complete"/>
    <m/>
    <d v="2005-07-01T00:00:00"/>
    <m/>
    <m/>
    <s v="n/a"/>
    <s v="Winooski River"/>
    <x v="1"/>
    <x v="0"/>
    <s v="Dry Swale (w/ underdrain)"/>
    <n v="1.1399999999999999"/>
    <s v="Total Pervious"/>
    <m/>
    <m/>
    <m/>
    <m/>
    <n v="0.85000000000000009"/>
    <n v="12460"/>
    <m/>
    <n v="1.46973"/>
    <n v="2"/>
    <s v=""/>
    <s v=""/>
    <n v="0.63"/>
    <n v="0.92592989999999997"/>
    <m/>
    <s v="No"/>
    <m/>
    <n v="1"/>
    <n v="0.92592989999999997"/>
    <m/>
    <m/>
    <m/>
    <m/>
    <m/>
    <m/>
    <m/>
    <m/>
    <m/>
    <m/>
    <s v=""/>
    <n v="0"/>
    <s v=""/>
    <n v="0"/>
    <s v=""/>
    <s v=""/>
    <m/>
  </r>
  <r>
    <s v="4367-9010.R"/>
    <s v="4367-9010.R"/>
    <s v="Autumn Knoll S/N 001"/>
    <s v="Town"/>
    <x v="0"/>
    <m/>
    <m/>
    <s v="4367-9010.R"/>
    <m/>
    <s v="Yes"/>
    <m/>
    <s v="Complete"/>
    <m/>
    <s v="2002?"/>
    <m/>
    <m/>
    <s v="n/a"/>
    <s v="Winooski River"/>
    <x v="1"/>
    <x v="1"/>
    <s v="Extended Dry Detention Pond"/>
    <n v="3.03"/>
    <s v="Total Pervious"/>
    <m/>
    <m/>
    <m/>
    <m/>
    <n v="3.91"/>
    <n v="8010"/>
    <m/>
    <n v="4.2877200000000002"/>
    <n v="0.59739792362392452"/>
    <n v="9.999999999999995E-3"/>
    <n v="0.98698961811962271"/>
    <n v="8.9869896181196229E-2"/>
    <n v="0.38533695125403872"/>
    <m/>
    <s v="No"/>
    <m/>
    <n v="1"/>
    <n v="0.38533695125403872"/>
    <m/>
    <m/>
    <m/>
    <m/>
    <m/>
    <m/>
    <m/>
    <m/>
    <m/>
    <m/>
    <s v=""/>
    <n v="0"/>
    <s v=""/>
    <n v="0"/>
    <s v=""/>
    <s v=""/>
    <m/>
  </r>
  <r>
    <s v="4367-9010.R"/>
    <s v="4367-9010.R"/>
    <s v="Autumn Knoll S/N 003"/>
    <s v="Town"/>
    <x v="0"/>
    <m/>
    <m/>
    <s v="4367-9010.R"/>
    <m/>
    <s v="Yes"/>
    <m/>
    <s v="Complete"/>
    <m/>
    <s v="2002?"/>
    <m/>
    <m/>
    <s v="n/a"/>
    <s v="Winooski River"/>
    <x v="1"/>
    <x v="1"/>
    <s v="Grass Channel"/>
    <n v="1.1599999999999999"/>
    <s v="Total Pervious"/>
    <m/>
    <m/>
    <m/>
    <m/>
    <n v="9.44"/>
    <m/>
    <m/>
    <n v="3.4763599999999997"/>
    <n v="0"/>
    <n v="0.02"/>
    <n v="0"/>
    <n v="0"/>
    <n v="0"/>
    <m/>
    <s v="No"/>
    <m/>
    <n v="1"/>
    <n v="0"/>
    <m/>
    <m/>
    <m/>
    <m/>
    <m/>
    <m/>
    <m/>
    <m/>
    <m/>
    <m/>
    <s v=""/>
    <n v="0"/>
    <s v=""/>
    <n v="0"/>
    <s v=""/>
    <s v=""/>
    <m/>
  </r>
  <r>
    <s v="6006-9020.1"/>
    <s v="6006-9020.1"/>
    <s v="Taft Street S/N 001"/>
    <s v="Village"/>
    <x v="1"/>
    <m/>
    <m/>
    <s v="6006-9020.1"/>
    <m/>
    <s v="Yes"/>
    <m/>
    <s v="Complete"/>
    <m/>
    <d v="2016-05-26T00:00:00"/>
    <m/>
    <m/>
    <s v="Indian Brook"/>
    <s v="Malletts Bay Direct Drainage"/>
    <x v="0"/>
    <x v="0"/>
    <s v="Wet pond/ Created Wetland"/>
    <n v="0.48"/>
    <s v="Total Pervious"/>
    <m/>
    <m/>
    <m/>
    <m/>
    <n v="1.02"/>
    <n v="3528"/>
    <m/>
    <n v="0.40823999999999994"/>
    <n v="1.1875201705488985"/>
    <n v="4.9999999999999933E-2"/>
    <n v="0.37504034109779694"/>
    <n v="0.54875201705488985"/>
    <n v="0.22402252344248819"/>
    <m/>
    <s v="No"/>
    <m/>
    <n v="1"/>
    <n v="0.22402252344248819"/>
    <m/>
    <m/>
    <m/>
    <m/>
    <m/>
    <m/>
    <m/>
    <m/>
    <m/>
    <m/>
    <s v=""/>
    <n v="0"/>
    <s v=""/>
    <n v="0"/>
    <s v=""/>
    <s v=""/>
    <m/>
  </r>
  <r>
    <s v="6006-9020.1"/>
    <s v="6006-9020.1"/>
    <s v="Taft Street S/N 002"/>
    <s v="Village"/>
    <x v="1"/>
    <m/>
    <m/>
    <s v="6006-9020.1"/>
    <m/>
    <s v="Yes"/>
    <m/>
    <s v="Complete"/>
    <m/>
    <d v="2016-05-26T00:00:00"/>
    <m/>
    <m/>
    <s v="Indian Brook"/>
    <s v="Malletts Bay Direct Drainage"/>
    <x v="0"/>
    <x v="0"/>
    <s v="Wet pond/ Created Wetland"/>
    <n v="0.54"/>
    <s v="Total Pervious"/>
    <m/>
    <m/>
    <m/>
    <m/>
    <n v="0.96"/>
    <n v="2090"/>
    <m/>
    <n v="0.45701999999999998"/>
    <n v="0.76941785124803952"/>
    <n v="3.999999999999998E-2"/>
    <n v="0.84708925624019737"/>
    <n v="0.47388357024960787"/>
    <n v="0.21657426927547577"/>
    <m/>
    <s v="No"/>
    <m/>
    <n v="1"/>
    <n v="0.21657426927547577"/>
    <m/>
    <m/>
    <m/>
    <m/>
    <m/>
    <m/>
    <m/>
    <m/>
    <m/>
    <m/>
    <s v=""/>
    <n v="0"/>
    <s v=""/>
    <n v="0"/>
    <s v=""/>
    <s v=""/>
    <m/>
  </r>
  <r>
    <s v="6653-9010"/>
    <s v="6653-9010"/>
    <s v="Village Walk POI 1"/>
    <s v="Village"/>
    <x v="1"/>
    <m/>
    <m/>
    <s v="6653-9010"/>
    <m/>
    <s v="Yes"/>
    <m/>
    <s v="Complete"/>
    <m/>
    <d v="2015-05-22T00:00:00"/>
    <m/>
    <m/>
    <s v="n/a"/>
    <s v="Winooski River"/>
    <x v="1"/>
    <x v="0"/>
    <s v="Infiltration Basin"/>
    <n v="3.32"/>
    <s v="Total Pervious"/>
    <m/>
    <m/>
    <m/>
    <m/>
    <n v="6.2199999999999989"/>
    <n v="26586"/>
    <s v="2.41 in/hr"/>
    <n v="5.1452599999999995"/>
    <n v="1.3096427522470671"/>
    <n v="2.0000000000000018E-2"/>
    <n v="0.61928550449413411"/>
    <n v="0.99238571008988263"/>
    <n v="5.1060824986970692"/>
    <m/>
    <s v="No"/>
    <m/>
    <n v="1"/>
    <n v="5.1060824986970692"/>
    <m/>
    <m/>
    <m/>
    <m/>
    <m/>
    <m/>
    <m/>
    <m/>
    <m/>
    <m/>
    <s v=""/>
    <n v="0"/>
    <s v=""/>
    <n v="0"/>
    <s v=""/>
    <s v=""/>
    <m/>
  </r>
  <r>
    <s v="6653-9010"/>
    <s v="6653-9010"/>
    <s v="Village Walk POI 2"/>
    <s v="Village"/>
    <x v="1"/>
    <m/>
    <m/>
    <s v="6653-9010"/>
    <m/>
    <s v="Yes"/>
    <m/>
    <s v="Complete"/>
    <m/>
    <d v="2015-05-22T00:00:00"/>
    <m/>
    <m/>
    <s v="n/a"/>
    <s v="Winooski River"/>
    <x v="1"/>
    <x v="0"/>
    <s v="Infiltration Basin"/>
    <n v="0.63"/>
    <s v="Total Pervious"/>
    <m/>
    <m/>
    <m/>
    <m/>
    <n v="1.23"/>
    <n v="12803"/>
    <s v="2.41 in/hr"/>
    <n v="0.98783999999999994"/>
    <n v="2"/>
    <s v=""/>
    <s v=""/>
    <n v="1"/>
    <n v="0.98783999999999994"/>
    <m/>
    <s v="No"/>
    <m/>
    <n v="1"/>
    <n v="0.98783999999999994"/>
    <m/>
    <m/>
    <m/>
    <m/>
    <m/>
    <m/>
    <m/>
    <m/>
    <m/>
    <m/>
    <s v=""/>
    <n v="0"/>
    <s v=""/>
    <n v="0"/>
    <s v=""/>
    <s v=""/>
    <m/>
  </r>
  <r>
    <s v="6653-9010"/>
    <s v="6653-9010"/>
    <s v="Village Walk POI 3"/>
    <s v="Village"/>
    <x v="1"/>
    <m/>
    <m/>
    <s v="6653-9010"/>
    <m/>
    <s v="Yes"/>
    <m/>
    <s v="Complete"/>
    <m/>
    <d v="2015-05-22T00:00:00"/>
    <m/>
    <m/>
    <s v="n/a"/>
    <s v="Winooski River"/>
    <x v="1"/>
    <x v="0"/>
    <s v="Infiltration Basin"/>
    <n v="0.32"/>
    <s v="Total Pervious"/>
    <m/>
    <m/>
    <m/>
    <m/>
    <n v="0.96"/>
    <n v="6849"/>
    <s v="2.41 in/hr"/>
    <n v="0.57919999999999994"/>
    <n v="2"/>
    <s v=""/>
    <s v=""/>
    <n v="1"/>
    <n v="0.57919999999999994"/>
    <m/>
    <s v="No"/>
    <m/>
    <n v="1"/>
    <n v="0.57919999999999994"/>
    <m/>
    <m/>
    <m/>
    <m/>
    <m/>
    <m/>
    <m/>
    <m/>
    <m/>
    <m/>
    <s v=""/>
    <n v="0"/>
    <s v=""/>
    <n v="0"/>
    <s v=""/>
    <s v=""/>
    <m/>
  </r>
  <r>
    <m/>
    <s v="EJ-MB-001"/>
    <s v="Briar Lane cul-de-sac impervious removal"/>
    <s v="Village"/>
    <x v="1"/>
    <m/>
    <m/>
    <m/>
    <m/>
    <s v="Yes"/>
    <n v="2500"/>
    <s v="Planned"/>
    <m/>
    <m/>
    <m/>
    <m/>
    <s v="Indian Brook"/>
    <s v="Malletts Bay Direct Drainage"/>
    <x v="0"/>
    <x v="0"/>
    <s v="Impervious removal"/>
    <n v="0.17"/>
    <s v="By HSG"/>
    <n v="0.17"/>
    <n v="0"/>
    <n v="0"/>
    <n v="0"/>
    <n v="0"/>
    <m/>
    <s v="2.41 in/hr"/>
    <n v="0.14212000000000002"/>
    <n v="0"/>
    <s v=""/>
    <n v="0"/>
    <s v=""/>
    <s v=""/>
    <n v="0.14000000000000001"/>
    <s v="No"/>
    <m/>
    <n v="1"/>
    <n v="0.14000000000000001"/>
    <m/>
    <m/>
    <m/>
    <m/>
    <m/>
    <m/>
    <m/>
    <m/>
    <m/>
    <m/>
    <s v=""/>
    <n v="0"/>
    <s v=""/>
    <n v="0"/>
    <s v=""/>
    <s v=""/>
    <m/>
  </r>
  <r>
    <s v="7002-9015.T"/>
    <s v="7025.9014.ARA"/>
    <s v="Essex Police Station"/>
    <s v="Town"/>
    <x v="0"/>
    <m/>
    <m/>
    <s v="7025.9014.ARA"/>
    <m/>
    <s v="Yes"/>
    <m/>
    <s v="Complete"/>
    <m/>
    <n v="2014"/>
    <m/>
    <m/>
    <s v="n/a"/>
    <s v="Winooski River"/>
    <x v="1"/>
    <x v="0"/>
    <s v="Bioretention (w/ underdrain)"/>
    <n v="1.1399999999999999"/>
    <s v="Total Pervious"/>
    <n v="0"/>
    <n v="0"/>
    <n v="0"/>
    <n v="0"/>
    <n v="2.5"/>
    <n v="3554"/>
    <m/>
    <n v="1.8508800000000001"/>
    <n v="0.61976949723848418"/>
    <n v="3.999999999999998E-2"/>
    <n v="9.884748619242098E-2"/>
    <n v="0.44395389944769686"/>
    <n v="0.82170539340975324"/>
    <m/>
    <s v="No"/>
    <m/>
    <n v="1"/>
    <n v="0.82170539340975324"/>
    <m/>
    <m/>
    <m/>
    <m/>
    <m/>
    <m/>
    <m/>
    <m/>
    <m/>
    <m/>
    <s v=""/>
    <n v="0"/>
    <s v=""/>
    <n v="0"/>
    <s v=""/>
    <s v=""/>
    <m/>
  </r>
  <r>
    <m/>
    <s v="EJ-WR-001"/>
    <s v="Maplewood Lane cul-de-sac"/>
    <s v="Village"/>
    <x v="1"/>
    <m/>
    <m/>
    <m/>
    <m/>
    <s v="Yes"/>
    <n v="49300"/>
    <s v="Planned"/>
    <m/>
    <m/>
    <m/>
    <m/>
    <s v="n/a"/>
    <s v="Winooski River"/>
    <x v="1"/>
    <x v="0"/>
    <s v="Sand filter (w/ underdrain)"/>
    <n v="0.6"/>
    <s v="By HSG"/>
    <n v="0"/>
    <n v="0.86"/>
    <n v="0"/>
    <n v="0.26"/>
    <m/>
    <n v="2141.6999999999998"/>
    <m/>
    <n v="1.01006"/>
    <n v="0.85441967785154793"/>
    <n v="5.0000000000000044E-2"/>
    <n v="0.27209838925773949"/>
    <n v="0.49360491946288698"/>
    <n v="0.49857058495268358"/>
    <m/>
    <m/>
    <m/>
    <n v="1"/>
    <n v="0.49857058495268358"/>
    <m/>
    <m/>
    <m/>
    <m/>
    <m/>
    <m/>
    <m/>
    <m/>
    <m/>
    <m/>
    <s v=""/>
    <n v="0"/>
    <s v=""/>
    <n v="0"/>
    <s v=""/>
    <s v=""/>
    <m/>
  </r>
  <r>
    <s v="3081-9010.R"/>
    <s v="3081-9010.R"/>
    <s v="Perkins Bend 002 impervious removal"/>
    <s v="Town"/>
    <x v="0"/>
    <m/>
    <m/>
    <s v="3081-9010.R"/>
    <m/>
    <s v="Yes"/>
    <n v="2500"/>
    <s v="Planned"/>
    <m/>
    <m/>
    <m/>
    <m/>
    <s v="n/a"/>
    <s v="Winooski River"/>
    <x v="1"/>
    <x v="0"/>
    <s v="Impervious removal"/>
    <n v="0.28000000000000003"/>
    <s v="Total Pervious"/>
    <n v="0.28000000000000003"/>
    <n v="0"/>
    <n v="0"/>
    <n v="0"/>
    <n v="0"/>
    <m/>
    <s v="2.41 in/hr"/>
    <n v="0.31276000000000004"/>
    <s v=""/>
    <s v=""/>
    <s v=""/>
    <s v=""/>
    <s v=""/>
    <n v="0.3"/>
    <s v="No"/>
    <m/>
    <n v="1"/>
    <n v="0.3"/>
    <m/>
    <m/>
    <m/>
    <m/>
    <m/>
    <m/>
    <m/>
    <m/>
    <m/>
    <m/>
    <s v=""/>
    <n v="0"/>
    <s v=""/>
    <n v="0"/>
    <s v=""/>
    <s v=""/>
    <m/>
  </r>
  <r>
    <m/>
    <s v="EJ-WR-038"/>
    <s v="Tyler Drive, Wilkinson Drive - South St. intersection - retrofit/expand"/>
    <s v="Village"/>
    <x v="1"/>
    <m/>
    <m/>
    <m/>
    <m/>
    <s v="Yes"/>
    <n v="168600"/>
    <s v="Planned"/>
    <m/>
    <m/>
    <m/>
    <m/>
    <s v="n/a"/>
    <s v="Winooski River"/>
    <x v="1"/>
    <x v="0"/>
    <s v="Infiltration Trench"/>
    <n v="7.86"/>
    <s v="By HSG"/>
    <n v="5.46"/>
    <n v="0"/>
    <n v="0"/>
    <n v="0"/>
    <m/>
    <n v="28096.199999999997"/>
    <s v="8.27 in/hr"/>
    <n v="8.8888199999999991"/>
    <n v="0.96588490587687859"/>
    <n v="1.0000000000000009E-2"/>
    <n v="0.82942452938439293"/>
    <n v="0.99829424529384392"/>
    <n v="8.8736578534528245"/>
    <m/>
    <m/>
    <m/>
    <n v="1"/>
    <n v="8.8736578534528245"/>
    <m/>
    <m/>
    <m/>
    <m/>
    <m/>
    <m/>
    <m/>
    <m/>
    <m/>
    <m/>
    <s v=""/>
    <n v="0"/>
    <s v=""/>
    <n v="0"/>
    <s v=""/>
    <s v=""/>
    <m/>
  </r>
  <r>
    <m/>
    <s v="EJ-WR-019"/>
    <s v="CB522 Elm St drywell"/>
    <s v="Village"/>
    <x v="1"/>
    <m/>
    <m/>
    <m/>
    <m/>
    <s v="Yes"/>
    <n v="12500"/>
    <s v="Planned"/>
    <m/>
    <m/>
    <m/>
    <m/>
    <s v="n/a"/>
    <s v="Winooski River"/>
    <x v="1"/>
    <x v="0"/>
    <s v="Infiltration Trench"/>
    <n v="0.16"/>
    <s v="By HSG"/>
    <n v="0.39"/>
    <n v="0"/>
    <n v="0"/>
    <n v="0"/>
    <m/>
    <n v="622.54499999999996"/>
    <s v="2.41 in/hr"/>
    <n v="0.18651999999999999"/>
    <n v="0.99997334919173464"/>
    <n v="2.0000000000000018E-2"/>
    <n v="0.9998667459586732"/>
    <n v="0.9799973349191734"/>
    <n v="0.1827891029091242"/>
    <m/>
    <m/>
    <m/>
    <n v="1"/>
    <n v="0.1827891029091242"/>
    <m/>
    <m/>
    <m/>
    <m/>
    <m/>
    <m/>
    <m/>
    <m/>
    <m/>
    <m/>
    <s v=""/>
    <n v="0"/>
    <s v=""/>
    <n v="0"/>
    <s v=""/>
    <s v=""/>
    <m/>
  </r>
  <r>
    <m/>
    <s v="EJ-WR-018"/>
    <s v="CB521 Elm St drywell"/>
    <s v="Village"/>
    <x v="1"/>
    <m/>
    <m/>
    <m/>
    <m/>
    <s v="Yes"/>
    <n v="23200"/>
    <s v="Planned"/>
    <m/>
    <m/>
    <m/>
    <m/>
    <s v="n/a"/>
    <s v="Winooski River"/>
    <x v="1"/>
    <x v="0"/>
    <s v="Infiltration Trench"/>
    <n v="0.32"/>
    <s v="By HSG"/>
    <n v="0.31"/>
    <n v="0"/>
    <n v="0"/>
    <n v="0"/>
    <m/>
    <n v="1159.7850000000001"/>
    <s v="2.41 in/hr"/>
    <n v="0.36363999999999996"/>
    <n v="0.97176410625973353"/>
    <n v="2.0000000000000018E-2"/>
    <n v="0.85882053129866764"/>
    <n v="0.97717641062597338"/>
    <n v="0.3553404299600289"/>
    <m/>
    <m/>
    <m/>
    <n v="1"/>
    <n v="0.3553404299600289"/>
    <m/>
    <m/>
    <m/>
    <m/>
    <m/>
    <m/>
    <m/>
    <m/>
    <m/>
    <m/>
    <s v=""/>
    <n v="0"/>
    <s v=""/>
    <n v="0"/>
    <s v=""/>
    <s v=""/>
    <m/>
  </r>
  <r>
    <m/>
    <s v="EJ-WR-020"/>
    <s v="CB523 Elm and Jackson drywell"/>
    <s v="Village"/>
    <x v="1"/>
    <m/>
    <m/>
    <m/>
    <m/>
    <s v="Yes"/>
    <n v="92600"/>
    <s v="Planned"/>
    <m/>
    <m/>
    <m/>
    <m/>
    <s v="n/a"/>
    <s v="Winooski River"/>
    <x v="1"/>
    <x v="0"/>
    <s v="Infiltration Trench"/>
    <n v="1.33"/>
    <s v="By HSG"/>
    <n v="0.23"/>
    <n v="0"/>
    <n v="0"/>
    <n v="0"/>
    <m/>
    <n v="4628.25"/>
    <s v="8.27 in/hr"/>
    <n v="1.49021"/>
    <n v="0.95409213847590979"/>
    <n v="1.0000000000000009E-2"/>
    <n v="0.77046069237954895"/>
    <n v="0.99770460692379548"/>
    <n v="1.4867893822839093"/>
    <m/>
    <m/>
    <m/>
    <n v="1"/>
    <n v="1.4867893822839093"/>
    <m/>
    <m/>
    <m/>
    <m/>
    <m/>
    <m/>
    <m/>
    <m/>
    <m/>
    <m/>
    <s v=""/>
    <n v="0"/>
    <s v=""/>
    <n v="0"/>
    <s v=""/>
    <s v=""/>
    <m/>
  </r>
  <r>
    <m/>
    <s v="EJ-WR-017"/>
    <s v="CB525 Elm and Jackson drywell"/>
    <s v="Village"/>
    <x v="1"/>
    <m/>
    <m/>
    <m/>
    <m/>
    <s v="Yes"/>
    <n v="13600"/>
    <s v="Planned"/>
    <m/>
    <m/>
    <m/>
    <m/>
    <s v="n/a"/>
    <s v="Winooski River"/>
    <x v="1"/>
    <x v="0"/>
    <s v="Infiltration Trench"/>
    <n v="0.18"/>
    <s v="By HSG"/>
    <n v="0.3"/>
    <n v="0"/>
    <n v="0"/>
    <n v="0"/>
    <m/>
    <n v="675.18"/>
    <s v="2.41 in/hr"/>
    <n v="0.20705999999999999"/>
    <n v="0.98582543541291634"/>
    <n v="2.0000000000000018E-2"/>
    <n v="0.9291271770645817"/>
    <n v="0.97858254354129159"/>
    <n v="0.20262530146565982"/>
    <m/>
    <m/>
    <m/>
    <n v="1"/>
    <n v="0.20262530146565982"/>
    <m/>
    <m/>
    <m/>
    <m/>
    <m/>
    <m/>
    <m/>
    <m/>
    <m/>
    <m/>
    <s v=""/>
    <n v="0"/>
    <s v=""/>
    <n v="0"/>
    <s v=""/>
    <s v=""/>
    <m/>
  </r>
  <r>
    <m/>
    <s v="EJ-WR-015"/>
    <s v="CB533 Jackson and McGregor drywell"/>
    <s v="Village"/>
    <x v="1"/>
    <m/>
    <m/>
    <m/>
    <m/>
    <s v="Yes"/>
    <n v="49300"/>
    <s v="Planned"/>
    <m/>
    <m/>
    <m/>
    <m/>
    <s v="n/a"/>
    <s v="Winooski River"/>
    <x v="1"/>
    <x v="0"/>
    <s v="Infiltration Trench"/>
    <n v="0.68"/>
    <s v="By HSG"/>
    <n v="0.64"/>
    <n v="0"/>
    <n v="0"/>
    <n v="0"/>
    <m/>
    <n v="2461.14"/>
    <s v="2.41 in/hr"/>
    <n v="0.77236000000000005"/>
    <n v="0.97118212440740581"/>
    <n v="2.0000000000000018E-2"/>
    <n v="0.85591062203702906"/>
    <n v="0.9771182124407406"/>
    <n v="0.7546870225607305"/>
    <m/>
    <m/>
    <m/>
    <n v="1"/>
    <n v="0.7546870225607305"/>
    <m/>
    <m/>
    <m/>
    <m/>
    <m/>
    <m/>
    <m/>
    <m/>
    <m/>
    <m/>
    <s v=""/>
    <n v="0"/>
    <s v=""/>
    <n v="0"/>
    <s v=""/>
    <s v=""/>
    <m/>
  </r>
  <r>
    <m/>
    <s v="EJ-WR-014"/>
    <s v="CB546 McGregor and Grant drywell"/>
    <s v="Village"/>
    <x v="1"/>
    <m/>
    <m/>
    <m/>
    <m/>
    <s v="Yes"/>
    <n v="23800"/>
    <s v="Planned"/>
    <m/>
    <m/>
    <m/>
    <m/>
    <s v="n/a"/>
    <s v="Winooski River"/>
    <x v="1"/>
    <x v="0"/>
    <s v="Infiltration Trench"/>
    <n v="0.33"/>
    <s v="By HSG"/>
    <n v="0.26"/>
    <n v="0"/>
    <n v="0"/>
    <n v="0"/>
    <m/>
    <n v="1185.1949999999999"/>
    <s v="2.41 in/hr"/>
    <n v="0.37380999999999998"/>
    <n v="0.96790814525464408"/>
    <n v="2.0000000000000018E-2"/>
    <n v="0.83954072627322041"/>
    <n v="0.97679081452546435"/>
    <n v="0.3651341743777638"/>
    <m/>
    <m/>
    <m/>
    <n v="1"/>
    <n v="0.3651341743777638"/>
    <m/>
    <m/>
    <m/>
    <m/>
    <m/>
    <m/>
    <m/>
    <m/>
    <m/>
    <m/>
    <s v=""/>
    <n v="0"/>
    <s v=""/>
    <n v="0"/>
    <s v=""/>
    <s v=""/>
    <m/>
  </r>
  <r>
    <m/>
    <s v="EJ-WR-013"/>
    <s v="CB532 MCGregor and Jackson drywell"/>
    <s v="Village"/>
    <x v="1"/>
    <m/>
    <m/>
    <m/>
    <m/>
    <s v="Yes"/>
    <n v="10200"/>
    <s v="Planned"/>
    <m/>
    <m/>
    <m/>
    <m/>
    <s v="n/a"/>
    <s v="Winooski River"/>
    <x v="1"/>
    <x v="0"/>
    <s v="Infiltration Trench"/>
    <n v="0.14000000000000001"/>
    <s v="By HSG"/>
    <n v="0.13"/>
    <n v="0"/>
    <n v="0"/>
    <n v="0"/>
    <m/>
    <n v="506.38499999999993"/>
    <s v="2.41 in/hr"/>
    <n v="0.15898000000000001"/>
    <n v="0.97091537949089002"/>
    <n v="2.0000000000000018E-2"/>
    <n v="0.85457689745445009"/>
    <n v="0.97709153794908898"/>
    <n v="0.15533801270314618"/>
    <m/>
    <m/>
    <m/>
    <n v="1"/>
    <n v="0.15533801270314618"/>
    <m/>
    <m/>
    <m/>
    <m/>
    <m/>
    <m/>
    <m/>
    <m/>
    <m/>
    <m/>
    <s v=""/>
    <n v="0"/>
    <s v=""/>
    <n v="0"/>
    <s v=""/>
    <s v=""/>
    <m/>
  </r>
  <r>
    <m/>
    <s v="EJ-WR-011"/>
    <s v="CB535 Grant and Jackson drywell"/>
    <s v="Village"/>
    <x v="1"/>
    <m/>
    <m/>
    <m/>
    <m/>
    <s v="Yes"/>
    <n v="11200"/>
    <s v="Planned"/>
    <m/>
    <m/>
    <m/>
    <m/>
    <s v="n/a"/>
    <s v="Winooski River"/>
    <x v="1"/>
    <x v="0"/>
    <s v="Infiltration Trench"/>
    <n v="0.15"/>
    <s v="By HSG"/>
    <n v="0.21"/>
    <n v="0"/>
    <n v="0"/>
    <n v="0"/>
    <m/>
    <n v="555.39"/>
    <s v="2.41 in/hr"/>
    <n v="0.17175000000000001"/>
    <n v="0.98060106380676837"/>
    <n v="2.0000000000000018E-2"/>
    <n v="0.90300531903384185"/>
    <n v="0.97806010638067686"/>
    <n v="0.16798182327088126"/>
    <m/>
    <m/>
    <m/>
    <n v="1"/>
    <n v="0.16798182327088126"/>
    <m/>
    <m/>
    <m/>
    <m/>
    <m/>
    <m/>
    <m/>
    <m/>
    <m/>
    <m/>
    <s v=""/>
    <n v="0"/>
    <s v=""/>
    <n v="0"/>
    <s v=""/>
    <s v=""/>
    <m/>
  </r>
  <r>
    <m/>
    <s v="EJ-WR-009"/>
    <s v="CB536 Jackson drywell"/>
    <s v="Village"/>
    <x v="1"/>
    <m/>
    <m/>
    <m/>
    <m/>
    <s v="Yes"/>
    <n v="20100"/>
    <s v="Planned"/>
    <m/>
    <m/>
    <m/>
    <m/>
    <s v="n/a"/>
    <s v="Winooski River"/>
    <x v="1"/>
    <x v="0"/>
    <s v="Infiltration Trench"/>
    <n v="0.25"/>
    <s v="By HSG"/>
    <n v="0.77"/>
    <n v="0"/>
    <n v="0"/>
    <n v="0"/>
    <m/>
    <n v="1001.8799999999999"/>
    <s v="2.41 in/hr"/>
    <n v="0.29465000000000002"/>
    <n v="1.0107754848734625"/>
    <n v="2.0000000000000018E-2"/>
    <n v="2.1550969746924942E-2"/>
    <n v="0.98043101939493849"/>
    <n v="0.28888399986471863"/>
    <m/>
    <m/>
    <m/>
    <n v="1"/>
    <n v="0.28888399986471863"/>
    <m/>
    <m/>
    <m/>
    <m/>
    <m/>
    <m/>
    <m/>
    <m/>
    <m/>
    <m/>
    <s v=""/>
    <n v="0"/>
    <s v=""/>
    <n v="0"/>
    <s v=""/>
    <s v=""/>
    <m/>
  </r>
  <r>
    <m/>
    <s v="EJ-WR-012"/>
    <s v="CB531 Jackson and Wrisley drywell"/>
    <s v="Village"/>
    <x v="1"/>
    <m/>
    <m/>
    <m/>
    <m/>
    <s v="Yes"/>
    <n v="11200"/>
    <s v="Planned"/>
    <m/>
    <m/>
    <m/>
    <m/>
    <s v="n/a"/>
    <s v="Winooski River"/>
    <x v="1"/>
    <x v="0"/>
    <s v="Infiltration Trench"/>
    <n v="0.15"/>
    <s v="By HSG"/>
    <n v="0.21"/>
    <n v="0"/>
    <n v="0"/>
    <n v="0"/>
    <m/>
    <n v="555.39"/>
    <s v="2.41 in/hr"/>
    <n v="0.17175000000000001"/>
    <n v="0.98060106380676837"/>
    <n v="2.0000000000000018E-2"/>
    <n v="0.90300531903384185"/>
    <n v="0.97806010638067686"/>
    <n v="0.16798182327088126"/>
    <m/>
    <m/>
    <m/>
    <n v="1"/>
    <n v="0.16798182327088126"/>
    <m/>
    <m/>
    <m/>
    <m/>
    <m/>
    <m/>
    <m/>
    <m/>
    <m/>
    <m/>
    <s v=""/>
    <n v="0"/>
    <s v=""/>
    <n v="0"/>
    <s v=""/>
    <s v=""/>
    <m/>
  </r>
  <r>
    <m/>
    <s v="EJ-WR-010"/>
    <s v="CB537 Jackson and Grant drywell"/>
    <s v="Village"/>
    <x v="1"/>
    <m/>
    <m/>
    <m/>
    <m/>
    <s v="Yes"/>
    <n v="16900"/>
    <s v="Planned"/>
    <m/>
    <m/>
    <m/>
    <m/>
    <s v="n/a"/>
    <s v="Winooski River"/>
    <x v="1"/>
    <x v="0"/>
    <s v="Infiltration Trench"/>
    <n v="0.23"/>
    <s v="By HSG"/>
    <n v="0.27"/>
    <n v="0"/>
    <n v="0"/>
    <n v="0"/>
    <m/>
    <n v="842.15999999999985"/>
    <s v="2.41 in/hr"/>
    <n v="0.26231000000000004"/>
    <n v="0.97602961216491091"/>
    <n v="2.0000000000000018E-2"/>
    <n v="0.88014806082455455"/>
    <n v="0.97760296121649104"/>
    <n v="0.25643503275669782"/>
    <m/>
    <m/>
    <m/>
    <n v="1"/>
    <n v="0.25643503275669782"/>
    <m/>
    <m/>
    <m/>
    <m/>
    <m/>
    <m/>
    <m/>
    <m/>
    <m/>
    <m/>
    <s v=""/>
    <n v="0"/>
    <s v=""/>
    <n v="0"/>
    <s v=""/>
    <s v=""/>
    <m/>
  </r>
  <r>
    <m/>
    <s v="EJ-WR-007"/>
    <s v="CB544 Camp drywell"/>
    <s v="Village"/>
    <x v="1"/>
    <m/>
    <m/>
    <m/>
    <m/>
    <s v="Yes"/>
    <n v="6800"/>
    <s v="Planned"/>
    <m/>
    <m/>
    <m/>
    <m/>
    <s v="n/a"/>
    <s v="Winooski River"/>
    <x v="1"/>
    <x v="0"/>
    <s v="Infiltration Trench"/>
    <n v="0.09"/>
    <s v="By HSG"/>
    <n v="0.16"/>
    <n v="0"/>
    <n v="0"/>
    <n v="0"/>
    <m/>
    <n v="339.40499999999997"/>
    <s v="2.41 in/hr"/>
    <n v="0.10372999999999999"/>
    <n v="0.98795042406256883"/>
    <n v="2.0000000000000018E-2"/>
    <n v="0.93975212031284416"/>
    <n v="0.97879504240625681"/>
    <n v="0.10153040974880101"/>
    <m/>
    <m/>
    <m/>
    <n v="1"/>
    <n v="0.10153040974880101"/>
    <m/>
    <m/>
    <m/>
    <m/>
    <m/>
    <m/>
    <m/>
    <m/>
    <m/>
    <m/>
    <s v=""/>
    <n v="0"/>
    <s v=""/>
    <n v="0"/>
    <s v=""/>
    <s v=""/>
    <m/>
  </r>
  <r>
    <m/>
    <s v="EJ-WR-006"/>
    <s v="CB543 Camp drywell"/>
    <s v="Village"/>
    <x v="1"/>
    <m/>
    <m/>
    <m/>
    <m/>
    <s v="Yes"/>
    <n v="4200"/>
    <s v="Planned"/>
    <m/>
    <m/>
    <m/>
    <m/>
    <s v="n/a"/>
    <s v="Winooski River"/>
    <x v="1"/>
    <x v="0"/>
    <s v="Infiltration Trench"/>
    <n v="0.05"/>
    <s v="By HSG"/>
    <n v="0.2"/>
    <n v="0"/>
    <n v="0"/>
    <n v="0"/>
    <m/>
    <n v="208.72499999999999"/>
    <s v="2.41 in/hr"/>
    <n v="5.985E-2"/>
    <n v="1.0248581037537152"/>
    <n v="2.0000000000000018E-2"/>
    <n v="4.9716207507430443E-2"/>
    <n v="0.98099432415014864"/>
    <n v="5.8712510300386399E-2"/>
    <m/>
    <m/>
    <m/>
    <n v="1"/>
    <n v="5.8712510300386399E-2"/>
    <m/>
    <m/>
    <m/>
    <m/>
    <m/>
    <m/>
    <m/>
    <m/>
    <m/>
    <m/>
    <s v=""/>
    <n v="0"/>
    <s v=""/>
    <n v="0"/>
    <s v=""/>
    <s v=""/>
    <m/>
  </r>
  <r>
    <m/>
    <s v="EJ-WR-004"/>
    <s v="CB541 Camp drywell"/>
    <s v="Village"/>
    <x v="1"/>
    <m/>
    <m/>
    <m/>
    <m/>
    <s v="Yes"/>
    <n v="18600"/>
    <s v="Planned"/>
    <m/>
    <m/>
    <m/>
    <m/>
    <s v="n/a"/>
    <s v="Winooski River"/>
    <x v="1"/>
    <x v="0"/>
    <s v="Infiltration Trench"/>
    <n v="0.26"/>
    <s v="By HSG"/>
    <n v="0.16"/>
    <n v="0"/>
    <n v="0"/>
    <n v="0"/>
    <m/>
    <n v="925.65000000000009"/>
    <s v="2.41 in/hr"/>
    <n v="0.29361999999999999"/>
    <n v="0.96414489042289064"/>
    <n v="2.0000000000000018E-2"/>
    <n v="0.82072445211445322"/>
    <n v="0.976414489042289"/>
    <n v="0.28669482227259691"/>
    <m/>
    <m/>
    <m/>
    <n v="1"/>
    <n v="0.28669482227259691"/>
    <m/>
    <m/>
    <m/>
    <m/>
    <m/>
    <m/>
    <m/>
    <m/>
    <m/>
    <m/>
    <s v=""/>
    <n v="0"/>
    <s v=""/>
    <n v="0"/>
    <s v=""/>
    <s v=""/>
    <m/>
  </r>
  <r>
    <m/>
    <s v="EJ-WR-005"/>
    <s v="CB542 Camp drywell"/>
    <s v="Village"/>
    <x v="1"/>
    <m/>
    <m/>
    <m/>
    <m/>
    <s v="Yes"/>
    <n v="14200"/>
    <s v="Planned"/>
    <m/>
    <m/>
    <m/>
    <m/>
    <s v="n/a"/>
    <s v="Winooski River"/>
    <x v="1"/>
    <x v="0"/>
    <s v="Infiltration Trench"/>
    <n v="0.2"/>
    <s v="By HSG"/>
    <n v="0.1"/>
    <n v="0"/>
    <n v="0"/>
    <n v="0"/>
    <m/>
    <n v="707.85"/>
    <s v="2.41 in/hr"/>
    <n v="0.22540000000000002"/>
    <n v="0.96157960013023369"/>
    <n v="2.0000000000000018E-2"/>
    <n v="0.80789800065116846"/>
    <n v="0.97615796001302335"/>
    <n v="0.22002600418693549"/>
    <m/>
    <m/>
    <m/>
    <n v="1"/>
    <n v="0.22002600418693549"/>
    <m/>
    <m/>
    <m/>
    <m/>
    <m/>
    <m/>
    <m/>
    <m/>
    <m/>
    <m/>
    <s v=""/>
    <n v="0"/>
    <s v=""/>
    <n v="0"/>
    <s v=""/>
    <s v=""/>
    <m/>
  </r>
  <r>
    <m/>
    <s v="EJ-WR-008"/>
    <s v="CB538 Camp and Jackson drywell"/>
    <s v="Village"/>
    <x v="1"/>
    <m/>
    <m/>
    <m/>
    <m/>
    <s v="Yes"/>
    <n v="14700"/>
    <s v="Planned"/>
    <m/>
    <m/>
    <m/>
    <m/>
    <s v="n/a"/>
    <s v="Winooski River"/>
    <x v="1"/>
    <x v="0"/>
    <s v="Infiltration Trench"/>
    <n v="0.19"/>
    <s v="By HSG"/>
    <n v="0.42"/>
    <n v="0"/>
    <n v="0"/>
    <n v="0"/>
    <m/>
    <n v="731.44499999999982"/>
    <s v="2.41 in/hr"/>
    <n v="0.22062999999999999"/>
    <n v="0.99594838923013296"/>
    <n v="2.0000000000000018E-2"/>
    <n v="0.97974194615066479"/>
    <n v="0.97959483892301324"/>
    <n v="0.21612800931158441"/>
    <m/>
    <m/>
    <m/>
    <n v="1"/>
    <n v="0.21612800931158441"/>
    <m/>
    <m/>
    <m/>
    <m/>
    <m/>
    <m/>
    <m/>
    <m/>
    <m/>
    <m/>
    <s v=""/>
    <n v="0"/>
    <s v=""/>
    <n v="0"/>
    <s v=""/>
    <s v=""/>
    <m/>
  </r>
  <r>
    <m/>
    <s v="EJ-WR-002"/>
    <s v="CB754 and CB755 Oak St drywells"/>
    <s v="Village"/>
    <x v="1"/>
    <m/>
    <m/>
    <m/>
    <m/>
    <s v="Yes"/>
    <n v="16800"/>
    <s v="Planned"/>
    <m/>
    <m/>
    <m/>
    <m/>
    <s v="n/a"/>
    <s v="Winooski River"/>
    <x v="1"/>
    <x v="0"/>
    <s v="Infiltration Trench"/>
    <n v="0.23"/>
    <s v="By HSG"/>
    <n v="0.24"/>
    <n v="0"/>
    <n v="0"/>
    <n v="0"/>
    <m/>
    <n v="836.71499999999992"/>
    <s v="8.27 in/hr"/>
    <n v="0.26171000000000005"/>
    <n v="0.97333091836967289"/>
    <n v="1.0000000000000009E-2"/>
    <n v="0.86665459184836446"/>
    <n v="0.99866654591848369"/>
    <n v="0.26136102173232645"/>
    <m/>
    <m/>
    <m/>
    <n v="1"/>
    <n v="0.26136102173232645"/>
    <m/>
    <m/>
    <m/>
    <m/>
    <m/>
    <m/>
    <m/>
    <m/>
    <m/>
    <m/>
    <s v=""/>
    <n v="0"/>
    <s v=""/>
    <n v="0"/>
    <s v=""/>
    <s v=""/>
    <m/>
  </r>
  <r>
    <m/>
    <s v="EJ-WR-003"/>
    <s v="CB756 Oak St drywell"/>
    <s v="Village"/>
    <x v="1"/>
    <m/>
    <m/>
    <m/>
    <m/>
    <s v="Yes"/>
    <n v="16800"/>
    <s v="Planned"/>
    <m/>
    <m/>
    <m/>
    <m/>
    <s v="n/a"/>
    <s v="Winooski River"/>
    <x v="1"/>
    <x v="0"/>
    <s v="Infiltration Trench"/>
    <n v="0.23"/>
    <s v="By HSG"/>
    <n v="0.24"/>
    <n v="0"/>
    <n v="0"/>
    <n v="0"/>
    <m/>
    <n v="836.71499999999992"/>
    <s v="8.27 in/hr"/>
    <n v="0.26171000000000005"/>
    <n v="0.97333091836967289"/>
    <n v="1.0000000000000009E-2"/>
    <n v="0.86665459184836446"/>
    <n v="0.99866654591848369"/>
    <n v="0.26136102173232645"/>
    <m/>
    <m/>
    <m/>
    <n v="1"/>
    <n v="0.26136102173232645"/>
    <m/>
    <m/>
    <m/>
    <m/>
    <m/>
    <m/>
    <m/>
    <m/>
    <m/>
    <m/>
    <s v=""/>
    <n v="0"/>
    <s v=""/>
    <n v="0"/>
    <s v=""/>
    <s v=""/>
    <m/>
  </r>
  <r>
    <s v="3324-9010.R"/>
    <s v="EX-WR-001"/>
    <s v="Meadows Edge/Steeplebush retrofit"/>
    <s v="Town"/>
    <x v="0"/>
    <m/>
    <m/>
    <m/>
    <m/>
    <s v="Yes"/>
    <n v="950000"/>
    <s v="Preliminary Design (&lt;100%)"/>
    <m/>
    <m/>
    <m/>
    <m/>
    <s v="n/a"/>
    <s v="Winooski River"/>
    <x v="1"/>
    <x v="0"/>
    <s v="Gravel Wetland"/>
    <n v="8.7279999999999998"/>
    <s v="Total Pervious"/>
    <m/>
    <m/>
    <m/>
    <m/>
    <n v="16.866999999999997"/>
    <n v="33149"/>
    <m/>
    <n v="13.645453"/>
    <n v="0.74419047735082577"/>
    <n v="5.9999999999999942E-2"/>
    <n v="0.72095238675412876"/>
    <n v="0.55325714320524766"/>
    <n v="7.5494443445214765"/>
    <m/>
    <s v="No"/>
    <m/>
    <n v="1"/>
    <n v="7.5494443445214765"/>
    <n v="6.59"/>
    <s v="Total Pervious"/>
    <m/>
    <m/>
    <m/>
    <m/>
    <n v="61.5"/>
    <s v="Wet pond/ Created Wetland"/>
    <n v="60309"/>
    <m/>
    <s v=""/>
    <n v="1.1674300364115922"/>
    <n v="4.9999999999999933E-2"/>
    <n v="0.33486007282318431"/>
    <n v="0.54674300364115924"/>
    <s v=""/>
    <m/>
  </r>
  <r>
    <s v="3579-9010.R"/>
    <s v="3579-9010.R"/>
    <s v="Old Stage Village S/N 001 RETROFIT"/>
    <s v="Town"/>
    <x v="0"/>
    <m/>
    <m/>
    <s v="3579-9010.R"/>
    <m/>
    <s v="Yes"/>
    <n v="263000"/>
    <s v="Planned"/>
    <m/>
    <m/>
    <m/>
    <m/>
    <s v="n/a"/>
    <s v="Winooski River"/>
    <x v="1"/>
    <x v="0"/>
    <s v="Dry Swale (w/ underdrain)"/>
    <n v="4.18"/>
    <s v="Total Pervious"/>
    <m/>
    <m/>
    <m/>
    <m/>
    <n v="33.6"/>
    <n v="13837.559999999998"/>
    <m/>
    <n v="12.43066"/>
    <n v="0.44813857357476472"/>
    <n v="7.0000000000000007E-2"/>
    <n v="0.24069286787382355"/>
    <n v="0.38684850075116767"/>
    <n v="4.8087821843475096"/>
    <m/>
    <m/>
    <m/>
    <n v="1"/>
    <n v="4.8087821843475096"/>
    <n v="4.18"/>
    <s v="Total Pervious"/>
    <m/>
    <m/>
    <m/>
    <m/>
    <n v="12.43"/>
    <m/>
    <m/>
    <m/>
    <s v=""/>
    <n v="0"/>
    <s v=""/>
    <n v="0"/>
    <s v=""/>
    <s v=""/>
    <m/>
  </r>
  <r>
    <s v="4367-9010.R"/>
    <s v="EX-LR-001"/>
    <s v="Autumn Knoll S/N 001 retrofit"/>
    <s v="Town"/>
    <x v="0"/>
    <m/>
    <m/>
    <m/>
    <m/>
    <s v="Yes"/>
    <n v="378000"/>
    <s v="Preliminary Design (&lt;100%)"/>
    <m/>
    <m/>
    <m/>
    <m/>
    <s v="n/a"/>
    <s v="Lamoille River"/>
    <x v="0"/>
    <x v="0"/>
    <s v="Gravel Wetland"/>
    <n v="3.024"/>
    <s v="Total Pervious"/>
    <m/>
    <m/>
    <m/>
    <m/>
    <n v="2.3929999999999998"/>
    <n v="10846"/>
    <m/>
    <n v="3.9869159999999999"/>
    <n v="0.83337694286795638"/>
    <n v="4.0000000000000036E-2"/>
    <n v="0.16688471433978172"/>
    <n v="0.57667538857359124"/>
    <n v="2.2991563335102678"/>
    <n v="2.4580000000000002"/>
    <s v="No"/>
    <s v="No"/>
    <n v="1"/>
    <n v="2.4580000000000002"/>
    <n v="3.03"/>
    <s v="Total Pervious"/>
    <m/>
    <m/>
    <m/>
    <m/>
    <n v="4.29"/>
    <s v="Wet pond/ Created Wetland"/>
    <n v="8010"/>
    <m/>
    <s v=""/>
    <n v="0.63828927715816608"/>
    <n v="3.999999999999998E-2"/>
    <n v="0.19144638579083045"/>
    <n v="0.44765785543163322"/>
    <s v=""/>
    <m/>
  </r>
  <r>
    <s v="3547-9010.R"/>
    <s v="3547-9010.R"/>
    <s v="Whitcomb Heights (former 1-1227)"/>
    <s v="Village"/>
    <x v="1"/>
    <m/>
    <m/>
    <s v="3547-9010.R"/>
    <m/>
    <s v="Yes"/>
    <m/>
    <s v="Complete"/>
    <m/>
    <d v="2003-10-20T00:00:00"/>
    <m/>
    <m/>
    <s v="n/a"/>
    <s v="Winooski River"/>
    <x v="1"/>
    <x v="1"/>
    <s v="Infiltration Basin"/>
    <n v="5.8"/>
    <s v="Total Pervious"/>
    <m/>
    <m/>
    <m/>
    <m/>
    <n v="18.399999999999999"/>
    <n v="6970"/>
    <s v="2.41 in/hr"/>
    <n v="10.728999999999999"/>
    <n v="0.26505771230938618"/>
    <n v="0.19999999999999996"/>
    <n v="0.32528856154693087"/>
    <n v="0.73505771230938621"/>
    <n v="7.8864341953674044"/>
    <m/>
    <s v="No"/>
    <m/>
    <n v="1"/>
    <n v="7.8864341953674044"/>
    <m/>
    <m/>
    <m/>
    <m/>
    <m/>
    <m/>
    <m/>
    <m/>
    <m/>
    <m/>
    <s v=""/>
    <n v="0"/>
    <s v=""/>
    <n v="0"/>
    <s v=""/>
    <s v=""/>
    <m/>
  </r>
  <r>
    <m/>
    <s v="EJ-WR-016"/>
    <s v="CB534 Jackson and Wrisley drywell"/>
    <s v="Village"/>
    <x v="1"/>
    <m/>
    <m/>
    <m/>
    <m/>
    <s v="Yes"/>
    <n v="35600"/>
    <s v="Planned"/>
    <m/>
    <m/>
    <m/>
    <m/>
    <s v="n/a"/>
    <s v="Winooski River"/>
    <x v="1"/>
    <x v="0"/>
    <s v="Infiltration Trench"/>
    <n v="0.49"/>
    <s v="By HSG"/>
    <n v="0.48"/>
    <n v="0"/>
    <n v="0"/>
    <n v="0"/>
    <m/>
    <n v="1776.8849999999998"/>
    <s v="8.27 in/hr"/>
    <n v="0.55693000000000004"/>
    <n v="0.97199236906357378"/>
    <n v="1.0000000000000009E-2"/>
    <n v="0.8599618453178689"/>
    <n v="0.99859961845317868"/>
    <n v="0.55615008550512879"/>
    <m/>
    <s v="No"/>
    <m/>
    <n v="1"/>
    <n v="0.55615008550512879"/>
    <m/>
    <m/>
    <m/>
    <m/>
    <m/>
    <m/>
    <m/>
    <m/>
    <m/>
    <m/>
    <s v=""/>
    <n v="0"/>
    <s v=""/>
    <n v="0"/>
    <s v=""/>
    <s v=""/>
    <m/>
  </r>
  <r>
    <m/>
    <s v="EJ-WR-026"/>
    <s v="Loubier Drive cul de sacs impervious removal"/>
    <s v="Village"/>
    <x v="1"/>
    <m/>
    <m/>
    <m/>
    <m/>
    <s v="Yes"/>
    <n v="10000"/>
    <s v="Planned"/>
    <m/>
    <m/>
    <m/>
    <m/>
    <s v="n/a"/>
    <s v="Winooski River"/>
    <x v="1"/>
    <x v="0"/>
    <s v="Impervious removal"/>
    <n v="0.19"/>
    <s v="By HSG"/>
    <n v="0.19"/>
    <n v="0"/>
    <n v="0"/>
    <n v="0"/>
    <m/>
    <m/>
    <s v="2.41 in/hr"/>
    <n v="0.21603"/>
    <n v="0"/>
    <s v=""/>
    <n v="0"/>
    <s v=""/>
    <s v=""/>
    <n v="0.21"/>
    <s v="No"/>
    <m/>
    <n v="1"/>
    <n v="0.21"/>
    <m/>
    <m/>
    <m/>
    <m/>
    <m/>
    <m/>
    <m/>
    <m/>
    <m/>
    <m/>
    <s v=""/>
    <n v="0"/>
    <s v=""/>
    <n v="0"/>
    <s v=""/>
    <s v=""/>
    <m/>
  </r>
  <r>
    <m/>
    <s v="EJ-WR-022"/>
    <s v="CB90 Loubier Drive drywell"/>
    <s v="Village"/>
    <x v="1"/>
    <m/>
    <m/>
    <m/>
    <m/>
    <s v="Yes"/>
    <n v="59100"/>
    <s v="Planned"/>
    <m/>
    <m/>
    <m/>
    <m/>
    <s v="n/a"/>
    <s v="Winooski River"/>
    <x v="1"/>
    <x v="0"/>
    <s v="Infiltration Trench"/>
    <n v="0.81"/>
    <s v="By HSG"/>
    <n v="0.88"/>
    <n v="0"/>
    <n v="0"/>
    <n v="0"/>
    <m/>
    <n v="2953.0050000000001"/>
    <s v="8.27 in/hr"/>
    <n v="0.92237000000000002"/>
    <n v="0.97422441458950804"/>
    <n v="1.0000000000000009E-2"/>
    <n v="0.87112207294754018"/>
    <n v="0.99871122072947538"/>
    <n v="0.92118126866424621"/>
    <m/>
    <s v="No"/>
    <m/>
    <n v="1"/>
    <n v="0.92118126866424621"/>
    <m/>
    <m/>
    <m/>
    <m/>
    <m/>
    <m/>
    <m/>
    <m/>
    <m/>
    <m/>
    <s v=""/>
    <n v="0"/>
    <s v=""/>
    <n v="0"/>
    <s v=""/>
    <s v=""/>
    <m/>
  </r>
  <r>
    <m/>
    <s v="EJ-WR-024"/>
    <s v="CB92 Loubier Drive drywell"/>
    <s v="Village"/>
    <x v="1"/>
    <m/>
    <m/>
    <m/>
    <m/>
    <s v="Yes"/>
    <n v="32900"/>
    <s v="Planned"/>
    <m/>
    <m/>
    <m/>
    <m/>
    <s v="n/a"/>
    <s v="Winooski River"/>
    <x v="1"/>
    <x v="0"/>
    <s v="Infiltration Trench"/>
    <n v="0.43"/>
    <s v="By HSG"/>
    <n v="0.89"/>
    <n v="0"/>
    <n v="0"/>
    <n v="0"/>
    <m/>
    <n v="1644.3899999999999"/>
    <s v="8.27 in/hr"/>
    <n v="0.49811"/>
    <n v="0.99339447352712462"/>
    <n v="1.0000000000000009E-2"/>
    <n v="0.96697236763562311"/>
    <n v="0.9996697236763562"/>
    <n v="0.49794548606042977"/>
    <m/>
    <s v="No"/>
    <m/>
    <n v="1"/>
    <n v="0.49794548606042977"/>
    <m/>
    <m/>
    <m/>
    <m/>
    <m/>
    <m/>
    <m/>
    <m/>
    <m/>
    <m/>
    <s v=""/>
    <n v="0"/>
    <s v=""/>
    <n v="0"/>
    <s v=""/>
    <s v=""/>
    <m/>
  </r>
  <r>
    <m/>
    <s v="EJ-WR-023"/>
    <s v="CB91 Loubier Drive drywell"/>
    <s v="Village"/>
    <x v="1"/>
    <m/>
    <m/>
    <m/>
    <m/>
    <s v="Yes"/>
    <n v="32300"/>
    <s v="Planned"/>
    <m/>
    <m/>
    <m/>
    <m/>
    <s v="n/a"/>
    <s v="Winooski River"/>
    <x v="1"/>
    <x v="0"/>
    <s v="Infiltration Trench"/>
    <n v="0.43000000000000005"/>
    <s v="By HSG"/>
    <n v="0.72"/>
    <n v="0"/>
    <n v="0"/>
    <n v="0"/>
    <m/>
    <n v="1613.5350000000001"/>
    <s v="8.27 in/hr"/>
    <n v="0.49471000000000009"/>
    <n v="0.98597466532854894"/>
    <n v="1.0000000000000009E-2"/>
    <n v="0.92987332664274469"/>
    <n v="0.99929873326642749"/>
    <n v="0.49436307633423443"/>
    <m/>
    <s v="No"/>
    <m/>
    <n v="1"/>
    <n v="0.49436307633423443"/>
    <m/>
    <m/>
    <m/>
    <m/>
    <m/>
    <m/>
    <m/>
    <m/>
    <m/>
    <m/>
    <s v=""/>
    <n v="0"/>
    <s v=""/>
    <n v="0"/>
    <s v=""/>
    <s v=""/>
    <m/>
  </r>
  <r>
    <m/>
    <s v="EJ-WR-025"/>
    <s v="CB757 Loubier Drive drywell"/>
    <s v="Village"/>
    <x v="1"/>
    <m/>
    <m/>
    <m/>
    <m/>
    <s v="Yes"/>
    <n v="17300"/>
    <s v="Planned"/>
    <m/>
    <m/>
    <m/>
    <m/>
    <s v="n/a"/>
    <s v="Winooski River"/>
    <x v="1"/>
    <x v="0"/>
    <s v="Infiltration Trench"/>
    <n v="0.21000000000000002"/>
    <s v="By HSG"/>
    <n v="0.75"/>
    <n v="0"/>
    <n v="0"/>
    <n v="0"/>
    <m/>
    <n v="860.31000000000006"/>
    <s v="8.27 in/hr"/>
    <n v="0.24957000000000001"/>
    <n v="1.0184888316312226"/>
    <n v="0"/>
    <n v="3.6977663262445226E-2"/>
    <n v="1"/>
    <n v="0.24957000000000001"/>
    <m/>
    <s v="No"/>
    <m/>
    <n v="1"/>
    <n v="0.24957000000000001"/>
    <m/>
    <m/>
    <m/>
    <m/>
    <m/>
    <m/>
    <m/>
    <m/>
    <m/>
    <m/>
    <s v=""/>
    <n v="0"/>
    <s v=""/>
    <n v="0"/>
    <s v=""/>
    <s v=""/>
    <m/>
  </r>
  <r>
    <m/>
    <s v="EJ-WR-029"/>
    <s v="CB1425 Killoran Drive drywell"/>
    <s v="Village"/>
    <x v="1"/>
    <m/>
    <m/>
    <m/>
    <m/>
    <s v="Yes"/>
    <n v="29500"/>
    <s v="Planned"/>
    <m/>
    <m/>
    <m/>
    <m/>
    <s v="n/a"/>
    <s v="Winooski River"/>
    <x v="1"/>
    <x v="0"/>
    <s v="Infiltration Trench"/>
    <n v="0.41000000000000003"/>
    <s v="By HSG"/>
    <n v="0.32"/>
    <n v="0"/>
    <n v="0"/>
    <n v="0"/>
    <m/>
    <n v="1471.9650000000001"/>
    <s v="8.27 in/hr"/>
    <n v="0.46437000000000006"/>
    <n v="0.9677486348745864"/>
    <n v="1.0000000000000009E-2"/>
    <n v="0.838743174372932"/>
    <n v="0.99838743174372935"/>
    <n v="0.46362117167883565"/>
    <m/>
    <s v="No"/>
    <m/>
    <n v="1"/>
    <n v="0.46362117167883565"/>
    <m/>
    <m/>
    <m/>
    <m/>
    <m/>
    <m/>
    <m/>
    <m/>
    <m/>
    <m/>
    <s v=""/>
    <n v="0"/>
    <s v=""/>
    <n v="0"/>
    <s v=""/>
    <s v=""/>
    <m/>
  </r>
  <r>
    <m/>
    <s v="EJ-WR-027"/>
    <s v="CB54 and CB55 Killoran Drive drywells"/>
    <s v="Village"/>
    <x v="1"/>
    <m/>
    <m/>
    <m/>
    <m/>
    <s v="Yes"/>
    <n v="23900"/>
    <s v="Planned"/>
    <m/>
    <m/>
    <m/>
    <m/>
    <s v="n/a"/>
    <s v="Winooski River"/>
    <x v="1"/>
    <x v="0"/>
    <s v="Infiltration Trench"/>
    <n v="0.31"/>
    <s v="By HSG"/>
    <n v="0.44"/>
    <n v="0"/>
    <n v="0"/>
    <n v="0"/>
    <m/>
    <n v="1194.2700000000002"/>
    <s v="8.27 in/hr"/>
    <n v="0.35507"/>
    <n v="1.0176295379518339"/>
    <n v="0"/>
    <n v="3.5259075903667725E-2"/>
    <n v="1"/>
    <n v="0.35507"/>
    <m/>
    <s v="No"/>
    <m/>
    <n v="1"/>
    <n v="0.35507"/>
    <m/>
    <m/>
    <m/>
    <m/>
    <m/>
    <m/>
    <m/>
    <m/>
    <m/>
    <m/>
    <s v=""/>
    <n v="0"/>
    <s v=""/>
    <n v="0"/>
    <s v=""/>
    <s v=""/>
    <m/>
  </r>
  <r>
    <m/>
    <s v="EJ-WR-028"/>
    <s v="CB56 and CB57 Killoran Drive drywells"/>
    <s v="Village"/>
    <x v="1"/>
    <m/>
    <m/>
    <m/>
    <m/>
    <s v="Yes"/>
    <n v="63100"/>
    <s v="Planned"/>
    <m/>
    <m/>
    <m/>
    <m/>
    <s v="n/a"/>
    <s v="Winooski River"/>
    <x v="1"/>
    <x v="0"/>
    <s v="Infiltration Trench"/>
    <n v="0.91"/>
    <s v="By HSG"/>
    <n v="0.96"/>
    <n v="0"/>
    <n v="0"/>
    <n v="0"/>
    <m/>
    <n v="3154.4700000000003"/>
    <s v="8.27 in/hr"/>
    <n v="1.0356700000000001"/>
    <n v="0.92891346849937262"/>
    <n v="1.0000000000000009E-2"/>
    <n v="0.64456734249686298"/>
    <n v="0.99644567342496859"/>
    <n v="1.0319888905960373"/>
    <m/>
    <s v="No"/>
    <m/>
    <n v="1"/>
    <n v="1.0319888905960373"/>
    <m/>
    <m/>
    <m/>
    <m/>
    <m/>
    <m/>
    <m/>
    <m/>
    <m/>
    <m/>
    <s v=""/>
    <n v="0"/>
    <s v=""/>
    <n v="0"/>
    <s v=""/>
    <s v=""/>
    <m/>
  </r>
  <r>
    <m/>
    <s v="EJ-WR-030"/>
    <s v="Killoran Drive cul de sac impervious removal"/>
    <s v="Village"/>
    <x v="1"/>
    <m/>
    <m/>
    <m/>
    <m/>
    <s v="Yes"/>
    <n v="2500"/>
    <s v="Planned"/>
    <m/>
    <m/>
    <m/>
    <m/>
    <s v="n/a"/>
    <s v="Winooski River"/>
    <x v="1"/>
    <x v="0"/>
    <s v="Impervious removal"/>
    <n v="0.05"/>
    <s v="By HSG"/>
    <n v="0"/>
    <n v="0"/>
    <n v="0"/>
    <n v="0"/>
    <m/>
    <m/>
    <s v="8.27 in/hr"/>
    <n v="5.5850000000000004E-2"/>
    <n v="0"/>
    <s v=""/>
    <n v="0"/>
    <s v=""/>
    <s v=""/>
    <n v="0.06"/>
    <s v="No"/>
    <m/>
    <n v="1"/>
    <n v="0.06"/>
    <m/>
    <m/>
    <m/>
    <m/>
    <m/>
    <m/>
    <m/>
    <m/>
    <m/>
    <m/>
    <s v=""/>
    <n v="0"/>
    <s v=""/>
    <n v="0"/>
    <s v=""/>
    <s v=""/>
    <m/>
  </r>
  <r>
    <m/>
    <s v="EJ-WR-031"/>
    <s v="CB35 Cascadnac Ave drywell"/>
    <s v="Village"/>
    <x v="1"/>
    <m/>
    <m/>
    <m/>
    <m/>
    <s v="Yes"/>
    <n v="31800"/>
    <s v="Planned"/>
    <m/>
    <m/>
    <m/>
    <m/>
    <s v="n/a"/>
    <s v="Winooski River"/>
    <x v="1"/>
    <x v="0"/>
    <s v="Infiltration Trench"/>
    <n v="0.43"/>
    <s v="By HSG"/>
    <n v="0.17"/>
    <n v="0"/>
    <n v="0"/>
    <n v="0"/>
    <m/>
    <n v="1586.31"/>
    <s v="8.27 in/hr"/>
    <n v="0.48371000000000003"/>
    <n v="1.0044902642302409"/>
    <n v="0"/>
    <n v="8.980528460481807E-3"/>
    <n v="1"/>
    <n v="0.48371000000000003"/>
    <m/>
    <s v="No"/>
    <m/>
    <n v="1"/>
    <n v="0.48371000000000003"/>
    <m/>
    <m/>
    <m/>
    <m/>
    <m/>
    <m/>
    <m/>
    <m/>
    <m/>
    <m/>
    <s v=""/>
    <n v="0"/>
    <s v=""/>
    <n v="0"/>
    <s v=""/>
    <s v=""/>
    <m/>
  </r>
  <r>
    <m/>
    <s v="EJ-WR-032"/>
    <s v="CB36 Cascadnac Ave drywell"/>
    <s v="Village"/>
    <x v="1"/>
    <m/>
    <m/>
    <m/>
    <m/>
    <s v="Yes"/>
    <n v="12800"/>
    <s v="Planned"/>
    <m/>
    <m/>
    <m/>
    <m/>
    <s v="n/a"/>
    <s v="Winooski River"/>
    <x v="1"/>
    <x v="0"/>
    <s v="Infiltration Trench"/>
    <n v="0.14000000000000001"/>
    <s v="By HSG"/>
    <n v="0.17"/>
    <n v="0"/>
    <n v="0"/>
    <n v="0"/>
    <m/>
    <n v="638.88"/>
    <s v="8.27 in/hr"/>
    <n v="0.15978000000000003"/>
    <n v="1.2019176294503229"/>
    <n v="0"/>
    <n v="0.40383525890064575"/>
    <n v="1"/>
    <n v="0.15978000000000003"/>
    <m/>
    <s v="No"/>
    <m/>
    <n v="1"/>
    <n v="0.15978000000000003"/>
    <m/>
    <m/>
    <m/>
    <m/>
    <m/>
    <m/>
    <m/>
    <m/>
    <m/>
    <m/>
    <s v=""/>
    <n v="0"/>
    <s v=""/>
    <n v="0"/>
    <s v=""/>
    <s v=""/>
    <m/>
  </r>
  <r>
    <m/>
    <s v="EJ-WR-033"/>
    <s v="CB37 Cascadnac Ave drywell"/>
    <s v="Village"/>
    <x v="1"/>
    <m/>
    <m/>
    <m/>
    <m/>
    <s v="Yes"/>
    <n v="10900"/>
    <s v="Planned"/>
    <m/>
    <m/>
    <m/>
    <m/>
    <s v="n/a"/>
    <s v="Winooski River"/>
    <x v="1"/>
    <x v="0"/>
    <s v="Infiltration Trench"/>
    <n v="0.11000000000000001"/>
    <s v="By HSG"/>
    <n v="0.2"/>
    <n v="0"/>
    <n v="0"/>
    <n v="0"/>
    <m/>
    <n v="540.87"/>
    <s v="2.41 in/hr"/>
    <n v="0.12687000000000001"/>
    <n v="1.2620239753867901"/>
    <n v="2.0000000000000018E-2"/>
    <n v="0.52404795077358024"/>
    <n v="0.99048095901547162"/>
    <n v="0.12566231927029289"/>
    <m/>
    <s v="No"/>
    <m/>
    <n v="1"/>
    <n v="0.12566231927029289"/>
    <m/>
    <m/>
    <m/>
    <m/>
    <m/>
    <m/>
    <m/>
    <m/>
    <m/>
    <m/>
    <s v=""/>
    <n v="0"/>
    <s v=""/>
    <n v="0"/>
    <s v=""/>
    <s v=""/>
    <m/>
  </r>
  <r>
    <m/>
    <s v="EJ-WR-034"/>
    <s v="CB42 Cascadnac and Owaissa Ave drywell"/>
    <s v="Village"/>
    <x v="1"/>
    <m/>
    <m/>
    <m/>
    <m/>
    <s v="Yes"/>
    <n v="16100"/>
    <s v="Planned"/>
    <m/>
    <m/>
    <m/>
    <m/>
    <s v="n/a"/>
    <s v="Winooski River"/>
    <x v="1"/>
    <x v="0"/>
    <s v="Infiltration Trench"/>
    <n v="0.19"/>
    <s v="By HSG"/>
    <n v="0.19"/>
    <n v="0"/>
    <n v="0"/>
    <n v="0"/>
    <m/>
    <n v="802.2299999999999"/>
    <s v="2.41 in/hr"/>
    <n v="0.21603"/>
    <n v="1.1242253971154519"/>
    <n v="2.0000000000000018E-2"/>
    <n v="0.24845079423090377"/>
    <n v="0.98496901588461805"/>
    <n v="0.21278285650155404"/>
    <m/>
    <s v="No"/>
    <m/>
    <n v="1"/>
    <n v="0.21278285650155404"/>
    <m/>
    <m/>
    <m/>
    <m/>
    <m/>
    <m/>
    <m/>
    <m/>
    <m/>
    <m/>
    <s v=""/>
    <n v="0"/>
    <s v=""/>
    <n v="0"/>
    <s v=""/>
    <s v=""/>
    <m/>
  </r>
  <r>
    <m/>
    <s v="EJ-WR-035"/>
    <s v="CB43 Owaissa and Wenonah drywell"/>
    <s v="Village"/>
    <x v="1"/>
    <m/>
    <m/>
    <m/>
    <m/>
    <s v="Yes"/>
    <n v="18700"/>
    <s v="Planned"/>
    <m/>
    <m/>
    <m/>
    <m/>
    <s v="n/a"/>
    <s v="Winooski River"/>
    <x v="1"/>
    <x v="0"/>
    <s v="Infiltration Trench"/>
    <n v="0.22999999999999998"/>
    <s v="By HSG"/>
    <n v="0.16"/>
    <n v="0"/>
    <n v="0"/>
    <n v="0"/>
    <m/>
    <n v="932.90999999999985"/>
    <s v="2.41 in/hr"/>
    <n v="0.26010999999999995"/>
    <n v="1.0920902675214001"/>
    <n v="2.0000000000000018E-2"/>
    <n v="0.1841805350428003"/>
    <n v="0.98368361070085597"/>
    <n v="0.2558659439793996"/>
    <m/>
    <s v="No"/>
    <m/>
    <n v="1"/>
    <n v="0.2558659439793996"/>
    <m/>
    <m/>
    <m/>
    <m/>
    <m/>
    <m/>
    <m/>
    <m/>
    <m/>
    <m/>
    <s v=""/>
    <n v="0"/>
    <s v=""/>
    <n v="0"/>
    <s v=""/>
    <s v=""/>
    <m/>
  </r>
  <r>
    <m/>
    <s v="EJ-WR-036"/>
    <s v="CB44 Wenonah Ave drywell"/>
    <s v="Village"/>
    <x v="1"/>
    <m/>
    <m/>
    <m/>
    <m/>
    <s v="Yes"/>
    <n v="16100"/>
    <s v="Planned"/>
    <m/>
    <m/>
    <m/>
    <m/>
    <s v="n/a"/>
    <s v="Winooski River"/>
    <x v="1"/>
    <x v="0"/>
    <s v="Infiltration Trench"/>
    <n v="0.19"/>
    <s v="By HSG"/>
    <n v="0.21"/>
    <n v="0"/>
    <n v="0"/>
    <n v="0"/>
    <m/>
    <n v="802.23"/>
    <s v="2.41 in/hr"/>
    <n v="0.21643000000000001"/>
    <n v="1.1204636248286832"/>
    <n v="2.0000000000000018E-2"/>
    <n v="0.24092724965736645"/>
    <n v="0.98481854499314736"/>
    <n v="0.2131442776928669"/>
    <m/>
    <s v="No"/>
    <m/>
    <n v="1"/>
    <n v="0.2131442776928669"/>
    <m/>
    <m/>
    <m/>
    <m/>
    <m/>
    <m/>
    <m/>
    <m/>
    <m/>
    <m/>
    <s v=""/>
    <n v="0"/>
    <s v=""/>
    <n v="0"/>
    <s v=""/>
    <s v=""/>
    <m/>
  </r>
  <r>
    <m/>
    <s v="EJ-WR-037"/>
    <s v="CB706 Wenonah &amp; Owaissa drywell"/>
    <s v="Village"/>
    <x v="1"/>
    <m/>
    <m/>
    <m/>
    <m/>
    <s v="Yes"/>
    <n v="12200"/>
    <s v="Planned"/>
    <m/>
    <m/>
    <m/>
    <m/>
    <s v="n/a"/>
    <s v="Winooski River"/>
    <x v="1"/>
    <x v="0"/>
    <s v="Infiltration Trench"/>
    <n v="0.13"/>
    <s v="By HSG"/>
    <n v="0.1"/>
    <n v="0"/>
    <n v="0"/>
    <n v="0"/>
    <m/>
    <n v="606.20999999999992"/>
    <s v="2.41 in/hr"/>
    <n v="0.14721000000000001"/>
    <n v="1.2465634857610941"/>
    <n v="2.0000000000000018E-2"/>
    <n v="0.49312697152218821"/>
    <n v="0.98986253943044378"/>
    <n v="0.14571766442955564"/>
    <m/>
    <s v="No"/>
    <m/>
    <n v="1"/>
    <n v="0.14571766442955564"/>
    <m/>
    <m/>
    <m/>
    <m/>
    <m/>
    <m/>
    <m/>
    <m/>
    <m/>
    <m/>
    <s v=""/>
    <n v="0"/>
    <s v=""/>
    <n v="0"/>
    <s v=""/>
    <s v=""/>
    <m/>
  </r>
  <r>
    <s v="3574-9010.R"/>
    <s v="EX-WR-004"/>
    <s v="CB889 CB890 CB891 Saxonhollow and Hillside drywells "/>
    <s v="Town"/>
    <x v="0"/>
    <m/>
    <m/>
    <s v="3574-9010.R"/>
    <m/>
    <s v="Yes"/>
    <n v="54000"/>
    <s v="Planned"/>
    <m/>
    <m/>
    <m/>
    <m/>
    <s v="n/a"/>
    <s v="Winooski River"/>
    <x v="1"/>
    <x v="0"/>
    <s v="Infiltration Trench"/>
    <n v="0.77"/>
    <s v="By HSG"/>
    <n v="1.66"/>
    <n v="0"/>
    <n v="0"/>
    <n v="0"/>
    <m/>
    <n v="2697.09"/>
    <s v="8.27 in/hr"/>
    <n v="0.89329000000000003"/>
    <n v="0.91382911634799002"/>
    <n v="1.0000000000000009E-2"/>
    <n v="0.56914558173995"/>
    <n v="0.99569145581739948"/>
    <n v="0.88944122056712482"/>
    <m/>
    <s v="No"/>
    <m/>
    <n v="1"/>
    <n v="0.88944122056712482"/>
    <m/>
    <m/>
    <m/>
    <m/>
    <m/>
    <m/>
    <m/>
    <m/>
    <m/>
    <m/>
    <s v=""/>
    <n v="0"/>
    <s v=""/>
    <n v="0"/>
    <s v=""/>
    <s v=""/>
    <m/>
  </r>
  <r>
    <s v="3574-9010.R"/>
    <s v="EX-WR-003"/>
    <s v="CB884 CB885 Saxonhollow drywells"/>
    <s v="Town"/>
    <x v="0"/>
    <m/>
    <m/>
    <s v="3574-9010.R"/>
    <m/>
    <s v="Yes"/>
    <n v="46200"/>
    <s v="Planned"/>
    <m/>
    <m/>
    <m/>
    <m/>
    <s v="n/a"/>
    <s v="Winooski River"/>
    <x v="1"/>
    <x v="0"/>
    <s v="Infiltration Trench"/>
    <n v="0.65"/>
    <s v="By HSG"/>
    <n v="1.57"/>
    <n v="0.01"/>
    <n v="0"/>
    <n v="0"/>
    <m/>
    <n v="2305.0500000000002"/>
    <s v="8.27 in/hr"/>
    <n v="0.75998999999999994"/>
    <n v="0.91843432582980811"/>
    <n v="1.0000000000000009E-2"/>
    <n v="0.59217162914904042"/>
    <n v="0.9959217162914904"/>
    <n v="0.75689054516436971"/>
    <m/>
    <s v="No"/>
    <m/>
    <n v="1"/>
    <n v="0.75689054516436971"/>
    <m/>
    <m/>
    <m/>
    <m/>
    <m/>
    <m/>
    <m/>
    <m/>
    <m/>
    <m/>
    <s v=""/>
    <n v="0"/>
    <s v=""/>
    <n v="0"/>
    <s v=""/>
    <s v=""/>
    <m/>
  </r>
  <r>
    <s v="3574-9010.R"/>
    <s v="EX-WR-007"/>
    <s v="CB898 899 Hillside Ave drywells"/>
    <s v="Town"/>
    <x v="0"/>
    <m/>
    <m/>
    <s v="3574-9010.R"/>
    <m/>
    <s v="Yes"/>
    <n v="22600"/>
    <s v="Planned"/>
    <m/>
    <m/>
    <m/>
    <m/>
    <s v="n/a"/>
    <s v="Winooski River"/>
    <x v="1"/>
    <x v="0"/>
    <s v="Infiltration Trench"/>
    <n v="0.29000000000000004"/>
    <s v="By HSG"/>
    <n v="0.74"/>
    <n v="0"/>
    <n v="0"/>
    <n v="0"/>
    <m/>
    <n v="1128.93"/>
    <s v="2.41 in/hr"/>
    <n v="0.33873000000000003"/>
    <n v="0.99757535318782742"/>
    <n v="2.0000000000000018E-2"/>
    <n v="0.98787676593913709"/>
    <n v="0.97975753531878274"/>
    <n v="0.33187326993853128"/>
    <m/>
    <s v="No"/>
    <m/>
    <n v="1"/>
    <n v="0.33187326993853128"/>
    <m/>
    <m/>
    <m/>
    <m/>
    <m/>
    <m/>
    <m/>
    <m/>
    <m/>
    <m/>
    <s v=""/>
    <n v="0"/>
    <s v=""/>
    <n v="0"/>
    <s v=""/>
    <s v=""/>
    <m/>
  </r>
  <r>
    <s v="3574-9010.R"/>
    <s v="EX-WR-006"/>
    <s v="CB897 898 Hillside Ave drywells"/>
    <s v="Town"/>
    <x v="0"/>
    <m/>
    <m/>
    <s v="3574-9010.R"/>
    <m/>
    <s v="Yes"/>
    <n v="32400"/>
    <s v="Planned"/>
    <m/>
    <m/>
    <m/>
    <m/>
    <s v="n/a"/>
    <s v="Winooski River"/>
    <x v="1"/>
    <x v="0"/>
    <s v="Infiltration Trench"/>
    <n v="0.44000000000000006"/>
    <s v="By HSG"/>
    <n v="0.78"/>
    <n v="0"/>
    <n v="0"/>
    <n v="0"/>
    <m/>
    <n v="1618.98"/>
    <s v="8.27 in/hr"/>
    <n v="0.50708000000000009"/>
    <n v="0.96557481747231666"/>
    <n v="1.0000000000000009E-2"/>
    <n v="0.8278740873615833"/>
    <n v="0.99827874087361579"/>
    <n v="0.50620718392219322"/>
    <m/>
    <s v="No"/>
    <m/>
    <n v="1"/>
    <n v="0.50620718392219322"/>
    <m/>
    <m/>
    <m/>
    <m/>
    <m/>
    <m/>
    <m/>
    <m/>
    <m/>
    <m/>
    <s v=""/>
    <n v="0"/>
    <s v=""/>
    <n v="0"/>
    <s v=""/>
    <s v=""/>
    <m/>
  </r>
  <r>
    <s v="3574-9010.R"/>
    <s v="EX-WR-005"/>
    <s v="CB892 893 894 895 Saxonhollow Hillside drywells"/>
    <s v="Town"/>
    <x v="0"/>
    <m/>
    <m/>
    <s v="3574-9010.R"/>
    <m/>
    <s v="Yes"/>
    <n v="50100"/>
    <s v="Planned"/>
    <m/>
    <m/>
    <m/>
    <m/>
    <s v="n/a"/>
    <s v="Winooski River"/>
    <x v="1"/>
    <x v="0"/>
    <s v="Infiltration Trench"/>
    <n v="0.71"/>
    <s v="By HSG"/>
    <n v="1"/>
    <n v="0"/>
    <n v="0"/>
    <n v="0"/>
    <m/>
    <n v="2501.0700000000002"/>
    <s v="8.27 in/hr"/>
    <n v="0.81306999999999996"/>
    <n v="0.9350999535579354"/>
    <n v="1.0000000000000009E-2"/>
    <n v="0.67549976778967691"/>
    <n v="0.99675499767789677"/>
    <n v="0.81043158596196752"/>
    <m/>
    <s v="No"/>
    <m/>
    <n v="1"/>
    <n v="0.81043158596196752"/>
    <m/>
    <m/>
    <m/>
    <m/>
    <m/>
    <m/>
    <m/>
    <m/>
    <m/>
    <m/>
    <s v=""/>
    <n v="0"/>
    <s v=""/>
    <n v="0"/>
    <s v=""/>
    <s v=""/>
    <m/>
  </r>
  <r>
    <s v="combo with outlet partially meeting standards"/>
    <s v="EX-WR-009"/>
    <s v="CB957-960 Greenbriar Dr drywells"/>
    <s v="Town"/>
    <x v="0"/>
    <m/>
    <m/>
    <m/>
    <m/>
    <s v="Yes"/>
    <n v="54000"/>
    <s v="Planned"/>
    <m/>
    <m/>
    <m/>
    <m/>
    <s v="n/a"/>
    <s v="Winooski River"/>
    <x v="1"/>
    <x v="0"/>
    <s v="Infiltration Trench"/>
    <n v="0.77"/>
    <s v="By HSG"/>
    <n v="1.22"/>
    <n v="0"/>
    <n v="0"/>
    <n v="0"/>
    <m/>
    <n v="2697.09"/>
    <s v="8.27 in/hr"/>
    <n v="0.88449"/>
    <n v="0.92612475806965344"/>
    <n v="1.0000000000000009E-2"/>
    <n v="0.6306237903482671"/>
    <n v="0.99630623790348272"/>
    <n v="0.88122290436325146"/>
    <m/>
    <s v="No"/>
    <m/>
    <n v="1"/>
    <n v="0.88122290436325146"/>
    <m/>
    <m/>
    <m/>
    <m/>
    <m/>
    <m/>
    <m/>
    <m/>
    <m/>
    <m/>
    <s v=""/>
    <n v="0"/>
    <s v=""/>
    <n v="0"/>
    <s v=""/>
    <s v=""/>
    <m/>
  </r>
  <r>
    <s v="combo with outlet not meeting standards"/>
    <s v="EX-WR-008"/>
    <s v="CB1046-1050 Sand Hill Rd drywells"/>
    <s v="Town"/>
    <x v="0"/>
    <m/>
    <m/>
    <m/>
    <m/>
    <s v="Yes"/>
    <n v="60500"/>
    <s v="Planned"/>
    <m/>
    <m/>
    <m/>
    <m/>
    <s v="n/a"/>
    <s v="Winooski River"/>
    <x v="1"/>
    <x v="0"/>
    <s v="Infiltration Trench"/>
    <n v="0.87"/>
    <s v="By HSG"/>
    <n v="2.4900000000000002"/>
    <n v="0"/>
    <n v="0"/>
    <n v="0"/>
    <m/>
    <n v="3023.79"/>
    <s v="8.27 in/hr"/>
    <n v="1.02159"/>
    <n v="0.89331324595526151"/>
    <n v="1.0000000000000009E-2"/>
    <n v="0.46656622977630746"/>
    <n v="0.9946656622977631"/>
    <n v="1.0161404939467718"/>
    <m/>
    <s v="No"/>
    <m/>
    <n v="1"/>
    <n v="1.0161404939467718"/>
    <m/>
    <m/>
    <m/>
    <m/>
    <m/>
    <m/>
    <m/>
    <m/>
    <m/>
    <m/>
    <s v=""/>
    <n v="0"/>
    <s v=""/>
    <n v="0"/>
    <s v=""/>
    <s v=""/>
    <m/>
  </r>
  <r>
    <s v="3574-9010.R"/>
    <s v="EX-WR-010"/>
    <s v="CB964 968-970 Greenfield Rd drywells"/>
    <s v="Town"/>
    <x v="0"/>
    <m/>
    <m/>
    <s v="3574-9010.R"/>
    <m/>
    <s v="Yes"/>
    <n v="74900"/>
    <s v="Planned"/>
    <m/>
    <m/>
    <m/>
    <m/>
    <s v="n/a"/>
    <s v="Winooski River"/>
    <x v="1"/>
    <x v="0"/>
    <s v="Infiltration Trench"/>
    <n v="1.0899999999999999"/>
    <s v="By HSG"/>
    <n v="0"/>
    <n v="2.5299999999999998"/>
    <n v="0"/>
    <n v="0"/>
    <m/>
    <n v="3742.5299999999993"/>
    <s v="1.02 in/hr"/>
    <n v="1.8601499999999997"/>
    <n v="0.87658515789736857"/>
    <n v="3.9999999999999925E-2"/>
    <n v="0.38292578948684275"/>
    <n v="0.93531703157947377"/>
    <n v="1.739829976292558"/>
    <m/>
    <s v="No"/>
    <m/>
    <n v="1"/>
    <n v="1.739829976292558"/>
    <m/>
    <m/>
    <m/>
    <m/>
    <m/>
    <m/>
    <m/>
    <m/>
    <m/>
    <m/>
    <s v=""/>
    <n v="0"/>
    <s v=""/>
    <n v="0"/>
    <s v=""/>
    <s v=""/>
    <m/>
  </r>
  <r>
    <s v="combo with outlet not meeting standards"/>
    <s v="EX-WR-012"/>
    <s v="CB1122 1123 Wildwood Dr drywells"/>
    <s v="Town"/>
    <x v="0"/>
    <m/>
    <m/>
    <m/>
    <m/>
    <s v="Yes"/>
    <n v="18700"/>
    <s v="Planned"/>
    <m/>
    <m/>
    <m/>
    <m/>
    <s v="n/a"/>
    <s v="Winooski River"/>
    <x v="1"/>
    <x v="0"/>
    <s v="Infiltration Trench"/>
    <n v="0.22999999999999998"/>
    <s v="By HSG"/>
    <n v="0"/>
    <n v="0.36"/>
    <n v="0"/>
    <n v="0"/>
    <m/>
    <n v="932.90999999999985"/>
    <s v="1.02 in/hr"/>
    <n v="0.34834999999999994"/>
    <n v="1.0439221483653718"/>
    <n v="3.0000000000000027E-2"/>
    <n v="8.7844296730743565E-2"/>
    <n v="0.96263532890192227"/>
    <n v="0.33533401682298458"/>
    <m/>
    <s v="No"/>
    <m/>
    <n v="1"/>
    <n v="0.33533401682298458"/>
    <m/>
    <m/>
    <m/>
    <m/>
    <m/>
    <m/>
    <m/>
    <m/>
    <m/>
    <m/>
    <s v=""/>
    <n v="0"/>
    <s v=""/>
    <n v="0"/>
    <s v=""/>
    <s v=""/>
    <m/>
  </r>
  <r>
    <s v="combo with outlet not meeting standards"/>
    <s v="EX-WR-011"/>
    <s v="CB1120 1121 Wildwood Dr drywells"/>
    <s v="Town"/>
    <x v="0"/>
    <m/>
    <m/>
    <m/>
    <m/>
    <s v="Yes"/>
    <n v="19000"/>
    <s v="Planned"/>
    <m/>
    <m/>
    <m/>
    <m/>
    <s v="n/a"/>
    <s v="Winooski River"/>
    <x v="1"/>
    <x v="0"/>
    <s v="Infiltration Trench"/>
    <n v="0.23500000000000001"/>
    <s v="By HSG"/>
    <n v="0.1"/>
    <n v="0.44"/>
    <n v="0"/>
    <n v="0"/>
    <m/>
    <n v="949.245"/>
    <s v="1.02 in/hr"/>
    <n v="0.37625500000000001"/>
    <n v="1.017339342864819"/>
    <n v="3.0000000000000027E-2"/>
    <n v="3.4678685729637948E-2"/>
    <n v="0.96104036057188913"/>
    <n v="0.36159624086697617"/>
    <m/>
    <s v="No"/>
    <m/>
    <n v="1"/>
    <n v="0.36159624086697617"/>
    <m/>
    <m/>
    <m/>
    <m/>
    <m/>
    <m/>
    <m/>
    <m/>
    <m/>
    <m/>
    <s v=""/>
    <n v="0"/>
    <s v=""/>
    <n v="0"/>
    <s v=""/>
    <s v=""/>
    <m/>
  </r>
  <r>
    <s v="combo with outlet not meeting standards"/>
    <s v="EX-WR-002"/>
    <s v="CB772-775 Foster Rd drywells"/>
    <s v="Town"/>
    <x v="0"/>
    <m/>
    <m/>
    <m/>
    <m/>
    <s v="Yes"/>
    <n v="91200"/>
    <s v="Planned"/>
    <m/>
    <m/>
    <m/>
    <m/>
    <s v="n/a"/>
    <s v="Winooski River"/>
    <x v="1"/>
    <x v="0"/>
    <s v="Infiltration Trench"/>
    <n v="1.3399999999999999"/>
    <s v="By HSG"/>
    <n v="2.42"/>
    <n v="0"/>
    <n v="0"/>
    <n v="0"/>
    <m/>
    <n v="4559.2799999999988"/>
    <s v="8.27 in/hr"/>
    <n v="1.5451799999999998"/>
    <n v="0.89647492994863631"/>
    <n v="1.0000000000000009E-2"/>
    <n v="0.48237464974318145"/>
    <n v="0.99482374649743177"/>
    <n v="1.5371817566129014"/>
    <m/>
    <s v="No"/>
    <m/>
    <n v="1"/>
    <n v="1.5371817566129014"/>
    <m/>
    <m/>
    <m/>
    <m/>
    <m/>
    <m/>
    <m/>
    <m/>
    <m/>
    <m/>
    <s v=""/>
    <n v="0"/>
    <s v=""/>
    <n v="0"/>
    <s v=""/>
    <s v=""/>
    <m/>
  </r>
  <r>
    <s v="4181-9050.2"/>
    <s v="4181-9050.2"/>
    <s v="Thompson Drive infiltration"/>
    <s v="Town"/>
    <x v="0"/>
    <m/>
    <m/>
    <s v="4181-9050.2"/>
    <m/>
    <s v="Yes"/>
    <m/>
    <s v="Complete"/>
    <m/>
    <d v="2014-11-07T00:00:00"/>
    <m/>
    <m/>
    <s v="n/a"/>
    <s v="Winooski River"/>
    <x v="1"/>
    <x v="0"/>
    <s v="Infiltration Trench"/>
    <n v="0.8"/>
    <s v="By HSG"/>
    <n v="0.2"/>
    <n v="0"/>
    <n v="0"/>
    <n v="0"/>
    <m/>
    <n v="2795.1"/>
    <s v="8.27 in/hr"/>
    <n v="0.89760000000000006"/>
    <n v="0.9558857294280616"/>
    <n v="1.0000000000000009E-2"/>
    <n v="0.77942864714030802"/>
    <n v="0.99779428647140311"/>
    <n v="0.89562015153673147"/>
    <m/>
    <s v="No"/>
    <m/>
    <n v="1"/>
    <n v="0.89562015153673147"/>
    <m/>
    <m/>
    <m/>
    <m/>
    <m/>
    <m/>
    <m/>
    <m/>
    <m/>
    <m/>
    <s v=""/>
    <n v="0"/>
    <s v=""/>
    <n v="0"/>
    <s v=""/>
    <s v=""/>
    <m/>
  </r>
  <r>
    <m/>
    <s v="EJ-WR-021"/>
    <s v="CB524 Elm and Jackson drywell"/>
    <s v="Village"/>
    <x v="1"/>
    <m/>
    <m/>
    <m/>
    <m/>
    <s v="Yes"/>
    <n v="36200"/>
    <s v="Planned"/>
    <m/>
    <m/>
    <m/>
    <m/>
    <s v="n/a"/>
    <s v="Winooski River"/>
    <x v="1"/>
    <x v="0"/>
    <s v="Infiltration Trench"/>
    <n v="0.51"/>
    <s v="By HSG"/>
    <n v="0.27"/>
    <n v="0"/>
    <n v="0"/>
    <n v="0"/>
    <m/>
    <n v="1807.74"/>
    <s v="8.27 in/hr"/>
    <n v="0.57506999999999997"/>
    <n v="0.96223720006570457"/>
    <n v="1.0000000000000009E-2"/>
    <n v="0.81118600032852284"/>
    <n v="0.99811186000328522"/>
    <n v="0.57398418733208922"/>
    <m/>
    <s v="No"/>
    <m/>
    <n v="1"/>
    <n v="0.57398418733208922"/>
    <m/>
    <m/>
    <m/>
    <m/>
    <m/>
    <m/>
    <m/>
    <m/>
    <m/>
    <m/>
    <s v=""/>
    <n v="0"/>
    <s v=""/>
    <n v="0"/>
    <s v=""/>
    <s v=""/>
    <m/>
  </r>
  <r>
    <s v="7002-9015.T"/>
    <s v="7025.9014.ARA"/>
    <s v="Essex Police Station"/>
    <s v="Town"/>
    <x v="0"/>
    <m/>
    <m/>
    <s v="7025.9014.ARA"/>
    <m/>
    <s v="Yes"/>
    <m/>
    <s v="Complete"/>
    <m/>
    <n v="2014"/>
    <m/>
    <m/>
    <s v="n/a"/>
    <s v="Winooski River"/>
    <x v="1"/>
    <x v="0"/>
    <s v="Grass Channel"/>
    <n v="1.1399999999999999"/>
    <s v="Total Pervious"/>
    <m/>
    <m/>
    <m/>
    <m/>
    <n v="2.5"/>
    <n v="978"/>
    <m/>
    <n v="1.8508800000000001"/>
    <n v="0.20774768473217067"/>
    <n v="3.9999999999999994E-2"/>
    <n v="3.8738423660853311E-2"/>
    <n v="5.1549536946434132E-2"/>
    <n v="9.5412006943416006E-2"/>
    <m/>
    <s v="No"/>
    <m/>
    <n v="1"/>
    <n v="9.5412006943416006E-2"/>
    <m/>
    <m/>
    <m/>
    <m/>
    <m/>
    <m/>
    <m/>
    <m/>
    <m/>
    <m/>
    <s v=""/>
    <n v="0"/>
    <s v=""/>
    <n v="0"/>
    <s v=""/>
    <s v=""/>
    <m/>
  </r>
  <r>
    <s v="5263-9050"/>
    <s v="5263-9050"/>
    <s v="Tanglewood Drive infiltration - Birchwood Manor"/>
    <s v="Town"/>
    <x v="0"/>
    <m/>
    <m/>
    <s v="5263-9050"/>
    <m/>
    <s v="Yes"/>
    <m/>
    <s v="Complete"/>
    <m/>
    <n v="2012"/>
    <m/>
    <m/>
    <s v="n/a"/>
    <s v="Winooski River"/>
    <x v="1"/>
    <x v="0"/>
    <s v="Bioretention (infiltrating)"/>
    <n v="1.81"/>
    <s v="By HSG"/>
    <n v="1"/>
    <n v="0"/>
    <n v="0"/>
    <n v="0"/>
    <m/>
    <n v="6423.2850000000008"/>
    <s v="2.41 in/hr"/>
    <n v="2.0417700000000001"/>
    <n v="0.962751328027872"/>
    <n v="1.0000000000000009E-2"/>
    <n v="0.81375664013936"/>
    <n v="0.9781375664013936"/>
    <n v="1.9971319389513735"/>
    <m/>
    <s v="No"/>
    <m/>
    <n v="1"/>
    <n v="1.9971319389513735"/>
    <m/>
    <m/>
    <m/>
    <m/>
    <m/>
    <m/>
    <m/>
    <m/>
    <m/>
    <m/>
    <s v=""/>
    <n v="0"/>
    <s v=""/>
    <n v="0"/>
    <s v=""/>
    <s v=""/>
    <m/>
  </r>
  <r>
    <m/>
    <s v="EX-WR-041"/>
    <s v="2OLET120 Logwood Circle stormline and catchbasin retrofits"/>
    <s v="Town"/>
    <x v="0"/>
    <m/>
    <m/>
    <m/>
    <m/>
    <s v="Yes"/>
    <n v="647000"/>
    <s v="Preliminary Design (&lt;100%)"/>
    <m/>
    <m/>
    <m/>
    <m/>
    <s v="n/a"/>
    <s v="Winooski River"/>
    <x v="1"/>
    <x v="0"/>
    <s v="Infiltration Chambers"/>
    <n v="3.9420000000000002"/>
    <s v="By HSG"/>
    <n v="7.2579999999999991"/>
    <n v="0"/>
    <n v="0"/>
    <n v="0"/>
    <n v="7.2610000000000001"/>
    <n v="12763.06"/>
    <s v="8.27 in/hr"/>
    <n v="4.5483739999999999"/>
    <n v="0.85492715836986943"/>
    <n v="1.0000000000000009E-2"/>
    <n v="0.274635791849347"/>
    <n v="0.99274635791849342"/>
    <n v="4.5153817229511697"/>
    <m/>
    <s v="No"/>
    <m/>
    <n v="1"/>
    <n v="4.5153817229511697"/>
    <m/>
    <m/>
    <m/>
    <m/>
    <m/>
    <m/>
    <m/>
    <m/>
    <m/>
    <m/>
    <s v=""/>
    <n v="0"/>
    <s v=""/>
    <n v="0"/>
    <s v=""/>
    <s v=""/>
    <m/>
  </r>
  <r>
    <m/>
    <s v="EX-WR-039"/>
    <s v="2OLET88 Tanglewood Drive and Fern Hollow Road retrofits (Alternative 4)"/>
    <s v="Town"/>
    <x v="0"/>
    <m/>
    <m/>
    <m/>
    <m/>
    <s v="Yes"/>
    <n v="410000"/>
    <s v="Planned"/>
    <m/>
    <m/>
    <m/>
    <m/>
    <s v="n/a"/>
    <s v="Winooski River"/>
    <x v="1"/>
    <x v="0"/>
    <s v="Dry Swale (w/ underdrain)"/>
    <n v="6.6596207999999999"/>
    <s v="Total Pervious"/>
    <m/>
    <m/>
    <m/>
    <m/>
    <n v="11.5"/>
    <n v="18774.36"/>
    <m/>
    <n v="10.0952964336"/>
    <n v="0.6000050900328695"/>
    <n v="3.999999999999998E-2"/>
    <n v="2.5450164347629024E-5"/>
    <n v="0.44000101800657393"/>
    <n v="4.4419407078621349"/>
    <m/>
    <s v="No"/>
    <m/>
    <n v="1"/>
    <n v="4.4419407078621349"/>
    <m/>
    <m/>
    <m/>
    <m/>
    <m/>
    <m/>
    <m/>
    <m/>
    <m/>
    <m/>
    <s v=""/>
    <n v="0"/>
    <s v=""/>
    <n v="0"/>
    <s v=""/>
    <s v=""/>
    <m/>
  </r>
  <r>
    <m/>
    <s v="EX-WR-040"/>
    <s v="2OLET56 Craftsbury Court pond retrofit"/>
    <s v="Town"/>
    <x v="0"/>
    <m/>
    <m/>
    <s v="3581.9010.R"/>
    <m/>
    <s v="Yes"/>
    <n v="341700"/>
    <s v="Planned"/>
    <m/>
    <n v="1991"/>
    <m/>
    <m/>
    <s v="n/a"/>
    <s v="Winooski River"/>
    <x v="1"/>
    <x v="0"/>
    <s v="Gravel Wetland"/>
    <n v="2.5499999999999998"/>
    <s v="By HSG"/>
    <n v="0"/>
    <n v="0"/>
    <n v="3.8"/>
    <n v="3.39"/>
    <n v="7.3125"/>
    <n v="20100"/>
    <m/>
    <n v="5.5106799999999998"/>
    <n v="1.2449840792778453"/>
    <n v="4.0000000000000036E-2"/>
    <n v="0.48996815855569054"/>
    <n v="0.62959872634222758"/>
    <n v="3.4695171092795865"/>
    <m/>
    <s v="Yes"/>
    <s v="No"/>
    <n v="1"/>
    <n v="2.8082355092795863"/>
    <m/>
    <m/>
    <m/>
    <m/>
    <m/>
    <m/>
    <m/>
    <s v="Extended Dry Detention Pond"/>
    <n v="20100"/>
    <m/>
    <n v="5.5106799999999998"/>
    <n v="1.2449840792778453"/>
    <n v="1.0000000000000009E-2"/>
    <n v="0.48996815855569054"/>
    <n v="0.12"/>
    <n v="0.66128159999999991"/>
    <m/>
  </r>
  <r>
    <m/>
    <s v="EX-WR-042"/>
    <s v="2OLET120 Logwood Circle stormline retrofit and infiltration chambers"/>
    <s v="Town"/>
    <x v="0"/>
    <m/>
    <m/>
    <m/>
    <m/>
    <s v="Yes"/>
    <n v="81600"/>
    <s v="Planned"/>
    <m/>
    <m/>
    <m/>
    <m/>
    <s v="n/a"/>
    <s v="Winooski River"/>
    <x v="1"/>
    <x v="0"/>
    <s v="Infiltration Trench"/>
    <n v="1.02"/>
    <s v="By HSG"/>
    <n v="3.09"/>
    <n v="0.71"/>
    <n v="0"/>
    <n v="0"/>
    <m/>
    <n v="4078.3049999999998"/>
    <s v="2.41 in/hr"/>
    <n v="1.38148"/>
    <n v="0.98663294657788059"/>
    <n v="2.0000000000000018E-2"/>
    <n v="0.93316473288940294"/>
    <n v="0.97866329465778801"/>
    <n v="1.3520037683038411"/>
    <m/>
    <s v="No"/>
    <s v="No"/>
    <n v="1"/>
    <n v="1.3520037683038411"/>
    <m/>
    <m/>
    <m/>
    <m/>
    <m/>
    <m/>
    <m/>
    <m/>
    <m/>
    <m/>
    <s v=""/>
    <n v="0"/>
    <s v=""/>
    <n v="0"/>
    <s v=""/>
    <s v=""/>
    <m/>
  </r>
  <r>
    <m/>
    <s v="EX-WR-043"/>
    <s v="2OLET120 Logwood Circle stormline and catchbasin retrofits"/>
    <s v="Town"/>
    <x v="0"/>
    <m/>
    <m/>
    <m/>
    <m/>
    <s v="Yes"/>
    <n v="91100"/>
    <s v="Planned"/>
    <m/>
    <m/>
    <m/>
    <m/>
    <s v="n/a"/>
    <s v="Winooski River"/>
    <x v="1"/>
    <x v="0"/>
    <s v="Infiltration Trench"/>
    <n v="1.18"/>
    <s v="By HSG"/>
    <n v="2.65"/>
    <n v="0"/>
    <n v="0"/>
    <n v="0"/>
    <m/>
    <n v="4550.204999999999"/>
    <s v="2.41 in/hr"/>
    <n v="1.3710599999999999"/>
    <n v="0.99658071717606178"/>
    <n v="2.0000000000000018E-2"/>
    <n v="0.98290358588030891"/>
    <n v="0.97965807171760622"/>
    <n v="1.3431699958091412"/>
    <m/>
    <s v="No"/>
    <s v="No"/>
    <n v="1"/>
    <n v="1.3431699958091412"/>
    <m/>
    <m/>
    <m/>
    <m/>
    <m/>
    <m/>
    <m/>
    <m/>
    <m/>
    <m/>
    <s v=""/>
    <n v="0"/>
    <s v=""/>
    <n v="0"/>
    <s v=""/>
    <s v=""/>
    <m/>
  </r>
  <r>
    <m/>
    <s v="EJ-WR-039"/>
    <s v="Hiawatha Infiltration Gallery Retrofit"/>
    <s v="Essex Westford School District"/>
    <x v="1"/>
    <m/>
    <m/>
    <m/>
    <m/>
    <s v="Yes"/>
    <m/>
    <s v="Preliminary Design (&lt;100%)"/>
    <m/>
    <m/>
    <m/>
    <m/>
    <s v="n/a"/>
    <s v="Winooski River"/>
    <x v="1"/>
    <x v="0"/>
    <s v="Infiltration Chambers"/>
    <n v="11.71"/>
    <s v="By HSG"/>
    <n v="20.880000000000003"/>
    <m/>
    <m/>
    <m/>
    <n v="20.88"/>
    <n v="14244"/>
    <s v="8.27 in/hr"/>
    <n v="13.497670000000001"/>
    <n v="0.33391025860370444"/>
    <n v="0.18999999999999995"/>
    <n v="0.66955129301852212"/>
    <n v="0.8772147456735192"/>
    <n v="11.840355156235091"/>
    <m/>
    <s v="No"/>
    <m/>
    <n v="1"/>
    <n v="11.840355156235091"/>
    <m/>
    <m/>
    <m/>
    <m/>
    <m/>
    <m/>
    <m/>
    <m/>
    <m/>
    <m/>
    <s v=""/>
    <n v="0"/>
    <s v=""/>
    <n v="0"/>
    <s v=""/>
    <s v=""/>
    <m/>
  </r>
  <r>
    <s v="7778-INDS.A1T"/>
    <s v="7778-INDS.A1T"/>
    <s v="Crescent Connector"/>
    <s v="Village"/>
    <x v="1"/>
    <m/>
    <m/>
    <s v="7778-INDS.A1T"/>
    <m/>
    <s v="Yes"/>
    <m/>
    <s v="Under Construction"/>
    <n v="2024"/>
    <m/>
    <m/>
    <m/>
    <s v="n/a"/>
    <s v="Winooski River"/>
    <x v="1"/>
    <x v="1"/>
    <s v="Sand filter (w/ underdrain)"/>
    <n v="0.61799999999999999"/>
    <s v="Total Pervious"/>
    <m/>
    <m/>
    <m/>
    <m/>
    <n v="0.27900000000000003"/>
    <n v="1573"/>
    <m/>
    <n v="0.75475499999999995"/>
    <n v="0.64753890790562829"/>
    <n v="3.999999999999998E-2"/>
    <n v="0.23769453952814149"/>
    <n v="0.44950778158112564"/>
    <n v="0.33926824568726244"/>
    <m/>
    <s v="No"/>
    <m/>
    <n v="1"/>
    <n v="0.33926824568726244"/>
    <m/>
    <m/>
    <m/>
    <m/>
    <m/>
    <m/>
    <m/>
    <m/>
    <m/>
    <m/>
    <s v=""/>
    <n v="0"/>
    <s v=""/>
    <n v="0"/>
    <s v=""/>
    <s v=""/>
    <m/>
  </r>
  <r>
    <s v="3426-9050"/>
    <s v="3426-9050"/>
    <s v="Pinewood Manor Section H 3-Acre Permit"/>
    <s v="Town"/>
    <x v="0"/>
    <m/>
    <m/>
    <s v="3426-9050"/>
    <m/>
    <s v="No"/>
    <m/>
    <s v="Planned"/>
    <m/>
    <m/>
    <m/>
    <m/>
    <m/>
    <m/>
    <x v="2"/>
    <x v="2"/>
    <m/>
    <m/>
    <m/>
    <m/>
    <m/>
    <m/>
    <m/>
    <m/>
    <m/>
    <m/>
    <s v=""/>
    <s v=""/>
    <s v=""/>
    <s v=""/>
    <s v=""/>
    <s v=""/>
    <m/>
    <m/>
    <m/>
    <n v="1"/>
    <s v=""/>
    <m/>
    <m/>
    <m/>
    <m/>
    <m/>
    <m/>
    <m/>
    <m/>
    <m/>
    <m/>
    <s v=""/>
    <s v=""/>
    <s v=""/>
    <s v=""/>
    <s v=""/>
    <s v=""/>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5">
  <r>
    <s v="see 1-1307"/>
    <s v="4002‐INDS.A"/>
    <x v="0"/>
    <s v="Private"/>
    <x v="0"/>
    <m/>
    <m/>
    <s v="4002‐INDS.A"/>
    <m/>
    <s v="Yes"/>
    <m/>
    <x v="0"/>
    <m/>
    <m/>
    <m/>
    <m/>
    <s v="Indian Brook"/>
    <s v="Malletts Bay Direct Drainage"/>
    <x v="0"/>
    <x v="0"/>
    <s v="Wet pond/ Created Wetland"/>
    <n v="6.4489999999999998"/>
    <s v="Total Pervious"/>
    <m/>
    <m/>
    <m/>
    <m/>
    <n v="6.0809999999999995"/>
    <n v="28009.08"/>
    <m/>
    <n v="1"/>
    <n v="0.95512042258512209"/>
    <n v="5.0000000000000044E-2"/>
    <n v="0.77560211292561043"/>
    <n v="0.51878010564628052"/>
    <n v="0.51878010564628052"/>
    <m/>
    <s v="Yes"/>
    <s v="Yes"/>
    <n v="1"/>
    <n v="0.38548612193972009"/>
    <n v="10"/>
    <s v="Total Pervious"/>
    <m/>
    <m/>
    <m/>
    <m/>
    <n v="50"/>
    <s v="Extended Dry Detention Pond"/>
    <n v="2000"/>
    <m/>
    <n v="8.85"/>
    <n v="5.0204890284956866E-2"/>
    <n v="0.03"/>
    <n v="0.5020489028495686"/>
    <n v="1.5061467085487057E-2"/>
    <n v="0.13329398370656045"/>
    <m/>
  </r>
  <r>
    <s v="see 1-0775a"/>
    <s v="6262‐9020"/>
    <x v="1"/>
    <s v="Private"/>
    <x v="0"/>
    <m/>
    <m/>
    <s v="6262‐9020"/>
    <m/>
    <s v="Yes"/>
    <m/>
    <x v="0"/>
    <m/>
    <m/>
    <m/>
    <m/>
    <s v="Indian Brook"/>
    <s v="Malletts Bay Direct Drainage"/>
    <x v="0"/>
    <x v="0"/>
    <s v="Wet pond/ Created Wetland"/>
    <n v="5.6520000000000001"/>
    <s v="Total Pervious"/>
    <m/>
    <m/>
    <m/>
    <m/>
    <n v="9.0659999999999989"/>
    <n v="74139.12"/>
    <m/>
    <n v="4.7716919999999998"/>
    <n v="1.9393032585986731"/>
    <n v="5.0000000000000044E-2"/>
    <n v="0.87860651719734628"/>
    <n v="0.6239303258598673"/>
    <n v="2.977203344462922"/>
    <m/>
    <m/>
    <m/>
    <n v="1"/>
    <n v="2.977203344462922"/>
    <m/>
    <m/>
    <m/>
    <m/>
    <m/>
    <m/>
    <m/>
    <m/>
    <m/>
    <m/>
    <s v=""/>
    <n v="0"/>
    <s v=""/>
    <n v="0"/>
    <s v=""/>
    <s v=""/>
    <m/>
  </r>
  <r>
    <s v="see 1-0775b"/>
    <s v="6262‐9020"/>
    <x v="2"/>
    <s v="Private"/>
    <x v="0"/>
    <m/>
    <m/>
    <s v="6262‐9020"/>
    <m/>
    <s v="Yes"/>
    <m/>
    <x v="0"/>
    <m/>
    <m/>
    <m/>
    <m/>
    <s v="Indian Brook"/>
    <s v="Malletts Bay Direct Drainage"/>
    <x v="0"/>
    <x v="0"/>
    <s v="Wet pond/ Created Wetland"/>
    <n v="3.77"/>
    <s v="Total Pervious"/>
    <m/>
    <m/>
    <m/>
    <m/>
    <n v="1.2200000000000002"/>
    <n v="40772.160000000003"/>
    <m/>
    <n v="3.1248899999999997"/>
    <n v="2"/>
    <s v=""/>
    <s v=""/>
    <n v="0.63"/>
    <n v="1.9686807"/>
    <m/>
    <m/>
    <m/>
    <n v="1"/>
    <n v="1.9686807"/>
    <m/>
    <m/>
    <m/>
    <m/>
    <m/>
    <m/>
    <m/>
    <m/>
    <m/>
    <m/>
    <s v=""/>
    <n v="0"/>
    <s v=""/>
    <n v="0"/>
    <s v=""/>
    <s v=""/>
    <m/>
  </r>
  <r>
    <s v="see 1-0775c"/>
    <s v="6262‐9020"/>
    <x v="3"/>
    <s v="Private"/>
    <x v="0"/>
    <m/>
    <m/>
    <s v="6262‐9020"/>
    <m/>
    <s v="Yes"/>
    <m/>
    <x v="0"/>
    <m/>
    <m/>
    <m/>
    <m/>
    <s v="Indian Brook"/>
    <s v="Malletts Bay Direct Drainage"/>
    <x v="0"/>
    <x v="0"/>
    <s v="Wet pond/ Created Wetland"/>
    <n v="11.85"/>
    <s v="Total Pervious"/>
    <m/>
    <m/>
    <m/>
    <m/>
    <n v="10.302999999999999"/>
    <n v="290966"/>
    <m/>
    <n v="9.8998859999999986"/>
    <n v="2"/>
    <s v=""/>
    <s v=""/>
    <n v="0.63"/>
    <n v="6.2369281799999996"/>
    <m/>
    <m/>
    <m/>
    <n v="1"/>
    <n v="6.2369281799999996"/>
    <m/>
    <m/>
    <m/>
    <m/>
    <m/>
    <m/>
    <m/>
    <m/>
    <m/>
    <m/>
    <s v=""/>
    <n v="0"/>
    <s v=""/>
    <n v="0"/>
    <s v=""/>
    <s v=""/>
    <m/>
  </r>
  <r>
    <s v="see 1-1074"/>
    <s v="1‐1074 SN 002"/>
    <x v="4"/>
    <s v="Village"/>
    <x v="1"/>
    <n v="44.499437"/>
    <n v="-73.099537999999995"/>
    <s v="1‐1074"/>
    <m/>
    <s v="Yes"/>
    <n v="247066"/>
    <x v="0"/>
    <m/>
    <d v="2019-10-01T00:00:00"/>
    <d v="2019-10-01T00:00:00"/>
    <s v="No"/>
    <s v="Indian Brook"/>
    <s v="Malletts Bay Direct Drainage"/>
    <x v="0"/>
    <x v="0"/>
    <s v="Gravel Wetland"/>
    <n v="3.75"/>
    <s v="Total Pervious"/>
    <m/>
    <m/>
    <m/>
    <m/>
    <n v="18.77"/>
    <n v="40800"/>
    <m/>
    <n v="3.3189899999999999"/>
    <n v="1.1492135717081842"/>
    <n v="4.0000000000000036E-2"/>
    <n v="0.29842714341636833"/>
    <n v="0.62193708573665474"/>
    <n v="2.0642029681890994"/>
    <m/>
    <s v="No"/>
    <m/>
    <n v="1"/>
    <n v="2.0642029681890994"/>
    <m/>
    <m/>
    <m/>
    <m/>
    <m/>
    <m/>
    <m/>
    <m/>
    <m/>
    <m/>
    <s v=""/>
    <n v="0"/>
    <s v=""/>
    <n v="0"/>
    <s v=""/>
    <s v=""/>
    <m/>
  </r>
  <r>
    <s v="1-1186 Woodlands"/>
    <s v="1‐1186"/>
    <x v="5"/>
    <s v="Private"/>
    <x v="0"/>
    <m/>
    <m/>
    <s v="1‐1186"/>
    <m/>
    <s v="Yes"/>
    <m/>
    <x v="0"/>
    <n v="2020"/>
    <d v="2020-10-31T00:00:00"/>
    <m/>
    <m/>
    <s v="Indian Brook"/>
    <s v="Malletts Bay Direct Drainage"/>
    <x v="0"/>
    <x v="0"/>
    <s v="Infiltration Chambers"/>
    <n v="4.0409600000000001"/>
    <s v="Total Pervious"/>
    <m/>
    <m/>
    <m/>
    <m/>
    <n v="28.759039999999999"/>
    <n v="38811.96"/>
    <s v="0.52 in/hr"/>
    <n v="3.6789004799999998"/>
    <n v="0.92741111643700047"/>
    <n v="4.9999999999999933E-2"/>
    <n v="0.63705558218500224"/>
    <n v="0.92185277910925012"/>
    <n v="3.3914046315543542"/>
    <m/>
    <s v="No"/>
    <m/>
    <n v="1"/>
    <n v="3.3914046315543542"/>
    <m/>
    <m/>
    <m/>
    <m/>
    <m/>
    <m/>
    <m/>
    <m/>
    <m/>
    <m/>
    <s v=""/>
    <n v="0"/>
    <s v=""/>
    <n v="0"/>
    <s v=""/>
    <s v=""/>
    <m/>
  </r>
  <r>
    <s v="1-1319 LDS (p1)"/>
    <s v="1‐1319_p1_South"/>
    <x v="6"/>
    <s v="Private"/>
    <x v="0"/>
    <m/>
    <m/>
    <s v="1‐1319"/>
    <m/>
    <s v="Yes"/>
    <m/>
    <x v="1"/>
    <n v="2022"/>
    <m/>
    <m/>
    <m/>
    <s v="Indian Brook"/>
    <s v="Malletts Bay Direct Drainage"/>
    <x v="0"/>
    <x v="0"/>
    <s v="Sand filter (w/ underdrain)"/>
    <n v="1.83"/>
    <s v="Total Pervious"/>
    <m/>
    <m/>
    <m/>
    <m/>
    <n v="0.67"/>
    <n v="13285.78"/>
    <m/>
    <n v="1.51779"/>
    <n v="1.7043875960304933"/>
    <n v="5.0000000000000044E-2"/>
    <n v="0.40877519206098656"/>
    <n v="0.60043875960304927"/>
    <n v="0.91133994493791215"/>
    <m/>
    <s v="No"/>
    <m/>
    <n v="1"/>
    <n v="0.91133994493791215"/>
    <m/>
    <m/>
    <m/>
    <m/>
    <m/>
    <m/>
    <m/>
    <m/>
    <m/>
    <m/>
    <s v=""/>
    <n v="0"/>
    <s v=""/>
    <n v="0"/>
    <s v=""/>
    <s v=""/>
    <m/>
  </r>
  <r>
    <s v="1-1319 LDS (p2)"/>
    <s v="1‐1319_p2_North"/>
    <x v="7"/>
    <s v="Private"/>
    <x v="0"/>
    <m/>
    <m/>
    <s v="1‐1319"/>
    <m/>
    <s v="Yes"/>
    <m/>
    <x v="1"/>
    <n v="2022"/>
    <m/>
    <m/>
    <m/>
    <s v="Indian Brook"/>
    <s v="Malletts Bay Direct Drainage"/>
    <x v="0"/>
    <x v="1"/>
    <s v="Underground Detention"/>
    <n v="10.35"/>
    <s v="Total Pervious"/>
    <m/>
    <m/>
    <m/>
    <m/>
    <n v="15.55"/>
    <n v="74400.479999999996"/>
    <m/>
    <n v="8.7253499999999988"/>
    <n v="1.2864741059790727"/>
    <n v="1.0000000000000009E-2"/>
    <n v="0.57294821195814549"/>
    <n v="0.12572948211958146"/>
    <n v="1.0970337368120899"/>
    <m/>
    <s v="No"/>
    <m/>
    <n v="1"/>
    <n v="1.0970337368120899"/>
    <m/>
    <m/>
    <m/>
    <m/>
    <m/>
    <m/>
    <m/>
    <m/>
    <m/>
    <m/>
    <s v=""/>
    <n v="0"/>
    <s v=""/>
    <n v="0"/>
    <s v=""/>
    <s v=""/>
    <m/>
  </r>
  <r>
    <s v="1081"/>
    <s v="1081"/>
    <x v="8"/>
    <s v="Town"/>
    <x v="0"/>
    <m/>
    <m/>
    <m/>
    <m/>
    <s v="Yes"/>
    <m/>
    <x v="0"/>
    <m/>
    <m/>
    <m/>
    <m/>
    <s v="Indian Brook"/>
    <s v="Malletts Bay Direct Drainage"/>
    <x v="0"/>
    <x v="1"/>
    <s v="Extended Dry Detention Pond"/>
    <m/>
    <s v="Total Pervious"/>
    <m/>
    <m/>
    <m/>
    <m/>
    <m/>
    <m/>
    <m/>
    <n v="0"/>
    <s v=""/>
    <s v=""/>
    <s v=""/>
    <s v=""/>
    <s v=""/>
    <m/>
    <m/>
    <m/>
    <n v="1"/>
    <s v=""/>
    <m/>
    <m/>
    <m/>
    <m/>
    <m/>
    <m/>
    <m/>
    <m/>
    <m/>
    <m/>
    <s v=""/>
    <s v=""/>
    <s v=""/>
    <s v=""/>
    <s v=""/>
    <s v=""/>
    <m/>
  </r>
  <r>
    <s v="2-0289 "/>
    <s v="2‐0289"/>
    <x v="9"/>
    <s v="Private"/>
    <x v="1"/>
    <m/>
    <m/>
    <s v="2‐0289"/>
    <m/>
    <s v="No"/>
    <m/>
    <x v="1"/>
    <n v="2020"/>
    <m/>
    <m/>
    <m/>
    <s v="Indian Brook"/>
    <s v="Malletts Bay Direct Drainage"/>
    <x v="0"/>
    <x v="0"/>
    <s v="Extended Dry Detention Pond"/>
    <n v="14.400327000000001"/>
    <s v="Total Pervious"/>
    <m/>
    <m/>
    <m/>
    <m/>
    <n v="33.809673000000004"/>
    <n v="161433.35999999999"/>
    <m/>
    <n v="12.285985851"/>
    <n v="1.5395474637780082"/>
    <n v="1.0000000000000009E-2"/>
    <n v="7.9094927556016437E-2"/>
    <n v="0.13079094927556018"/>
    <n v="1.6068957522383909"/>
    <m/>
    <m/>
    <m/>
    <n v="1"/>
    <n v="1.6068957522383909"/>
    <m/>
    <m/>
    <m/>
    <m/>
    <m/>
    <m/>
    <m/>
    <m/>
    <m/>
    <m/>
    <s v=""/>
    <n v="0"/>
    <s v=""/>
    <n v="0"/>
    <s v=""/>
    <s v=""/>
    <m/>
  </r>
  <r>
    <s v="2-0317/2-0952"/>
    <s v="2-0317/2-0952"/>
    <x v="10"/>
    <s v="Private"/>
    <x v="1"/>
    <n v="44.492621"/>
    <n v="-73.097318000000001"/>
    <s v="2-0317/2-0952"/>
    <m/>
    <s v="Yes"/>
    <n v="308903.67999999999"/>
    <x v="0"/>
    <m/>
    <d v="2020-11-05T00:00:00"/>
    <d v="2020-11-05T00:00:00"/>
    <s v="No"/>
    <s v="Indian Brook"/>
    <s v="Malletts Bay Direct Drainage"/>
    <x v="0"/>
    <x v="0"/>
    <s v="Gravel Wetland"/>
    <n v="11.39"/>
    <s v="Total Pervious"/>
    <m/>
    <m/>
    <m/>
    <m/>
    <n v="6.28"/>
    <n v="70153"/>
    <m/>
    <n v="9.4721100000000007"/>
    <n v="1.3969096276118234"/>
    <n v="4.0000000000000036E-2"/>
    <n v="0.79381925522364671"/>
    <n v="0.64175277020894583"/>
    <n v="6.0787528322238584"/>
    <m/>
    <m/>
    <m/>
    <n v="1"/>
    <n v="6.0787528322238584"/>
    <m/>
    <m/>
    <m/>
    <m/>
    <m/>
    <m/>
    <m/>
    <m/>
    <m/>
    <m/>
    <s v=""/>
    <n v="0"/>
    <s v=""/>
    <n v="0"/>
    <s v=""/>
    <s v=""/>
    <m/>
  </r>
  <r>
    <s v="5864-INDS"/>
    <s v="5864‐INDS"/>
    <x v="11"/>
    <s v="Private"/>
    <x v="0"/>
    <m/>
    <m/>
    <s v="5864‐INDS.A"/>
    <m/>
    <s v="No"/>
    <m/>
    <x v="0"/>
    <m/>
    <m/>
    <m/>
    <m/>
    <s v="Indian Brook"/>
    <s v="Malletts Bay Direct Drainage"/>
    <x v="0"/>
    <x v="1"/>
    <s v="Wet Swale"/>
    <n v="0.75006399999999995"/>
    <s v="Total Pervious"/>
    <m/>
    <m/>
    <m/>
    <m/>
    <n v="2.869936"/>
    <n v="7143.84"/>
    <m/>
    <n v="0.65324203199999986"/>
    <n v="1.1671156123037325"/>
    <s v=""/>
    <n v="0.33423122460746502"/>
    <s v=""/>
    <s v=""/>
    <n v="0.26129681279999994"/>
    <m/>
    <m/>
    <n v="1"/>
    <n v="0.26129681279999994"/>
    <m/>
    <m/>
    <m/>
    <m/>
    <m/>
    <m/>
    <m/>
    <m/>
    <m/>
    <m/>
    <s v=""/>
    <n v="0"/>
    <s v=""/>
    <n v="0"/>
    <s v=""/>
    <s v=""/>
    <m/>
  </r>
  <r>
    <s v="4989-INDO 5 Corners N."/>
    <s v="4989‐INDO"/>
    <x v="12"/>
    <s v="Essex School D"/>
    <x v="1"/>
    <m/>
    <m/>
    <s v="4989‐INDO.R"/>
    <m/>
    <s v="Yes"/>
    <m/>
    <x v="0"/>
    <m/>
    <m/>
    <m/>
    <m/>
    <s v="Indian Brook"/>
    <s v="Malletts Bay Direct Drainage"/>
    <x v="0"/>
    <x v="0"/>
    <s v="Underground Detention"/>
    <n v="13.891233"/>
    <s v="Total Pervious"/>
    <m/>
    <m/>
    <m/>
    <m/>
    <n v="16.998767000000001"/>
    <n v="11891.880000000001"/>
    <m/>
    <n v="11.664252428999999"/>
    <n v="0.2182966103986245"/>
    <n v="2.0000000000000004E-2"/>
    <n v="9.1483051993122427E-2"/>
    <n v="6.1829661039862448E-2"/>
    <n v="0.72119677396846216"/>
    <m/>
    <m/>
    <m/>
    <n v="1"/>
    <n v="0.72119677396846216"/>
    <m/>
    <m/>
    <m/>
    <m/>
    <m/>
    <m/>
    <m/>
    <m/>
    <m/>
    <m/>
    <s v=""/>
    <n v="0"/>
    <s v=""/>
    <n v="0"/>
    <s v=""/>
    <s v=""/>
    <m/>
  </r>
  <r>
    <s v="Countryside Dr.-1"/>
    <s v="2‐0155"/>
    <x v="13"/>
    <s v="ROW"/>
    <x v="1"/>
    <m/>
    <m/>
    <s v="2‐0155"/>
    <m/>
    <s v="Yes"/>
    <m/>
    <x v="2"/>
    <m/>
    <m/>
    <m/>
    <m/>
    <s v="Indian Brook"/>
    <s v="Malletts Bay Direct Drainage"/>
    <x v="0"/>
    <x v="0"/>
    <s v="Infiltration Chambers"/>
    <n v="1.946"/>
    <s v="Total Pervious"/>
    <m/>
    <m/>
    <m/>
    <m/>
    <n v="3.3040000000000003"/>
    <n v="4791.6000000000004"/>
    <s v="0.17 in/hr"/>
    <n v="1.6450979999999997"/>
    <n v="0.53810664644947515"/>
    <n v="0.16000000000000003"/>
    <n v="0.69053323224737573"/>
    <n v="0.68048531715958005"/>
    <n v="1.1194650342885906"/>
    <m/>
    <m/>
    <m/>
    <n v="1"/>
    <n v="1.1194650342885906"/>
    <m/>
    <m/>
    <m/>
    <m/>
    <m/>
    <m/>
    <m/>
    <m/>
    <m/>
    <m/>
    <s v=""/>
    <n v="0"/>
    <s v=""/>
    <n v="0"/>
    <s v=""/>
    <s v=""/>
    <m/>
  </r>
  <r>
    <s v="Grove St."/>
    <s v="2‐0187"/>
    <x v="14"/>
    <s v="ROW"/>
    <x v="1"/>
    <m/>
    <m/>
    <s v="2‐0187"/>
    <m/>
    <s v="Yes"/>
    <m/>
    <x v="2"/>
    <m/>
    <m/>
    <m/>
    <m/>
    <s v="Indian Brook"/>
    <s v="Malletts Bay Direct Drainage"/>
    <x v="0"/>
    <x v="0"/>
    <s v="Infiltration Chambers"/>
    <n v="8.7142649999999993"/>
    <s v="Total Pervious"/>
    <m/>
    <m/>
    <m/>
    <m/>
    <n v="14.679734999999999"/>
    <n v="2047.32"/>
    <s v="8.27 in/hr"/>
    <n v="7.3654254449999987"/>
    <n v="6.2326093252613582E-2"/>
    <n v="0.5"/>
    <n v="0.62326093252613579"/>
    <n v="0.3116304662630679"/>
    <n v="2.2952909656512142"/>
    <m/>
    <m/>
    <m/>
    <n v="1"/>
    <n v="2.2952909656512142"/>
    <m/>
    <m/>
    <m/>
    <m/>
    <m/>
    <m/>
    <m/>
    <m/>
    <m/>
    <m/>
    <s v=""/>
    <n v="0"/>
    <s v=""/>
    <n v="0"/>
    <s v=""/>
    <s v=""/>
    <m/>
  </r>
  <r>
    <s v="1-1143 (Racquet's Edge drywell 2)"/>
    <s v="1‐1143"/>
    <x v="15"/>
    <s v="Private"/>
    <x v="0"/>
    <m/>
    <m/>
    <s v="1‐1143"/>
    <m/>
    <s v="Yes"/>
    <m/>
    <x v="0"/>
    <m/>
    <s v="pre-2002"/>
    <m/>
    <m/>
    <s v="Sunderland Brook"/>
    <s v="Winooski River"/>
    <x v="1"/>
    <x v="1"/>
    <s v="Infiltration Trench"/>
    <n v="0.74098419999999998"/>
    <s v="Total Pervious"/>
    <m/>
    <m/>
    <m/>
    <m/>
    <n v="7.3015799999999964E-2"/>
    <n v="784.08"/>
    <s v="8.27 in/hr"/>
    <n v="0.8445460011999999"/>
    <n v="0.28908058481588572"/>
    <n v="0.18999999999999995"/>
    <n v="0.44540292407942855"/>
    <n v="0.83462655557509136"/>
    <n v="0.70488052000627288"/>
    <m/>
    <m/>
    <m/>
    <n v="1"/>
    <n v="0.70488052000627288"/>
    <m/>
    <m/>
    <m/>
    <m/>
    <m/>
    <m/>
    <m/>
    <m/>
    <m/>
    <m/>
    <s v=""/>
    <n v="0"/>
    <s v=""/>
    <n v="0"/>
    <s v=""/>
    <s v=""/>
    <m/>
  </r>
  <r>
    <s v="1-1143 (Racquet's Edge drywell 1)"/>
    <s v="1‐1143"/>
    <x v="16"/>
    <s v="Private"/>
    <x v="0"/>
    <m/>
    <m/>
    <s v="1‐1143"/>
    <m/>
    <s v="Yes"/>
    <m/>
    <x v="0"/>
    <m/>
    <s v="pre-2002"/>
    <m/>
    <m/>
    <s v="Sunderland Brook"/>
    <s v="Winooski River"/>
    <x v="1"/>
    <x v="1"/>
    <s v="Infiltration Trench"/>
    <n v="0.2432"/>
    <s v="Total Pervious"/>
    <m/>
    <m/>
    <m/>
    <m/>
    <n v="0.39680000000000004"/>
    <n v="479.11"/>
    <s v="2.41 in/hr"/>
    <n v="0.36331520000000006"/>
    <n v="0.44843828521903356"/>
    <n v="9.9999999999999978E-2"/>
    <n v="0.24219142609516775"/>
    <n v="0.83421914260951679"/>
    <n v="0.30308449464100518"/>
    <m/>
    <m/>
    <m/>
    <n v="1"/>
    <n v="0.30308449464100518"/>
    <m/>
    <m/>
    <m/>
    <m/>
    <m/>
    <m/>
    <m/>
    <m/>
    <m/>
    <m/>
    <s v=""/>
    <n v="0"/>
    <s v=""/>
    <n v="0"/>
    <s v=""/>
    <s v=""/>
    <m/>
  </r>
  <r>
    <s v="O126"/>
    <s v="Outfall 126"/>
    <x v="17"/>
    <s v="Town (easement)"/>
    <x v="0"/>
    <m/>
    <m/>
    <m/>
    <m/>
    <s v="Yes"/>
    <n v="613000"/>
    <x v="2"/>
    <s v="2027?"/>
    <m/>
    <m/>
    <m/>
    <s v="Sunderland Brook"/>
    <s v="Winooski River"/>
    <x v="1"/>
    <x v="0"/>
    <s v="Infiltration Chambers"/>
    <n v="3.4359999999999999"/>
    <s v="By HSG"/>
    <n v="2.1500000000000004"/>
    <m/>
    <m/>
    <m/>
    <n v="2.15"/>
    <n v="12239.270999999999"/>
    <s v="8.27 in/hr"/>
    <n v="3.8810120000000001"/>
    <n v="0.96437294638158322"/>
    <n v="1.0000000000000009E-2"/>
    <n v="0.82186473190791609"/>
    <n v="0.99821864731907917"/>
    <n v="3.8740985488691142"/>
    <m/>
    <m/>
    <m/>
    <n v="1"/>
    <n v="3.8740985488691142"/>
    <m/>
    <m/>
    <m/>
    <m/>
    <m/>
    <m/>
    <m/>
    <m/>
    <m/>
    <m/>
    <s v=""/>
    <n v="0"/>
    <s v=""/>
    <n v="0"/>
    <s v=""/>
    <s v=""/>
    <m/>
  </r>
  <r>
    <s v="O199"/>
    <s v="Outfall 199"/>
    <x v="18"/>
    <s v="Town"/>
    <x v="0"/>
    <m/>
    <m/>
    <m/>
    <m/>
    <s v="Yes"/>
    <n v="38600"/>
    <x v="3"/>
    <s v="not planned but keep on list"/>
    <m/>
    <m/>
    <m/>
    <s v="Sunderland Brook"/>
    <s v="Winooski River"/>
    <x v="1"/>
    <x v="0"/>
    <s v="Infiltration Trench"/>
    <n v="5.18"/>
    <s v="Total Pervious"/>
    <m/>
    <m/>
    <m/>
    <m/>
    <n v="3"/>
    <n v="5009"/>
    <s v="8.27 in/hr"/>
    <n v="6.4790600000000005"/>
    <n v="0.25518900440647196"/>
    <n v="0.18999999999999995"/>
    <n v="0.27594502203235977"/>
    <n v="0.80242955418614836"/>
    <n v="5.1989892273453071"/>
    <m/>
    <m/>
    <m/>
    <n v="1"/>
    <n v="5.1989892273453071"/>
    <m/>
    <m/>
    <m/>
    <m/>
    <m/>
    <m/>
    <m/>
    <m/>
    <m/>
    <m/>
    <s v=""/>
    <n v="0"/>
    <s v=""/>
    <n v="0"/>
    <s v=""/>
    <s v=""/>
    <m/>
  </r>
  <r>
    <m/>
    <s v="1‐0896,_x000a_1‐0552,_x000a_1‐1463"/>
    <x v="19"/>
    <s v="ROW"/>
    <x v="0"/>
    <m/>
    <m/>
    <s v="1‐0896,_x000a_1‐0552,_x000a_1‐1463"/>
    <m/>
    <s v="Yes"/>
    <n v="852200"/>
    <x v="2"/>
    <s v="2032?"/>
    <m/>
    <m/>
    <m/>
    <s v="Sunderland Brook"/>
    <s v="Winooski River"/>
    <x v="1"/>
    <x v="0"/>
    <s v="Infiltration Chambers"/>
    <n v="15.96"/>
    <s v="Total Pervious"/>
    <m/>
    <m/>
    <m/>
    <m/>
    <n v="16.25"/>
    <n v="61028"/>
    <s v="2.41 in/hr"/>
    <n v="21.58107"/>
    <n v="0.84760511979864128"/>
    <n v="2.0000000000000018E-2"/>
    <n v="0.23802559899320624"/>
    <n v="0.96476051197986412"/>
    <n v="20.820564142273287"/>
    <m/>
    <m/>
    <m/>
    <n v="1"/>
    <n v="20.820564142273287"/>
    <m/>
    <m/>
    <m/>
    <m/>
    <m/>
    <m/>
    <m/>
    <m/>
    <m/>
    <m/>
    <s v=""/>
    <n v="0"/>
    <s v=""/>
    <n v="0"/>
    <s v=""/>
    <s v=""/>
    <m/>
  </r>
  <r>
    <s v="5944-INDO.R"/>
    <s v="5944-INDO.R"/>
    <x v="20"/>
    <s v="Town"/>
    <x v="0"/>
    <m/>
    <m/>
    <s v="5944-INDO.R"/>
    <m/>
    <s v="Yes"/>
    <m/>
    <x v="0"/>
    <m/>
    <d v="2011-12-31T00:00:00"/>
    <m/>
    <m/>
    <s v="Sunderland Brook"/>
    <s v="Winooski River"/>
    <x v="1"/>
    <x v="0"/>
    <s v="Wet pond/ Created Wetland"/>
    <n v="9.5"/>
    <s v="Total Pervious"/>
    <m/>
    <m/>
    <m/>
    <m/>
    <n v="4"/>
    <n v="170450.28"/>
    <m/>
    <n v="11.535499999999999"/>
    <n v="2"/>
    <s v=""/>
    <s v=""/>
    <n v="0.63"/>
    <n v="7.267364999999999"/>
    <m/>
    <s v="No"/>
    <m/>
    <n v="1"/>
    <n v="7.267364999999999"/>
    <m/>
    <m/>
    <m/>
    <m/>
    <m/>
    <m/>
    <m/>
    <m/>
    <m/>
    <m/>
    <s v=""/>
    <n v="0"/>
    <s v=""/>
    <n v="0"/>
    <s v=""/>
    <s v=""/>
    <m/>
  </r>
  <r>
    <m/>
    <s v="TAP TA 18(2) Acorn 3"/>
    <x v="21"/>
    <s v="Village"/>
    <x v="1"/>
    <m/>
    <m/>
    <m/>
    <m/>
    <s v="Yes"/>
    <m/>
    <x v="0"/>
    <n v="2021"/>
    <d v="2022-12-31T00:00:00"/>
    <m/>
    <m/>
    <s v="n/a"/>
    <s v="Winooski River"/>
    <x v="1"/>
    <x v="0"/>
    <s v="Sand filter (w/ underdrain)"/>
    <n v="0.70399999999999996"/>
    <s v="Total Pervious"/>
    <m/>
    <m/>
    <m/>
    <m/>
    <n v="1.1020000000000001"/>
    <n v="3613"/>
    <m/>
    <n v="1.0409299999999999"/>
    <n v="0.98659966744405703"/>
    <n v="5.0000000000000044E-2"/>
    <n v="0.93299833722028513"/>
    <n v="0.52664991686101426"/>
    <n v="0.54820569795813556"/>
    <n v="0.93683699999999992"/>
    <s v="No"/>
    <m/>
    <n v="1"/>
    <n v="0.93683699999999992"/>
    <m/>
    <m/>
    <m/>
    <m/>
    <m/>
    <m/>
    <m/>
    <m/>
    <m/>
    <m/>
    <s v=""/>
    <n v="0"/>
    <s v=""/>
    <n v="0"/>
    <s v=""/>
    <s v=""/>
    <m/>
  </r>
  <r>
    <m/>
    <s v="TAP TA 18(2) Acorn 3 impervious removal"/>
    <x v="22"/>
    <s v="Village"/>
    <x v="1"/>
    <m/>
    <m/>
    <m/>
    <m/>
    <s v="Yes"/>
    <m/>
    <x v="0"/>
    <n v="2021"/>
    <d v="2022-12-31T00:00:00"/>
    <m/>
    <m/>
    <s v="n/a"/>
    <s v="Winooski River"/>
    <x v="1"/>
    <x v="0"/>
    <s v="Impervious removal"/>
    <n v="1.042"/>
    <s v="By HSG"/>
    <n v="0"/>
    <n v="0.76400000000000001"/>
    <n v="0"/>
    <n v="0"/>
    <m/>
    <m/>
    <s v="0.52 in/hr"/>
    <n v="1.3579700000000001"/>
    <n v="0"/>
    <s v=""/>
    <n v="0"/>
    <s v=""/>
    <s v=""/>
    <n v="0.03"/>
    <s v="No"/>
    <m/>
    <n v="1"/>
    <n v="0.03"/>
    <m/>
    <m/>
    <m/>
    <m/>
    <m/>
    <m/>
    <m/>
    <m/>
    <m/>
    <m/>
    <s v=""/>
    <n v="0"/>
    <s v=""/>
    <n v="0"/>
    <s v=""/>
    <s v=""/>
    <m/>
  </r>
  <r>
    <m/>
    <s v="TAP TA 18(2) Oakwood 1"/>
    <x v="23"/>
    <s v="Town"/>
    <x v="0"/>
    <m/>
    <m/>
    <m/>
    <m/>
    <s v="Yes"/>
    <m/>
    <x v="0"/>
    <n v="2021"/>
    <d v="2022-12-31T00:00:00"/>
    <m/>
    <m/>
    <s v="n/a"/>
    <s v="Winooski River"/>
    <x v="1"/>
    <x v="0"/>
    <s v="Sand filter (w/ underdrain)"/>
    <n v="2.133"/>
    <s v="By HSG"/>
    <n v="0"/>
    <n v="0"/>
    <n v="3.681"/>
    <n v="0"/>
    <m/>
    <n v="11500"/>
    <m/>
    <n v="3.4279649999999999"/>
    <n v="1.1483881120987298"/>
    <n v="4.9999999999999933E-2"/>
    <n v="0.29677622419745964"/>
    <n v="0.54483881120987299"/>
    <n v="1.8676883754690523"/>
    <n v="3.0851685"/>
    <s v="No"/>
    <m/>
    <n v="1"/>
    <n v="3.0851685"/>
    <m/>
    <m/>
    <m/>
    <m/>
    <m/>
    <m/>
    <m/>
    <m/>
    <m/>
    <m/>
    <s v=""/>
    <n v="0"/>
    <s v=""/>
    <n v="0"/>
    <s v=""/>
    <s v=""/>
    <m/>
  </r>
  <r>
    <m/>
    <s v="TAP TA 18(2) Oakwood 1 impervious removal"/>
    <x v="24"/>
    <s v="Town"/>
    <x v="0"/>
    <m/>
    <m/>
    <m/>
    <m/>
    <s v="Yes"/>
    <m/>
    <x v="0"/>
    <n v="2021"/>
    <d v="2022-12-31T00:00:00"/>
    <m/>
    <m/>
    <s v="n/a"/>
    <s v="Winooski River"/>
    <x v="1"/>
    <x v="0"/>
    <s v="Impervious removal"/>
    <n v="2.0329999999999999"/>
    <s v="By HSG"/>
    <n v="0"/>
    <n v="0"/>
    <n v="3.581"/>
    <n v="0"/>
    <m/>
    <m/>
    <s v="0.27 in /hr"/>
    <n v="3.287865"/>
    <n v="0"/>
    <s v=""/>
    <n v="0"/>
    <s v=""/>
    <s v=""/>
    <n v="0.14000000000000001"/>
    <s v="No"/>
    <m/>
    <n v="1"/>
    <n v="0.14000000000000001"/>
    <m/>
    <m/>
    <m/>
    <m/>
    <m/>
    <m/>
    <m/>
    <m/>
    <m/>
    <m/>
    <s v=""/>
    <n v="0"/>
    <s v=""/>
    <n v="0"/>
    <s v=""/>
    <s v=""/>
    <m/>
  </r>
  <r>
    <m/>
    <s v="TAP TA 18(2) Sage 1"/>
    <x v="25"/>
    <s v="Town"/>
    <x v="0"/>
    <m/>
    <m/>
    <m/>
    <m/>
    <s v="Yes"/>
    <m/>
    <x v="0"/>
    <n v="2021"/>
    <d v="2022-12-31T00:00:00"/>
    <m/>
    <m/>
    <s v="n/a"/>
    <s v="Winooski River"/>
    <x v="1"/>
    <x v="0"/>
    <s v="Infiltration Trench"/>
    <n v="0.80400000000000005"/>
    <s v="By HSG"/>
    <n v="1.2549999999999999"/>
    <n v="0"/>
    <n v="0"/>
    <n v="0"/>
    <m/>
    <n v="6096"/>
    <s v="8.27 in/hr"/>
    <n v="0.9231680000000001"/>
    <n v="1.8926597784227577"/>
    <n v="0"/>
    <n v="0.78531955684551535"/>
    <n v="1"/>
    <n v="0.9231680000000001"/>
    <m/>
    <s v="No"/>
    <m/>
    <n v="1"/>
    <n v="0.9231680000000001"/>
    <m/>
    <m/>
    <m/>
    <m/>
    <m/>
    <m/>
    <m/>
    <m/>
    <m/>
    <m/>
    <s v=""/>
    <n v="0"/>
    <s v=""/>
    <n v="0"/>
    <s v=""/>
    <s v=""/>
    <m/>
  </r>
  <r>
    <m/>
    <s v="TAP TA 18(2) Sage 1 impervious removal"/>
    <x v="26"/>
    <s v="Town"/>
    <x v="0"/>
    <m/>
    <m/>
    <m/>
    <m/>
    <s v="Yes"/>
    <m/>
    <x v="0"/>
    <n v="2021"/>
    <d v="2022-12-31T00:00:00"/>
    <m/>
    <m/>
    <s v="n/a"/>
    <s v="Winooski River"/>
    <x v="1"/>
    <x v="0"/>
    <s v="Impervious removal"/>
    <n v="0.73899999999999999"/>
    <s v="By HSG"/>
    <n v="1.32"/>
    <n v="0"/>
    <n v="0"/>
    <n v="0"/>
    <m/>
    <m/>
    <m/>
    <n v="0.85186299999999993"/>
    <n v="0"/>
    <s v=""/>
    <n v="0"/>
    <s v=""/>
    <s v=""/>
    <n v="0.06"/>
    <s v="No"/>
    <m/>
    <n v="1"/>
    <n v="0.06"/>
    <m/>
    <m/>
    <m/>
    <m/>
    <m/>
    <m/>
    <m/>
    <m/>
    <m/>
    <m/>
    <s v=""/>
    <n v="0"/>
    <s v=""/>
    <n v="0"/>
    <s v=""/>
    <s v=""/>
    <m/>
  </r>
  <r>
    <s v="3790-9010.R1 "/>
    <s v="3790-9010.R1 "/>
    <x v="27"/>
    <s v="Town"/>
    <x v="0"/>
    <m/>
    <m/>
    <s v="3790-9010.R1 "/>
    <m/>
    <s v="Yes"/>
    <m/>
    <x v="0"/>
    <m/>
    <d v="2002-09-30T00:00:00"/>
    <m/>
    <m/>
    <s v="n/a"/>
    <s v="Winooski River"/>
    <x v="1"/>
    <x v="1"/>
    <s v="Infiltration Trench"/>
    <n v="0.91"/>
    <s v="Total Pervious"/>
    <m/>
    <m/>
    <m/>
    <m/>
    <n v="0.82"/>
    <n v="5217"/>
    <s v="2.41 in/hr"/>
    <n v="1.2058899999999999"/>
    <n v="1.2105208012149675"/>
    <n v="2.0000000000000018E-2"/>
    <n v="0.42104160242993505"/>
    <n v="0.98842083204859865"/>
    <n v="1.1919267971590846"/>
    <m/>
    <s v="No"/>
    <m/>
    <n v="0.38"/>
    <n v="0.45293218292045212"/>
    <m/>
    <m/>
    <m/>
    <m/>
    <m/>
    <m/>
    <m/>
    <m/>
    <m/>
    <m/>
    <s v=""/>
    <n v="0"/>
    <s v=""/>
    <n v="0"/>
    <s v=""/>
    <s v=""/>
    <m/>
  </r>
  <r>
    <s v="3790-9010.R1 "/>
    <s v="3790-9010.R1 "/>
    <x v="28"/>
    <s v="Town"/>
    <x v="0"/>
    <m/>
    <m/>
    <s v="3790-9010.R1 "/>
    <m/>
    <s v="Yes"/>
    <m/>
    <x v="0"/>
    <m/>
    <d v="2002-09-30T00:00:00"/>
    <m/>
    <m/>
    <s v="n/a"/>
    <s v="Winooski River"/>
    <x v="1"/>
    <x v="1"/>
    <s v="Infiltration Trench"/>
    <n v="0.9"/>
    <s v="Total Pervious"/>
    <m/>
    <m/>
    <m/>
    <m/>
    <n v="0.85"/>
    <n v="5217"/>
    <s v="2.41 in/hr"/>
    <n v="1.2016500000000001"/>
    <n v="1.2104028134311162"/>
    <n v="2.0000000000000018E-2"/>
    <n v="0.42080562686223244"/>
    <n v="0.9884161125372446"/>
    <n v="1.18773022163038"/>
    <m/>
    <s v="No"/>
    <m/>
    <n v="0.38"/>
    <n v="0.45133748421954439"/>
    <m/>
    <m/>
    <m/>
    <m/>
    <m/>
    <m/>
    <m/>
    <m/>
    <m/>
    <m/>
    <s v=""/>
    <n v="0"/>
    <s v=""/>
    <n v="0"/>
    <s v=""/>
    <s v=""/>
    <m/>
  </r>
  <r>
    <s v="3790-9010.R1 "/>
    <s v="3790-9010.R1 "/>
    <x v="29"/>
    <s v="Town"/>
    <x v="0"/>
    <m/>
    <m/>
    <s v="3790-9010.R1 "/>
    <m/>
    <s v="Yes"/>
    <m/>
    <x v="0"/>
    <m/>
    <d v="2002-09-30T00:00:00"/>
    <m/>
    <m/>
    <s v="n/a"/>
    <s v="Winooski River"/>
    <x v="1"/>
    <x v="1"/>
    <s v="Infiltration Trench"/>
    <n v="1.08"/>
    <s v="Total Pervious"/>
    <m/>
    <m/>
    <m/>
    <m/>
    <n v="1.1599999999999999"/>
    <n v="6827"/>
    <s v="2.41 in/hr"/>
    <n v="1.4743200000000001"/>
    <n v="1.2631092096839496"/>
    <n v="2.0000000000000018E-2"/>
    <n v="0.52621841936789915"/>
    <n v="0.99052436838735802"/>
    <n v="1.4603498868008498"/>
    <m/>
    <s v="No"/>
    <m/>
    <n v="0.41"/>
    <n v="0.59874345358834835"/>
    <m/>
    <m/>
    <m/>
    <m/>
    <m/>
    <m/>
    <m/>
    <m/>
    <m/>
    <m/>
    <s v=""/>
    <n v="0"/>
    <s v=""/>
    <n v="0"/>
    <s v=""/>
    <s v=""/>
    <m/>
  </r>
  <r>
    <s v="3790-9010.R1 "/>
    <s v="3790-9010.R1 "/>
    <x v="30"/>
    <s v="Town"/>
    <x v="0"/>
    <m/>
    <m/>
    <s v="3790-9010.R1 "/>
    <m/>
    <s v="Yes"/>
    <m/>
    <x v="0"/>
    <m/>
    <d v="2002-09-30T00:00:00"/>
    <m/>
    <m/>
    <s v="n/a"/>
    <s v="Winooski River"/>
    <x v="1"/>
    <x v="1"/>
    <s v="Infiltration Trench"/>
    <n v="0.86"/>
    <s v="Total Pervious"/>
    <m/>
    <m/>
    <m/>
    <m/>
    <n v="1.1399999999999999"/>
    <n v="3477"/>
    <s v="2.41 in/hr"/>
    <n v="1.2239599999999999"/>
    <n v="0.84653234511389619"/>
    <n v="2.0000000000000018E-2"/>
    <n v="0.23266172556948078"/>
    <n v="0.96465323451138962"/>
    <n v="1.1806969729125605"/>
    <m/>
    <s v="No"/>
    <m/>
    <n v="0.26"/>
    <n v="0.30698121295726571"/>
    <m/>
    <m/>
    <m/>
    <m/>
    <m/>
    <m/>
    <m/>
    <m/>
    <m/>
    <m/>
    <s v=""/>
    <n v="0"/>
    <s v=""/>
    <n v="0"/>
    <s v=""/>
    <s v=""/>
    <m/>
  </r>
  <r>
    <s v="3790-9010.R1 "/>
    <s v="3790-9010.R1 "/>
    <x v="31"/>
    <s v="Town"/>
    <x v="0"/>
    <m/>
    <m/>
    <s v="3790-9010.R1 "/>
    <m/>
    <s v="Yes"/>
    <m/>
    <x v="0"/>
    <m/>
    <d v="2002-09-30T00:00:00"/>
    <m/>
    <m/>
    <s v="n/a"/>
    <s v="Winooski River"/>
    <x v="1"/>
    <x v="1"/>
    <s v="Infiltration Trench"/>
    <n v="0.75"/>
    <s v="Total Pervious"/>
    <m/>
    <m/>
    <m/>
    <m/>
    <n v="6.63"/>
    <n v="9012"/>
    <s v="2.41 in/hr"/>
    <n v="2.3692799999999998"/>
    <n v="0.97126946339851916"/>
    <n v="2.0000000000000018E-2"/>
    <n v="0.85634731699259581"/>
    <n v="0.97712694633985187"/>
    <n v="2.3150873314240838"/>
    <m/>
    <s v="No"/>
    <m/>
    <n v="1"/>
    <n v="2.3150873314240838"/>
    <m/>
    <m/>
    <m/>
    <m/>
    <m/>
    <m/>
    <m/>
    <m/>
    <m/>
    <m/>
    <s v=""/>
    <n v="0"/>
    <s v=""/>
    <n v="0"/>
    <s v=""/>
    <s v=""/>
    <m/>
  </r>
  <r>
    <s v="3790-9010.R1 "/>
    <s v="3790-9010.R1 "/>
    <x v="32"/>
    <s v="Town"/>
    <x v="0"/>
    <m/>
    <m/>
    <s v="3790-9010.R1 "/>
    <m/>
    <s v="Yes"/>
    <m/>
    <x v="0"/>
    <m/>
    <d v="2002-09-30T00:00:00"/>
    <m/>
    <m/>
    <s v="n/a"/>
    <s v="Winooski River"/>
    <x v="1"/>
    <x v="1"/>
    <s v="Infiltration Trench"/>
    <n v="1.18"/>
    <s v="Total Pervious"/>
    <m/>
    <m/>
    <m/>
    <m/>
    <n v="1.24"/>
    <n v="7847"/>
    <s v="2.41 in/hr"/>
    <n v="1.6045"/>
    <n v="1.3207113557530437"/>
    <n v="2.0000000000000018E-2"/>
    <n v="0.64142271150608732"/>
    <n v="0.99282845423012178"/>
    <n v="1.5929932548122305"/>
    <m/>
    <s v="No"/>
    <m/>
    <n v="0.26"/>
    <n v="0.41417824625117994"/>
    <m/>
    <m/>
    <m/>
    <m/>
    <m/>
    <m/>
    <m/>
    <m/>
    <m/>
    <m/>
    <s v=""/>
    <n v="0"/>
    <s v=""/>
    <n v="0"/>
    <s v=""/>
    <s v=""/>
    <m/>
  </r>
  <r>
    <s v="3790-9010.R1 "/>
    <s v="3790-9010.R1 "/>
    <x v="33"/>
    <s v="Town"/>
    <x v="0"/>
    <m/>
    <m/>
    <s v="3790-9010.R1 "/>
    <m/>
    <s v="Yes"/>
    <m/>
    <x v="0"/>
    <m/>
    <d v="2002-09-30T00:00:00"/>
    <m/>
    <m/>
    <s v="n/a"/>
    <s v="Winooski River"/>
    <x v="1"/>
    <x v="1"/>
    <s v="Infiltration Trench"/>
    <n v="1.32"/>
    <s v="Total Pervious"/>
    <m/>
    <m/>
    <m/>
    <m/>
    <n v="1.82"/>
    <n v="10127"/>
    <s v="2.41 in/hr"/>
    <n v="1.89486"/>
    <n v="1.3807841839811335"/>
    <n v="2.0000000000000018E-2"/>
    <n v="0.7615683679622669"/>
    <n v="0.99523136735924533"/>
    <n v="1.8858241087543397"/>
    <m/>
    <s v="No"/>
    <m/>
    <n v="0.3"/>
    <n v="0.56574723262630189"/>
    <m/>
    <m/>
    <m/>
    <m/>
    <m/>
    <m/>
    <m/>
    <m/>
    <m/>
    <m/>
    <s v=""/>
    <n v="0"/>
    <s v=""/>
    <n v="0"/>
    <s v=""/>
    <s v=""/>
    <m/>
  </r>
  <r>
    <s v="3790-9010.R1 "/>
    <s v="3790-9010.R1 "/>
    <x v="34"/>
    <s v="Town"/>
    <x v="0"/>
    <m/>
    <m/>
    <s v="3790-9010.R1 "/>
    <m/>
    <s v="Yes"/>
    <m/>
    <x v="0"/>
    <m/>
    <d v="2002-09-30T00:00:00"/>
    <m/>
    <m/>
    <s v="n/a"/>
    <s v="Winooski River"/>
    <x v="1"/>
    <x v="1"/>
    <s v="Infiltration Trench"/>
    <n v="1.1599999999999999"/>
    <s v="Total Pervious"/>
    <m/>
    <m/>
    <m/>
    <m/>
    <n v="1.93"/>
    <n v="6947"/>
    <s v="2.41 in/hr"/>
    <n v="1.7415499999999999"/>
    <n v="1.0933143426696652"/>
    <n v="2.0000000000000018E-2"/>
    <n v="0.18662868533933041"/>
    <n v="0.98373257370678657"/>
    <n v="1.7132194637390541"/>
    <m/>
    <s v="No"/>
    <m/>
    <n v="0.25"/>
    <n v="0.42830486593476352"/>
    <m/>
    <m/>
    <m/>
    <m/>
    <m/>
    <m/>
    <m/>
    <m/>
    <m/>
    <m/>
    <s v=""/>
    <n v="0"/>
    <s v=""/>
    <n v="0"/>
    <s v=""/>
    <s v=""/>
    <m/>
  </r>
  <r>
    <s v="3790-9010.R1 "/>
    <s v="3790-9010.R1 "/>
    <x v="35"/>
    <s v="Town"/>
    <x v="0"/>
    <m/>
    <m/>
    <s v="3790-9010.R1 "/>
    <m/>
    <s v="Yes"/>
    <m/>
    <x v="0"/>
    <m/>
    <d v="2002-09-30T00:00:00"/>
    <m/>
    <m/>
    <s v="n/a"/>
    <s v="Winooski River"/>
    <x v="1"/>
    <x v="1"/>
    <s v="Infiltration Trench"/>
    <n v="1.1100000000000001"/>
    <s v="Total Pervious"/>
    <m/>
    <m/>
    <m/>
    <m/>
    <n v="2.09"/>
    <n v="9398"/>
    <s v="2.41 in/hr"/>
    <n v="1.7226600000000001"/>
    <n v="1.3606215078638175"/>
    <n v="2.0000000000000018E-2"/>
    <n v="0.72124301572763505"/>
    <n v="0.99442486031455268"/>
    <n v="1.7130559298694674"/>
    <m/>
    <s v="No"/>
    <m/>
    <n v="0.4"/>
    <n v="0.68522237194778701"/>
    <m/>
    <m/>
    <m/>
    <m/>
    <m/>
    <m/>
    <m/>
    <m/>
    <m/>
    <m/>
    <s v=""/>
    <n v="0"/>
    <s v=""/>
    <n v="0"/>
    <s v=""/>
    <s v=""/>
    <m/>
  </r>
  <r>
    <s v="3790-9010.R1 "/>
    <s v="3790-9010.R1 "/>
    <x v="36"/>
    <s v="Town"/>
    <x v="0"/>
    <m/>
    <m/>
    <s v="3790-9010.R1 "/>
    <m/>
    <s v="Yes"/>
    <m/>
    <x v="0"/>
    <m/>
    <d v="2002-09-30T00:00:00"/>
    <m/>
    <m/>
    <s v="n/a"/>
    <s v="Winooski River"/>
    <x v="1"/>
    <x v="1"/>
    <s v="Infiltration Trench"/>
    <n v="1.33"/>
    <s v="Total Pervious"/>
    <m/>
    <m/>
    <m/>
    <m/>
    <n v="1.92"/>
    <n v="10067"/>
    <s v="2.41 in/hr"/>
    <n v="1.9291300000000002"/>
    <n v="1.3507680335131722"/>
    <n v="2.0000000000000018E-2"/>
    <n v="0.70153606702634441"/>
    <n v="0.99403072134052683"/>
    <n v="1.9176144854596509"/>
    <m/>
    <s v="No"/>
    <m/>
    <n v="0.28000000000000003"/>
    <n v="0.5369320559287023"/>
    <m/>
    <m/>
    <m/>
    <m/>
    <m/>
    <m/>
    <m/>
    <m/>
    <m/>
    <m/>
    <s v=""/>
    <n v="0"/>
    <s v=""/>
    <n v="0"/>
    <s v=""/>
    <s v=""/>
    <m/>
  </r>
  <r>
    <s v="3081-9010.R"/>
    <s v="3081-9010.R"/>
    <x v="37"/>
    <s v="Town"/>
    <x v="0"/>
    <m/>
    <m/>
    <s v="3081-9010.R"/>
    <m/>
    <s v="Yes"/>
    <m/>
    <x v="0"/>
    <m/>
    <d v="2010-11-03T00:00:00"/>
    <m/>
    <m/>
    <s v="n/a"/>
    <s v="Winooski River"/>
    <x v="1"/>
    <x v="0"/>
    <s v="Infiltration Chambers"/>
    <n v="6"/>
    <s v="Total Pervious"/>
    <m/>
    <m/>
    <m/>
    <m/>
    <n v="7.3"/>
    <n v="1520"/>
    <s v="2.41 in/hr"/>
    <n v="8.388300000000001"/>
    <n v="6.7783668200072728E-2"/>
    <n v="0.33"/>
    <n v="0.67783668200072722"/>
    <n v="0.22368610506024"/>
    <n v="1.8763461550768115"/>
    <m/>
    <s v="No"/>
    <m/>
    <n v="1"/>
    <n v="1.8763461550768115"/>
    <m/>
    <m/>
    <m/>
    <m/>
    <m/>
    <m/>
    <m/>
    <m/>
    <m/>
    <m/>
    <s v=""/>
    <n v="0"/>
    <s v=""/>
    <n v="0"/>
    <s v=""/>
    <s v=""/>
    <m/>
  </r>
  <r>
    <s v="3201-9010.R"/>
    <s v="3201-9010.R"/>
    <x v="38"/>
    <s v="Town"/>
    <x v="0"/>
    <m/>
    <m/>
    <s v="3201-9010.R"/>
    <m/>
    <s v="Yes"/>
    <m/>
    <x v="0"/>
    <m/>
    <d v="2002-09-30T00:00:00"/>
    <m/>
    <m/>
    <s v="n/a"/>
    <s v="Winooski River"/>
    <x v="1"/>
    <x v="1"/>
    <s v="Wet pond/ Created Wetland"/>
    <n v="2"/>
    <s v="Total Pervious"/>
    <m/>
    <m/>
    <m/>
    <m/>
    <n v="17.3"/>
    <n v="45000"/>
    <m/>
    <n v="6.2302999999999997"/>
    <n v="1.4095498654315068"/>
    <n v="4.9999999999999933E-2"/>
    <n v="0.81909973086301369"/>
    <n v="0.57095498654315069"/>
    <n v="3.5572208526597917"/>
    <m/>
    <s v="No"/>
    <m/>
    <n v="1"/>
    <n v="3.5572208526597917"/>
    <m/>
    <m/>
    <m/>
    <m/>
    <m/>
    <m/>
    <m/>
    <m/>
    <m/>
    <m/>
    <s v=""/>
    <n v="0"/>
    <s v=""/>
    <n v="0"/>
    <s v=""/>
    <s v=""/>
    <m/>
  </r>
  <r>
    <s v="3324-9010.R"/>
    <s v="3324-9010.R"/>
    <x v="39"/>
    <s v="Town"/>
    <x v="0"/>
    <m/>
    <m/>
    <s v="3324-9010.R"/>
    <m/>
    <s v="Yes"/>
    <m/>
    <x v="0"/>
    <m/>
    <d v="1994-01-25T00:00:00"/>
    <m/>
    <m/>
    <s v="n/a"/>
    <s v="Winooski River"/>
    <x v="1"/>
    <x v="1"/>
    <s v="Grass Channel"/>
    <n v="0.5"/>
    <s v="Total Pervious"/>
    <m/>
    <m/>
    <m/>
    <m/>
    <n v="8.5"/>
    <m/>
    <m/>
    <n v="2.5220000000000002"/>
    <n v="0"/>
    <n v="0.02"/>
    <n v="0"/>
    <n v="0"/>
    <n v="0"/>
    <m/>
    <s v="No"/>
    <m/>
    <n v="1"/>
    <n v="0"/>
    <m/>
    <m/>
    <m/>
    <m/>
    <m/>
    <m/>
    <m/>
    <m/>
    <m/>
    <m/>
    <s v=""/>
    <n v="0"/>
    <s v=""/>
    <n v="0"/>
    <s v=""/>
    <s v=""/>
    <m/>
  </r>
  <r>
    <s v="3324-9010.R"/>
    <s v="3324-9010.R"/>
    <x v="40"/>
    <s v="Town"/>
    <x v="0"/>
    <m/>
    <m/>
    <s v="3324-9010.R"/>
    <m/>
    <s v="Yes"/>
    <m/>
    <x v="0"/>
    <m/>
    <d v="1993-06-01T00:00:00"/>
    <m/>
    <m/>
    <s v="n/a"/>
    <s v="Winooski River"/>
    <x v="1"/>
    <x v="1"/>
    <s v="Wet pond/ Created Wetland"/>
    <n v="1.85"/>
    <s v="Total Pervious"/>
    <m/>
    <m/>
    <m/>
    <m/>
    <n v="6"/>
    <n v="60309"/>
    <m/>
    <n v="3.4524500000000002"/>
    <n v="2"/>
    <s v=""/>
    <s v=""/>
    <n v="0.63"/>
    <n v="2.1750435000000001"/>
    <m/>
    <s v="No"/>
    <m/>
    <n v="1"/>
    <n v="2.1750435000000001"/>
    <m/>
    <m/>
    <m/>
    <m/>
    <m/>
    <m/>
    <m/>
    <m/>
    <m/>
    <m/>
    <s v=""/>
    <n v="0"/>
    <s v=""/>
    <n v="0"/>
    <s v=""/>
    <s v=""/>
    <m/>
  </r>
  <r>
    <s v="3324-9010.R"/>
    <s v="3324-9010.R"/>
    <x v="41"/>
    <s v="Town"/>
    <x v="0"/>
    <m/>
    <m/>
    <s v="3324-9010.R"/>
    <m/>
    <s v="Yes"/>
    <m/>
    <x v="0"/>
    <m/>
    <d v="1994-01-25T00:00:00"/>
    <m/>
    <m/>
    <s v="n/a"/>
    <s v="Winooski River"/>
    <x v="1"/>
    <x v="1"/>
    <s v="Grass Channel"/>
    <n v="1"/>
    <s v="Total Pervious"/>
    <m/>
    <m/>
    <m/>
    <m/>
    <n v="15"/>
    <m/>
    <m/>
    <n v="4.5820000000000007"/>
    <n v="0"/>
    <n v="0.02"/>
    <n v="0"/>
    <n v="0"/>
    <n v="0"/>
    <m/>
    <s v="No"/>
    <m/>
    <n v="1"/>
    <n v="0"/>
    <m/>
    <m/>
    <m/>
    <m/>
    <m/>
    <m/>
    <m/>
    <m/>
    <m/>
    <m/>
    <s v=""/>
    <n v="0"/>
    <s v=""/>
    <n v="0"/>
    <s v=""/>
    <s v=""/>
    <m/>
  </r>
  <r>
    <s v="3324-9010.R"/>
    <s v="3324-9010.R"/>
    <x v="42"/>
    <s v="Town"/>
    <x v="0"/>
    <m/>
    <m/>
    <s v="3324-9010.R"/>
    <m/>
    <s v="Yes"/>
    <m/>
    <x v="0"/>
    <m/>
    <d v="1994-01-25T00:00:00"/>
    <m/>
    <m/>
    <s v="n/a"/>
    <s v="Winooski River"/>
    <x v="1"/>
    <x v="1"/>
    <s v="Grass Channel"/>
    <n v="1.5"/>
    <s v="Total Pervious"/>
    <m/>
    <m/>
    <m/>
    <m/>
    <n v="13.5"/>
    <m/>
    <m/>
    <n v="4.7940000000000005"/>
    <n v="0"/>
    <n v="0.02"/>
    <n v="0"/>
    <n v="0"/>
    <n v="0"/>
    <m/>
    <s v="No"/>
    <m/>
    <n v="1"/>
    <n v="0"/>
    <m/>
    <m/>
    <m/>
    <m/>
    <m/>
    <m/>
    <m/>
    <m/>
    <m/>
    <m/>
    <s v=""/>
    <n v="0"/>
    <s v=""/>
    <n v="0"/>
    <s v=""/>
    <s v=""/>
    <m/>
  </r>
  <r>
    <s v="3324-9010.R"/>
    <s v="3324-9010.R"/>
    <x v="43"/>
    <s v="Town"/>
    <x v="0"/>
    <m/>
    <m/>
    <s v="3324-9010.R"/>
    <m/>
    <s v="Yes"/>
    <m/>
    <x v="0"/>
    <m/>
    <d v="1994-01-25T00:00:00"/>
    <m/>
    <m/>
    <s v="n/a"/>
    <s v="Winooski River"/>
    <x v="1"/>
    <x v="1"/>
    <s v="Grass Channel"/>
    <n v="0.5"/>
    <s v="Total Pervious"/>
    <m/>
    <m/>
    <m/>
    <m/>
    <n v="3.5"/>
    <m/>
    <m/>
    <n v="1.367"/>
    <n v="0"/>
    <n v="0.02"/>
    <n v="0"/>
    <n v="0"/>
    <n v="0"/>
    <m/>
    <s v="No"/>
    <m/>
    <n v="1"/>
    <n v="0"/>
    <m/>
    <m/>
    <m/>
    <m/>
    <m/>
    <m/>
    <m/>
    <m/>
    <m/>
    <m/>
    <s v=""/>
    <n v="0"/>
    <s v=""/>
    <n v="0"/>
    <s v=""/>
    <s v=""/>
    <m/>
  </r>
  <r>
    <s v="3324-9010.R"/>
    <s v="3324-9010.R"/>
    <x v="44"/>
    <s v="Town"/>
    <x v="0"/>
    <m/>
    <m/>
    <s v="3324-9010.R"/>
    <m/>
    <s v="Yes"/>
    <m/>
    <x v="0"/>
    <m/>
    <d v="1994-01-25T00:00:00"/>
    <m/>
    <m/>
    <s v="n/a"/>
    <s v="Winooski River"/>
    <x v="1"/>
    <x v="1"/>
    <s v="Grass Channel"/>
    <n v="0.25"/>
    <s v="Total Pervious"/>
    <m/>
    <m/>
    <m/>
    <m/>
    <n v="7"/>
    <m/>
    <m/>
    <n v="1.89625"/>
    <n v="0"/>
    <n v="0.02"/>
    <n v="0"/>
    <n v="0"/>
    <n v="0"/>
    <m/>
    <s v="No"/>
    <m/>
    <n v="1"/>
    <n v="0"/>
    <m/>
    <m/>
    <m/>
    <m/>
    <m/>
    <m/>
    <m/>
    <m/>
    <m/>
    <m/>
    <s v=""/>
    <n v="0"/>
    <s v=""/>
    <n v="0"/>
    <s v=""/>
    <s v=""/>
    <m/>
  </r>
  <r>
    <s v="3324-9010.R"/>
    <s v="3324-9010.R"/>
    <x v="45"/>
    <s v="Town"/>
    <x v="0"/>
    <m/>
    <m/>
    <s v="3324-9010.R"/>
    <m/>
    <s v="Yes"/>
    <m/>
    <x v="0"/>
    <m/>
    <d v="1994-01-25T00:00:00"/>
    <m/>
    <m/>
    <s v="n/a"/>
    <s v="Winooski River"/>
    <x v="1"/>
    <x v="1"/>
    <s v="Grass Channel"/>
    <n v="1.25"/>
    <s v="Total Pervious"/>
    <m/>
    <m/>
    <m/>
    <m/>
    <n v="14"/>
    <m/>
    <m/>
    <n v="4.6302500000000002"/>
    <n v="0"/>
    <n v="0.02"/>
    <n v="0"/>
    <n v="0"/>
    <n v="0"/>
    <m/>
    <s v="No"/>
    <m/>
    <n v="1"/>
    <n v="0"/>
    <m/>
    <m/>
    <m/>
    <m/>
    <m/>
    <m/>
    <m/>
    <m/>
    <m/>
    <m/>
    <s v=""/>
    <n v="0"/>
    <s v=""/>
    <n v="0"/>
    <s v=""/>
    <s v=""/>
    <m/>
  </r>
  <r>
    <s v="3574-9010.R"/>
    <s v="3574-9010.R"/>
    <x v="46"/>
    <s v="Town"/>
    <x v="0"/>
    <m/>
    <m/>
    <s v="3574-9010.R"/>
    <m/>
    <s v="Yes"/>
    <m/>
    <x v="0"/>
    <m/>
    <d v="2007-11-01T00:00:00"/>
    <m/>
    <m/>
    <s v="n/a"/>
    <s v="Winooski River"/>
    <x v="1"/>
    <x v="1"/>
    <s v="Infiltration Chambers"/>
    <m/>
    <s v="Total Pervious"/>
    <m/>
    <m/>
    <m/>
    <m/>
    <m/>
    <m/>
    <m/>
    <n v="0"/>
    <s v=""/>
    <s v=""/>
    <s v=""/>
    <s v=""/>
    <s v=""/>
    <m/>
    <s v="No"/>
    <m/>
    <n v="1"/>
    <s v=""/>
    <m/>
    <m/>
    <m/>
    <m/>
    <m/>
    <m/>
    <m/>
    <m/>
    <m/>
    <m/>
    <s v=""/>
    <s v=""/>
    <s v=""/>
    <s v=""/>
    <s v=""/>
    <s v=""/>
    <m/>
  </r>
  <r>
    <s v="3574-9010.R"/>
    <s v="3574-9010.R"/>
    <x v="47"/>
    <s v="Town"/>
    <x v="0"/>
    <m/>
    <m/>
    <s v="3574-9010.R"/>
    <m/>
    <s v="Yes"/>
    <m/>
    <x v="0"/>
    <m/>
    <d v="2007-11-01T00:00:00"/>
    <m/>
    <m/>
    <s v="n/a"/>
    <s v="Winooski River"/>
    <x v="1"/>
    <x v="1"/>
    <s v="Infiltration Chambers"/>
    <m/>
    <s v="Total Pervious"/>
    <m/>
    <m/>
    <m/>
    <m/>
    <m/>
    <m/>
    <m/>
    <n v="0"/>
    <s v=""/>
    <s v=""/>
    <s v=""/>
    <s v=""/>
    <s v=""/>
    <m/>
    <s v="No"/>
    <m/>
    <n v="1"/>
    <s v=""/>
    <m/>
    <m/>
    <m/>
    <m/>
    <m/>
    <m/>
    <m/>
    <m/>
    <m/>
    <m/>
    <s v=""/>
    <s v=""/>
    <s v=""/>
    <s v=""/>
    <s v=""/>
    <s v=""/>
    <m/>
  </r>
  <r>
    <s v="3574-9010.R"/>
    <s v="3574-9010.R"/>
    <x v="48"/>
    <s v="Town"/>
    <x v="0"/>
    <m/>
    <m/>
    <s v="3574-9010.R"/>
    <m/>
    <s v="Yes"/>
    <m/>
    <x v="0"/>
    <m/>
    <d v="2007-11-01T00:00:00"/>
    <m/>
    <m/>
    <s v="n/a"/>
    <s v="Winooski River"/>
    <x v="1"/>
    <x v="1"/>
    <s v="Infiltration Basin"/>
    <m/>
    <s v="Total Pervious"/>
    <m/>
    <m/>
    <m/>
    <m/>
    <m/>
    <m/>
    <m/>
    <n v="0"/>
    <s v=""/>
    <s v=""/>
    <s v=""/>
    <s v=""/>
    <s v=""/>
    <m/>
    <s v="No"/>
    <m/>
    <n v="1"/>
    <s v=""/>
    <m/>
    <m/>
    <m/>
    <m/>
    <m/>
    <m/>
    <m/>
    <m/>
    <m/>
    <m/>
    <s v=""/>
    <s v=""/>
    <s v=""/>
    <s v=""/>
    <s v=""/>
    <s v=""/>
    <m/>
  </r>
  <r>
    <s v="3575-9010.R"/>
    <s v="3575-9010.R"/>
    <x v="49"/>
    <s v="Town"/>
    <x v="0"/>
    <m/>
    <m/>
    <s v="3575-9010.R"/>
    <m/>
    <s v="Yes"/>
    <m/>
    <x v="0"/>
    <m/>
    <d v="1996-10-15T00:00:00"/>
    <m/>
    <m/>
    <s v="n/a"/>
    <s v="Winooski River"/>
    <x v="1"/>
    <x v="1"/>
    <s v="Extended Dry Detention Pond"/>
    <n v="5.69"/>
    <s v="Total Pervious"/>
    <m/>
    <m/>
    <m/>
    <m/>
    <n v="15.309999999999999"/>
    <n v="20161"/>
    <m/>
    <n v="9.8923400000000008"/>
    <n v="0.65200227606485961"/>
    <n v="2.0000000000000004E-2"/>
    <n v="0.26001138032429805"/>
    <n v="9.5200227606485957E-2"/>
    <n v="0.94175301956074542"/>
    <m/>
    <s v="No"/>
    <m/>
    <n v="1"/>
    <n v="0.94175301956074542"/>
    <m/>
    <m/>
    <m/>
    <m/>
    <m/>
    <m/>
    <m/>
    <m/>
    <m/>
    <m/>
    <s v=""/>
    <n v="0"/>
    <s v=""/>
    <n v="0"/>
    <s v=""/>
    <s v=""/>
    <m/>
  </r>
  <r>
    <s v="3575-9010.R"/>
    <s v="3575-9010.R"/>
    <x v="49"/>
    <s v="Town"/>
    <x v="0"/>
    <m/>
    <m/>
    <s v="3575-9010.R"/>
    <m/>
    <s v="Yes"/>
    <m/>
    <x v="0"/>
    <m/>
    <d v="1996-10-15T00:00:00"/>
    <m/>
    <m/>
    <s v="n/a"/>
    <s v="Winooski River"/>
    <x v="1"/>
    <x v="1"/>
    <s v="Extended Dry Detention Pond"/>
    <n v="1.17"/>
    <s v="Total Pervious"/>
    <m/>
    <m/>
    <m/>
    <m/>
    <n v="19.829999999999998"/>
    <n v="5100"/>
    <m/>
    <n v="5.8876200000000001"/>
    <m/>
    <m/>
    <m/>
    <m/>
    <m/>
    <m/>
    <m/>
    <m/>
    <m/>
    <m/>
    <m/>
    <m/>
    <m/>
    <m/>
    <m/>
    <m/>
    <m/>
    <m/>
    <m/>
    <m/>
    <m/>
    <m/>
    <m/>
    <m/>
    <m/>
    <m/>
    <m/>
  </r>
  <r>
    <s v="3575-9010.R"/>
    <s v="3575-9010.R"/>
    <x v="50"/>
    <s v="Town"/>
    <x v="0"/>
    <m/>
    <m/>
    <s v="3575-9010.R"/>
    <m/>
    <s v="Yes"/>
    <m/>
    <x v="0"/>
    <m/>
    <d v="1996-10-15T00:00:00"/>
    <m/>
    <m/>
    <s v="Indian Brook"/>
    <s v="Malletts Bay Direct Drainage"/>
    <x v="0"/>
    <x v="1"/>
    <s v="Extended Dry Detention Pond"/>
    <n v="3.26"/>
    <s v="Total Pervious"/>
    <m/>
    <m/>
    <m/>
    <m/>
    <n v="9.74"/>
    <n v="11709"/>
    <m/>
    <n v="2.8063799999999999"/>
    <n v="0.6412118378161471"/>
    <n v="2.0000000000000004E-2"/>
    <n v="0.20605918908073556"/>
    <n v="9.4121183781614715E-2"/>
    <n v="0.26413980774104789"/>
    <m/>
    <s v="No"/>
    <m/>
    <n v="1"/>
    <n v="0.26413980774104789"/>
    <m/>
    <m/>
    <m/>
    <m/>
    <m/>
    <m/>
    <m/>
    <m/>
    <m/>
    <m/>
    <s v=""/>
    <n v="0"/>
    <s v=""/>
    <n v="0"/>
    <s v=""/>
    <s v=""/>
    <m/>
  </r>
  <r>
    <s v="3575-9010.R"/>
    <s v="3575-9010.R"/>
    <x v="51"/>
    <s v="Town"/>
    <x v="0"/>
    <m/>
    <m/>
    <s v="3575-9010.R"/>
    <m/>
    <s v="Yes"/>
    <m/>
    <x v="0"/>
    <m/>
    <d v="1996-10-15T00:00:00"/>
    <m/>
    <m/>
    <s v="Indian Brook"/>
    <s v="Malletts Bay Direct Drainage"/>
    <x v="0"/>
    <x v="1"/>
    <s v="Extended Dry Detention Pond"/>
    <n v="2.4300000000000002"/>
    <s v="Total Pervious"/>
    <m/>
    <m/>
    <m/>
    <m/>
    <n v="5.57"/>
    <n v="8452"/>
    <m/>
    <n v="2.07159"/>
    <n v="0.66831447005332001"/>
    <n v="2.0000000000000004E-2"/>
    <n v="0.34157235026660004"/>
    <n v="9.6831447005332E-2"/>
    <n v="0.20059505730177571"/>
    <m/>
    <s v="No"/>
    <m/>
    <n v="1"/>
    <n v="0.20059505730177571"/>
    <m/>
    <m/>
    <m/>
    <m/>
    <m/>
    <m/>
    <m/>
    <m/>
    <m/>
    <m/>
    <s v=""/>
    <n v="0"/>
    <s v=""/>
    <n v="0"/>
    <s v=""/>
    <s v=""/>
    <m/>
  </r>
  <r>
    <s v="3577-9010.R"/>
    <s v="3577-9010.R"/>
    <x v="52"/>
    <s v="Town"/>
    <x v="0"/>
    <m/>
    <m/>
    <s v="3577-9010.R"/>
    <m/>
    <s v="Yes"/>
    <m/>
    <x v="0"/>
    <m/>
    <s v="1988/1989"/>
    <m/>
    <m/>
    <s v="n/a"/>
    <s v="Winooski River"/>
    <x v="1"/>
    <x v="1"/>
    <s v="Infiltration Trench"/>
    <n v="2.2000000000000002"/>
    <s v="Total Pervious"/>
    <m/>
    <m/>
    <m/>
    <m/>
    <n v="10.4"/>
    <m/>
    <m/>
    <n v="4.8597999999999999"/>
    <n v="0"/>
    <s v=""/>
    <n v="0"/>
    <s v=""/>
    <s v=""/>
    <m/>
    <s v="No"/>
    <m/>
    <n v="1"/>
    <s v=""/>
    <m/>
    <m/>
    <m/>
    <m/>
    <m/>
    <m/>
    <m/>
    <m/>
    <m/>
    <m/>
    <s v=""/>
    <n v="0"/>
    <s v=""/>
    <n v="0"/>
    <s v=""/>
    <s v=""/>
    <m/>
  </r>
  <r>
    <s v="3577-9010.R"/>
    <s v="3577-9010.R"/>
    <x v="53"/>
    <s v="Town"/>
    <x v="0"/>
    <m/>
    <m/>
    <s v="3577-9010.R"/>
    <m/>
    <s v="Yes"/>
    <m/>
    <x v="0"/>
    <m/>
    <s v="1988/1989"/>
    <m/>
    <m/>
    <s v="n/a"/>
    <s v="Winooski River"/>
    <x v="1"/>
    <x v="1"/>
    <s v="Infiltration Trench"/>
    <n v="2"/>
    <s v="Total Pervious"/>
    <m/>
    <m/>
    <m/>
    <m/>
    <n v="6.7"/>
    <m/>
    <m/>
    <n v="3.7816999999999998"/>
    <n v="0"/>
    <s v=""/>
    <n v="0"/>
    <s v=""/>
    <s v=""/>
    <m/>
    <s v="No"/>
    <m/>
    <n v="1"/>
    <s v=""/>
    <m/>
    <m/>
    <m/>
    <m/>
    <m/>
    <m/>
    <m/>
    <m/>
    <m/>
    <m/>
    <s v=""/>
    <n v="0"/>
    <s v=""/>
    <n v="0"/>
    <s v=""/>
    <s v=""/>
    <m/>
  </r>
  <r>
    <s v="3577-9010.R"/>
    <s v="3577-9010.R"/>
    <x v="54"/>
    <s v="Town"/>
    <x v="0"/>
    <m/>
    <m/>
    <s v="3577-9010.R"/>
    <m/>
    <s v="Yes"/>
    <m/>
    <x v="0"/>
    <m/>
    <s v="1988/1989"/>
    <m/>
    <m/>
    <s v="Indian Brook"/>
    <s v="Malletts Bay Direct Drainage"/>
    <x v="0"/>
    <x v="1"/>
    <s v="Infiltration Trench"/>
    <n v="2"/>
    <s v="Total Pervious"/>
    <m/>
    <m/>
    <m/>
    <m/>
    <n v="7.2"/>
    <m/>
    <m/>
    <n v="1.7363999999999999"/>
    <n v="0"/>
    <s v=""/>
    <n v="0"/>
    <s v=""/>
    <s v=""/>
    <m/>
    <s v="No"/>
    <m/>
    <n v="1"/>
    <s v=""/>
    <m/>
    <m/>
    <m/>
    <m/>
    <m/>
    <m/>
    <m/>
    <m/>
    <m/>
    <m/>
    <s v=""/>
    <n v="0"/>
    <s v=""/>
    <n v="0"/>
    <s v=""/>
    <s v=""/>
    <m/>
  </r>
  <r>
    <s v="3577-9010.R"/>
    <s v="3577-9010.R"/>
    <x v="55"/>
    <s v="Town"/>
    <x v="0"/>
    <m/>
    <m/>
    <s v="3577-9010.R"/>
    <m/>
    <s v="Yes"/>
    <m/>
    <x v="0"/>
    <m/>
    <s v="1988/1989"/>
    <m/>
    <m/>
    <s v="Indian Brook"/>
    <s v="Malletts Bay Direct Drainage"/>
    <x v="0"/>
    <x v="1"/>
    <s v="Infiltration Trench"/>
    <n v="1.8"/>
    <s v="Total Pervious"/>
    <m/>
    <m/>
    <m/>
    <m/>
    <n v="7.4"/>
    <m/>
    <m/>
    <n v="1.5737999999999999"/>
    <n v="0"/>
    <s v=""/>
    <n v="0"/>
    <s v=""/>
    <s v=""/>
    <m/>
    <s v="No"/>
    <m/>
    <n v="1"/>
    <s v=""/>
    <m/>
    <m/>
    <m/>
    <m/>
    <m/>
    <m/>
    <m/>
    <m/>
    <m/>
    <m/>
    <s v=""/>
    <n v="0"/>
    <s v=""/>
    <n v="0"/>
    <s v=""/>
    <s v=""/>
    <m/>
  </r>
  <r>
    <s v="3578-9010.R"/>
    <s v="3578-9010.R"/>
    <x v="56"/>
    <s v="Town"/>
    <x v="0"/>
    <m/>
    <m/>
    <s v="3578-9010.R"/>
    <m/>
    <s v="Yes"/>
    <m/>
    <x v="0"/>
    <m/>
    <s v="1988?"/>
    <m/>
    <m/>
    <s v="n/a"/>
    <s v="Winooski River"/>
    <x v="1"/>
    <x v="1"/>
    <s v="Extended Dry Detention Pond"/>
    <n v="0.66700000000000004"/>
    <s v="Total Pervious"/>
    <m/>
    <m/>
    <m/>
    <m/>
    <m/>
    <n v="900"/>
    <m/>
    <n v="0.74503900000000001"/>
    <s v=""/>
    <s v=""/>
    <s v=""/>
    <s v=""/>
    <s v=""/>
    <m/>
    <s v="No"/>
    <m/>
    <n v="1"/>
    <s v=""/>
    <m/>
    <m/>
    <m/>
    <m/>
    <m/>
    <m/>
    <m/>
    <m/>
    <m/>
    <m/>
    <s v=""/>
    <n v="0"/>
    <s v=""/>
    <n v="0"/>
    <s v=""/>
    <s v=""/>
    <m/>
  </r>
  <r>
    <s v="3578-9010.R"/>
    <s v="3578-9010.R"/>
    <x v="57"/>
    <s v="Town"/>
    <x v="0"/>
    <m/>
    <m/>
    <s v="3578-9010.R"/>
    <m/>
    <s v="Yes"/>
    <m/>
    <x v="0"/>
    <m/>
    <s v="1988?"/>
    <m/>
    <m/>
    <s v="n/a"/>
    <s v="Winooski River"/>
    <x v="1"/>
    <x v="1"/>
    <m/>
    <m/>
    <s v="Total Pervious"/>
    <m/>
    <m/>
    <m/>
    <m/>
    <m/>
    <m/>
    <m/>
    <n v="0"/>
    <s v=""/>
    <s v=""/>
    <s v=""/>
    <s v=""/>
    <s v=""/>
    <m/>
    <s v="No"/>
    <m/>
    <n v="1"/>
    <s v=""/>
    <m/>
    <m/>
    <m/>
    <m/>
    <m/>
    <m/>
    <m/>
    <m/>
    <m/>
    <m/>
    <s v=""/>
    <s v=""/>
    <s v=""/>
    <s v=""/>
    <s v=""/>
    <s v=""/>
    <m/>
  </r>
  <r>
    <s v="3578-9010.R"/>
    <s v="3578-9010.R"/>
    <x v="58"/>
    <s v="Town"/>
    <x v="0"/>
    <m/>
    <m/>
    <s v="3578-9010.R"/>
    <m/>
    <s v="Yes"/>
    <m/>
    <x v="0"/>
    <m/>
    <s v="1988?"/>
    <m/>
    <m/>
    <s v="n/a"/>
    <s v="Winooski River"/>
    <x v="1"/>
    <x v="1"/>
    <m/>
    <m/>
    <s v="Total Pervious"/>
    <m/>
    <m/>
    <m/>
    <m/>
    <m/>
    <m/>
    <m/>
    <n v="0"/>
    <s v=""/>
    <s v=""/>
    <s v=""/>
    <s v=""/>
    <s v=""/>
    <m/>
    <s v="No"/>
    <m/>
    <n v="1"/>
    <s v=""/>
    <m/>
    <m/>
    <m/>
    <m/>
    <m/>
    <m/>
    <m/>
    <m/>
    <m/>
    <m/>
    <s v=""/>
    <s v=""/>
    <s v=""/>
    <s v=""/>
    <s v=""/>
    <s v=""/>
    <m/>
  </r>
  <r>
    <s v="3578-9010.R"/>
    <s v="3578-9010.R"/>
    <x v="59"/>
    <s v="Town"/>
    <x v="0"/>
    <m/>
    <m/>
    <s v="3578-9010.R"/>
    <m/>
    <s v="Yes"/>
    <m/>
    <x v="0"/>
    <m/>
    <s v="1988?"/>
    <m/>
    <m/>
    <s v="n/a"/>
    <s v="Winooski River"/>
    <x v="1"/>
    <x v="1"/>
    <m/>
    <m/>
    <s v="Total Pervious"/>
    <m/>
    <m/>
    <m/>
    <m/>
    <m/>
    <m/>
    <m/>
    <n v="0"/>
    <s v=""/>
    <s v=""/>
    <s v=""/>
    <s v=""/>
    <s v=""/>
    <m/>
    <s v="No"/>
    <m/>
    <n v="1"/>
    <s v=""/>
    <m/>
    <m/>
    <m/>
    <m/>
    <m/>
    <m/>
    <m/>
    <m/>
    <m/>
    <m/>
    <s v=""/>
    <s v=""/>
    <s v=""/>
    <s v=""/>
    <s v=""/>
    <s v=""/>
    <m/>
  </r>
  <r>
    <s v="3579-9010.R"/>
    <s v="3579-9010.R"/>
    <x v="60"/>
    <s v="Town"/>
    <x v="0"/>
    <m/>
    <m/>
    <s v="3579-9010.R"/>
    <m/>
    <s v="Yes"/>
    <m/>
    <x v="0"/>
    <m/>
    <d v="1994-05-28T00:00:00"/>
    <m/>
    <m/>
    <s v="n/a"/>
    <s v="Winooski River"/>
    <x v="1"/>
    <x v="1"/>
    <s v="Grass Channel"/>
    <n v="9.35"/>
    <s v="Total Pervious"/>
    <m/>
    <m/>
    <m/>
    <m/>
    <n v="74.25"/>
    <m/>
    <m/>
    <n v="27.595700000000001"/>
    <n v="0"/>
    <n v="0.02"/>
    <n v="0"/>
    <n v="0"/>
    <n v="0"/>
    <m/>
    <s v="No"/>
    <m/>
    <n v="1"/>
    <n v="0"/>
    <m/>
    <m/>
    <m/>
    <m/>
    <m/>
    <m/>
    <m/>
    <m/>
    <m/>
    <m/>
    <s v=""/>
    <n v="0"/>
    <s v=""/>
    <n v="0"/>
    <s v=""/>
    <s v=""/>
    <m/>
  </r>
  <r>
    <s v="3579-9010.R"/>
    <s v="3579-9010.R"/>
    <x v="61"/>
    <s v="Town"/>
    <x v="0"/>
    <m/>
    <m/>
    <s v="3579-9010.R"/>
    <m/>
    <s v="Yes"/>
    <m/>
    <x v="0"/>
    <m/>
    <d v="1994-05-28T00:00:00"/>
    <m/>
    <m/>
    <s v="n/a"/>
    <s v="Winooski River"/>
    <x v="1"/>
    <x v="1"/>
    <s v="Grass Channel"/>
    <s v="included above"/>
    <s v="Total Pervious"/>
    <m/>
    <m/>
    <m/>
    <m/>
    <m/>
    <m/>
    <m/>
    <s v=""/>
    <s v=""/>
    <s v=""/>
    <s v=""/>
    <s v=""/>
    <s v=""/>
    <m/>
    <s v="No"/>
    <m/>
    <n v="1"/>
    <s v=""/>
    <m/>
    <m/>
    <m/>
    <m/>
    <m/>
    <m/>
    <m/>
    <m/>
    <m/>
    <m/>
    <s v=""/>
    <s v=""/>
    <s v=""/>
    <s v=""/>
    <s v=""/>
    <s v=""/>
    <m/>
  </r>
  <r>
    <s v="3579-9010.R"/>
    <s v="3579-9010.R"/>
    <x v="62"/>
    <s v="Town"/>
    <x v="0"/>
    <m/>
    <m/>
    <s v="3579-9010.R"/>
    <m/>
    <s v="Yes"/>
    <m/>
    <x v="0"/>
    <m/>
    <d v="1994-05-28T00:00:00"/>
    <m/>
    <m/>
    <s v="n/a"/>
    <s v="Winooski River"/>
    <x v="1"/>
    <x v="1"/>
    <s v="Grass Channel"/>
    <s v="included above"/>
    <s v="Total Pervious"/>
    <m/>
    <m/>
    <m/>
    <m/>
    <m/>
    <m/>
    <m/>
    <s v=""/>
    <s v=""/>
    <s v=""/>
    <s v=""/>
    <s v=""/>
    <s v=""/>
    <m/>
    <s v="No"/>
    <m/>
    <n v="1"/>
    <s v=""/>
    <m/>
    <m/>
    <m/>
    <m/>
    <m/>
    <m/>
    <m/>
    <m/>
    <m/>
    <m/>
    <s v=""/>
    <s v=""/>
    <s v=""/>
    <s v=""/>
    <s v=""/>
    <s v=""/>
    <m/>
  </r>
  <r>
    <s v="3579-9010.R"/>
    <s v="3579-9010.R"/>
    <x v="63"/>
    <s v="Town"/>
    <x v="0"/>
    <m/>
    <m/>
    <s v="3579-9010.R"/>
    <m/>
    <s v="Yes"/>
    <m/>
    <x v="0"/>
    <m/>
    <d v="1994-05-28T00:00:00"/>
    <m/>
    <m/>
    <s v="n/a"/>
    <s v="Winooski River"/>
    <x v="1"/>
    <x v="1"/>
    <s v="Grass Channel"/>
    <s v="included above"/>
    <s v="Total Pervious"/>
    <m/>
    <m/>
    <m/>
    <m/>
    <m/>
    <m/>
    <m/>
    <s v=""/>
    <s v=""/>
    <s v=""/>
    <s v=""/>
    <s v=""/>
    <s v=""/>
    <m/>
    <s v="No"/>
    <m/>
    <n v="1"/>
    <s v=""/>
    <m/>
    <m/>
    <m/>
    <m/>
    <m/>
    <m/>
    <m/>
    <m/>
    <m/>
    <m/>
    <s v=""/>
    <s v=""/>
    <s v=""/>
    <s v=""/>
    <s v=""/>
    <s v=""/>
    <m/>
  </r>
  <r>
    <s v="3585-9010.T"/>
    <s v="3585-9010.T"/>
    <x v="64"/>
    <s v="Town"/>
    <x v="0"/>
    <m/>
    <m/>
    <s v="3585-9010.T"/>
    <m/>
    <s v="Yes"/>
    <m/>
    <x v="0"/>
    <m/>
    <d v="2005-07-01T00:00:00"/>
    <m/>
    <m/>
    <s v="n/a"/>
    <s v="Winooski River"/>
    <x v="1"/>
    <x v="0"/>
    <s v="Dry Swale (w/ underdrain)"/>
    <n v="1.1399999999999999"/>
    <s v="Total Pervious"/>
    <m/>
    <m/>
    <m/>
    <m/>
    <n v="0.85000000000000009"/>
    <n v="12460"/>
    <m/>
    <n v="1.46973"/>
    <n v="2"/>
    <s v=""/>
    <s v=""/>
    <n v="0.63"/>
    <n v="0.92592989999999997"/>
    <m/>
    <s v="No"/>
    <m/>
    <n v="1"/>
    <n v="0.92592989999999997"/>
    <m/>
    <m/>
    <m/>
    <m/>
    <m/>
    <m/>
    <m/>
    <m/>
    <m/>
    <m/>
    <s v=""/>
    <n v="0"/>
    <s v=""/>
    <n v="0"/>
    <s v=""/>
    <s v=""/>
    <m/>
  </r>
  <r>
    <s v="4367-9010.R"/>
    <s v="4367-9010.R"/>
    <x v="65"/>
    <s v="Town"/>
    <x v="0"/>
    <m/>
    <m/>
    <s v="4367-9010.R"/>
    <m/>
    <s v="Yes"/>
    <m/>
    <x v="0"/>
    <m/>
    <s v="2002?"/>
    <m/>
    <m/>
    <s v="n/a"/>
    <s v="Winooski River"/>
    <x v="1"/>
    <x v="1"/>
    <s v="Extended Dry Detention Pond"/>
    <n v="3.03"/>
    <s v="Total Pervious"/>
    <m/>
    <m/>
    <m/>
    <m/>
    <n v="3.91"/>
    <n v="8010"/>
    <m/>
    <n v="4.2877200000000002"/>
    <n v="0.59739792362392452"/>
    <n v="9.999999999999995E-3"/>
    <n v="0.98698961811962271"/>
    <n v="8.9869896181196229E-2"/>
    <n v="0.38533695125403872"/>
    <m/>
    <s v="No"/>
    <m/>
    <n v="1"/>
    <n v="0.38533695125403872"/>
    <m/>
    <m/>
    <m/>
    <m/>
    <m/>
    <m/>
    <m/>
    <m/>
    <m/>
    <m/>
    <s v=""/>
    <n v="0"/>
    <s v=""/>
    <n v="0"/>
    <s v=""/>
    <s v=""/>
    <m/>
  </r>
  <r>
    <s v="4367-9010.R"/>
    <s v="4367-9010.R"/>
    <x v="66"/>
    <s v="Town"/>
    <x v="0"/>
    <m/>
    <m/>
    <s v="4367-9010.R"/>
    <m/>
    <s v="Yes"/>
    <m/>
    <x v="0"/>
    <m/>
    <s v="2002?"/>
    <m/>
    <m/>
    <s v="n/a"/>
    <s v="Winooski River"/>
    <x v="1"/>
    <x v="1"/>
    <s v="Grass Channel"/>
    <n v="1.1599999999999999"/>
    <s v="Total Pervious"/>
    <m/>
    <m/>
    <m/>
    <m/>
    <n v="9.44"/>
    <m/>
    <m/>
    <n v="3.4763599999999997"/>
    <n v="0"/>
    <n v="0.02"/>
    <n v="0"/>
    <n v="0"/>
    <n v="0"/>
    <m/>
    <s v="No"/>
    <m/>
    <n v="1"/>
    <n v="0"/>
    <m/>
    <m/>
    <m/>
    <m/>
    <m/>
    <m/>
    <m/>
    <m/>
    <m/>
    <m/>
    <s v=""/>
    <n v="0"/>
    <s v=""/>
    <n v="0"/>
    <s v=""/>
    <s v=""/>
    <m/>
  </r>
  <r>
    <s v="6006-9020.1"/>
    <s v="6006-9020.1"/>
    <x v="67"/>
    <s v="Village"/>
    <x v="1"/>
    <m/>
    <m/>
    <s v="6006-9020.1"/>
    <m/>
    <s v="Yes"/>
    <m/>
    <x v="0"/>
    <m/>
    <d v="2016-05-26T00:00:00"/>
    <m/>
    <m/>
    <s v="Indian Brook"/>
    <s v="Malletts Bay Direct Drainage"/>
    <x v="0"/>
    <x v="0"/>
    <s v="Wet pond/ Created Wetland"/>
    <n v="0.48"/>
    <s v="Total Pervious"/>
    <m/>
    <m/>
    <m/>
    <m/>
    <n v="1.02"/>
    <n v="3528"/>
    <m/>
    <n v="0.40823999999999994"/>
    <n v="1.1875201705488985"/>
    <n v="4.9999999999999933E-2"/>
    <n v="0.37504034109779694"/>
    <n v="0.54875201705488985"/>
    <n v="0.22402252344248819"/>
    <m/>
    <s v="No"/>
    <m/>
    <n v="1"/>
    <n v="0.22402252344248819"/>
    <m/>
    <m/>
    <m/>
    <m/>
    <m/>
    <m/>
    <m/>
    <m/>
    <m/>
    <m/>
    <s v=""/>
    <n v="0"/>
    <s v=""/>
    <n v="0"/>
    <s v=""/>
    <s v=""/>
    <m/>
  </r>
  <r>
    <s v="6006-9020.1"/>
    <s v="6006-9020.1"/>
    <x v="68"/>
    <s v="Village"/>
    <x v="1"/>
    <m/>
    <m/>
    <s v="6006-9020.1"/>
    <m/>
    <s v="Yes"/>
    <m/>
    <x v="0"/>
    <m/>
    <d v="2016-05-26T00:00:00"/>
    <m/>
    <m/>
    <s v="Indian Brook"/>
    <s v="Malletts Bay Direct Drainage"/>
    <x v="0"/>
    <x v="0"/>
    <s v="Wet pond/ Created Wetland"/>
    <n v="0.54"/>
    <s v="Total Pervious"/>
    <m/>
    <m/>
    <m/>
    <m/>
    <n v="0.96"/>
    <n v="2090"/>
    <m/>
    <n v="0.45701999999999998"/>
    <n v="0.76941785124803952"/>
    <n v="3.999999999999998E-2"/>
    <n v="0.84708925624019737"/>
    <n v="0.47388357024960787"/>
    <n v="0.21657426927547577"/>
    <m/>
    <s v="No"/>
    <m/>
    <n v="1"/>
    <n v="0.21657426927547577"/>
    <m/>
    <m/>
    <m/>
    <m/>
    <m/>
    <m/>
    <m/>
    <m/>
    <m/>
    <m/>
    <s v=""/>
    <n v="0"/>
    <s v=""/>
    <n v="0"/>
    <s v=""/>
    <s v=""/>
    <m/>
  </r>
  <r>
    <s v="6653-9010"/>
    <s v="6653-9010"/>
    <x v="69"/>
    <s v="Village"/>
    <x v="1"/>
    <m/>
    <m/>
    <s v="6653-9010"/>
    <m/>
    <s v="Yes"/>
    <m/>
    <x v="0"/>
    <m/>
    <d v="2015-05-22T00:00:00"/>
    <m/>
    <m/>
    <s v="n/a"/>
    <s v="Winooski River"/>
    <x v="1"/>
    <x v="0"/>
    <s v="Infiltration Basin"/>
    <n v="3.32"/>
    <s v="Total Pervious"/>
    <m/>
    <m/>
    <m/>
    <m/>
    <n v="6.2199999999999989"/>
    <n v="26586"/>
    <s v="2.41 in/hr"/>
    <n v="5.1452599999999995"/>
    <n v="1.3096427522470671"/>
    <n v="2.0000000000000018E-2"/>
    <n v="0.61928550449413411"/>
    <n v="0.99238571008988263"/>
    <n v="5.1060824986970692"/>
    <m/>
    <s v="No"/>
    <m/>
    <n v="1"/>
    <n v="5.1060824986970692"/>
    <m/>
    <m/>
    <m/>
    <m/>
    <m/>
    <m/>
    <m/>
    <m/>
    <m/>
    <m/>
    <s v=""/>
    <n v="0"/>
    <s v=""/>
    <n v="0"/>
    <s v=""/>
    <s v=""/>
    <m/>
  </r>
  <r>
    <s v="6653-9010"/>
    <s v="6653-9010"/>
    <x v="70"/>
    <s v="Village"/>
    <x v="1"/>
    <m/>
    <m/>
    <s v="6653-9010"/>
    <m/>
    <s v="Yes"/>
    <m/>
    <x v="0"/>
    <m/>
    <d v="2015-05-22T00:00:00"/>
    <m/>
    <m/>
    <s v="n/a"/>
    <s v="Winooski River"/>
    <x v="1"/>
    <x v="0"/>
    <s v="Infiltration Basin"/>
    <n v="0.63"/>
    <s v="Total Pervious"/>
    <m/>
    <m/>
    <m/>
    <m/>
    <n v="1.23"/>
    <n v="12803"/>
    <s v="2.41 in/hr"/>
    <n v="0.98783999999999994"/>
    <n v="2"/>
    <s v=""/>
    <s v=""/>
    <n v="1"/>
    <n v="0.98783999999999994"/>
    <m/>
    <s v="No"/>
    <m/>
    <n v="1"/>
    <n v="0.98783999999999994"/>
    <m/>
    <m/>
    <m/>
    <m/>
    <m/>
    <m/>
    <m/>
    <m/>
    <m/>
    <m/>
    <s v=""/>
    <n v="0"/>
    <s v=""/>
    <n v="0"/>
    <s v=""/>
    <s v=""/>
    <m/>
  </r>
  <r>
    <s v="6653-9010"/>
    <s v="6653-9010"/>
    <x v="71"/>
    <s v="Village"/>
    <x v="1"/>
    <m/>
    <m/>
    <s v="6653-9010"/>
    <m/>
    <s v="Yes"/>
    <m/>
    <x v="0"/>
    <m/>
    <d v="2015-05-22T00:00:00"/>
    <m/>
    <m/>
    <s v="n/a"/>
    <s v="Winooski River"/>
    <x v="1"/>
    <x v="0"/>
    <s v="Infiltration Basin"/>
    <n v="0.32"/>
    <s v="Total Pervious"/>
    <m/>
    <m/>
    <m/>
    <m/>
    <n v="0.96"/>
    <n v="6849"/>
    <s v="2.41 in/hr"/>
    <n v="0.57919999999999994"/>
    <n v="2"/>
    <s v=""/>
    <s v=""/>
    <n v="1"/>
    <n v="0.57919999999999994"/>
    <m/>
    <s v="No"/>
    <m/>
    <n v="1"/>
    <n v="0.57919999999999994"/>
    <m/>
    <m/>
    <m/>
    <m/>
    <m/>
    <m/>
    <m/>
    <m/>
    <m/>
    <m/>
    <s v=""/>
    <n v="0"/>
    <s v=""/>
    <n v="0"/>
    <s v=""/>
    <s v=""/>
    <m/>
  </r>
  <r>
    <m/>
    <s v="EJ-MB-001"/>
    <x v="72"/>
    <s v="Village"/>
    <x v="1"/>
    <m/>
    <m/>
    <m/>
    <m/>
    <s v="Yes"/>
    <n v="2500"/>
    <x v="3"/>
    <m/>
    <m/>
    <m/>
    <m/>
    <s v="Indian Brook"/>
    <s v="Malletts Bay Direct Drainage"/>
    <x v="0"/>
    <x v="0"/>
    <s v="Impervious removal"/>
    <n v="0.17"/>
    <s v="By HSG"/>
    <n v="0.17"/>
    <n v="0"/>
    <n v="0"/>
    <n v="0"/>
    <n v="0"/>
    <m/>
    <s v="2.41 in/hr"/>
    <n v="0.14212000000000002"/>
    <n v="0"/>
    <s v=""/>
    <n v="0"/>
    <s v=""/>
    <s v=""/>
    <n v="0.14000000000000001"/>
    <s v="No"/>
    <m/>
    <n v="1"/>
    <n v="0.14000000000000001"/>
    <m/>
    <m/>
    <m/>
    <m/>
    <m/>
    <m/>
    <m/>
    <m/>
    <m/>
    <m/>
    <s v=""/>
    <n v="0"/>
    <s v=""/>
    <n v="0"/>
    <s v=""/>
    <s v=""/>
    <m/>
  </r>
  <r>
    <s v="7002-9015.T"/>
    <s v="7025.9014.ARA"/>
    <x v="73"/>
    <s v="Town"/>
    <x v="0"/>
    <m/>
    <m/>
    <s v="7025.9014.ARA"/>
    <m/>
    <s v="Yes"/>
    <m/>
    <x v="0"/>
    <m/>
    <n v="2014"/>
    <m/>
    <m/>
    <s v="n/a"/>
    <s v="Winooski River"/>
    <x v="1"/>
    <x v="0"/>
    <s v="Bioretention (w/ underdrain)"/>
    <n v="1.1399999999999999"/>
    <s v="Total Pervious"/>
    <n v="0"/>
    <n v="0"/>
    <n v="0"/>
    <n v="0"/>
    <n v="2.5"/>
    <n v="3554"/>
    <m/>
    <n v="1.8508800000000001"/>
    <n v="0.61976949723848418"/>
    <n v="3.999999999999998E-2"/>
    <n v="9.884748619242098E-2"/>
    <n v="0.44395389944769686"/>
    <n v="0.82170539340975324"/>
    <m/>
    <s v="No"/>
    <m/>
    <n v="1"/>
    <n v="0.82170539340975324"/>
    <m/>
    <m/>
    <m/>
    <m/>
    <m/>
    <m/>
    <m/>
    <m/>
    <m/>
    <m/>
    <s v=""/>
    <n v="0"/>
    <s v=""/>
    <n v="0"/>
    <s v=""/>
    <s v=""/>
    <m/>
  </r>
  <r>
    <m/>
    <s v="EJ-WR-001"/>
    <x v="74"/>
    <s v="Village"/>
    <x v="1"/>
    <m/>
    <m/>
    <m/>
    <m/>
    <s v="Yes"/>
    <n v="49300"/>
    <x v="3"/>
    <m/>
    <m/>
    <m/>
    <m/>
    <s v="n/a"/>
    <s v="Winooski River"/>
    <x v="1"/>
    <x v="0"/>
    <s v="Sand filter (w/ underdrain)"/>
    <n v="0.6"/>
    <s v="By HSG"/>
    <n v="0"/>
    <n v="0.86"/>
    <n v="0"/>
    <n v="0.26"/>
    <m/>
    <n v="2141.6999999999998"/>
    <m/>
    <n v="1.01006"/>
    <n v="0.85441967785154793"/>
    <n v="5.0000000000000044E-2"/>
    <n v="0.27209838925773949"/>
    <n v="0.49360491946288698"/>
    <n v="0.49857058495268358"/>
    <m/>
    <m/>
    <m/>
    <n v="1"/>
    <n v="0.49857058495268358"/>
    <m/>
    <m/>
    <m/>
    <m/>
    <m/>
    <m/>
    <m/>
    <m/>
    <m/>
    <m/>
    <s v=""/>
    <n v="0"/>
    <s v=""/>
    <n v="0"/>
    <s v=""/>
    <s v=""/>
    <m/>
  </r>
  <r>
    <s v="3081-9010.R"/>
    <s v="3081-9010.R"/>
    <x v="75"/>
    <s v="Town"/>
    <x v="0"/>
    <m/>
    <m/>
    <s v="3081-9010.R"/>
    <m/>
    <s v="Yes"/>
    <n v="2500"/>
    <x v="3"/>
    <m/>
    <m/>
    <m/>
    <m/>
    <s v="n/a"/>
    <s v="Winooski River"/>
    <x v="1"/>
    <x v="0"/>
    <s v="Impervious removal"/>
    <n v="0.28000000000000003"/>
    <s v="Total Pervious"/>
    <n v="0.28000000000000003"/>
    <n v="0"/>
    <n v="0"/>
    <n v="0"/>
    <n v="0"/>
    <m/>
    <s v="2.41 in/hr"/>
    <n v="0.31276000000000004"/>
    <s v=""/>
    <s v=""/>
    <s v=""/>
    <s v=""/>
    <s v=""/>
    <n v="0.3"/>
    <s v="No"/>
    <m/>
    <n v="1"/>
    <n v="0.3"/>
    <m/>
    <m/>
    <m/>
    <m/>
    <m/>
    <m/>
    <m/>
    <m/>
    <m/>
    <m/>
    <s v=""/>
    <n v="0"/>
    <s v=""/>
    <n v="0"/>
    <s v=""/>
    <s v=""/>
    <m/>
  </r>
  <r>
    <m/>
    <s v="EJ-WR-038"/>
    <x v="76"/>
    <s v="Village"/>
    <x v="1"/>
    <m/>
    <m/>
    <m/>
    <m/>
    <s v="Yes"/>
    <n v="168600"/>
    <x v="3"/>
    <m/>
    <m/>
    <m/>
    <m/>
    <s v="n/a"/>
    <s v="Winooski River"/>
    <x v="1"/>
    <x v="0"/>
    <s v="Infiltration Trench"/>
    <n v="7.86"/>
    <s v="By HSG"/>
    <n v="5.46"/>
    <n v="0"/>
    <n v="0"/>
    <n v="0"/>
    <m/>
    <n v="28096.199999999997"/>
    <s v="8.27 in/hr"/>
    <n v="8.8888199999999991"/>
    <n v="0.96588490587687859"/>
    <n v="1.0000000000000009E-2"/>
    <n v="0.82942452938439293"/>
    <n v="0.99829424529384392"/>
    <n v="8.8736578534528245"/>
    <m/>
    <m/>
    <m/>
    <n v="1"/>
    <n v="8.8736578534528245"/>
    <m/>
    <m/>
    <m/>
    <m/>
    <m/>
    <m/>
    <m/>
    <m/>
    <m/>
    <m/>
    <s v=""/>
    <n v="0"/>
    <s v=""/>
    <n v="0"/>
    <s v=""/>
    <s v=""/>
    <m/>
  </r>
  <r>
    <m/>
    <s v="EJ-WR-019"/>
    <x v="77"/>
    <s v="Village"/>
    <x v="1"/>
    <m/>
    <m/>
    <m/>
    <m/>
    <s v="Yes"/>
    <n v="12500"/>
    <x v="3"/>
    <m/>
    <m/>
    <m/>
    <m/>
    <s v="n/a"/>
    <s v="Winooski River"/>
    <x v="1"/>
    <x v="0"/>
    <s v="Infiltration Trench"/>
    <n v="0.16"/>
    <s v="By HSG"/>
    <n v="0.39"/>
    <n v="0"/>
    <n v="0"/>
    <n v="0"/>
    <m/>
    <n v="622.54499999999996"/>
    <s v="2.41 in/hr"/>
    <n v="0.18651999999999999"/>
    <n v="0.99997334919173464"/>
    <n v="2.0000000000000018E-2"/>
    <n v="0.9998667459586732"/>
    <n v="0.9799973349191734"/>
    <n v="0.1827891029091242"/>
    <m/>
    <m/>
    <m/>
    <n v="1"/>
    <n v="0.1827891029091242"/>
    <m/>
    <m/>
    <m/>
    <m/>
    <m/>
    <m/>
    <m/>
    <m/>
    <m/>
    <m/>
    <s v=""/>
    <n v="0"/>
    <s v=""/>
    <n v="0"/>
    <s v=""/>
    <s v=""/>
    <m/>
  </r>
  <r>
    <m/>
    <s v="EJ-WR-018"/>
    <x v="78"/>
    <s v="Village"/>
    <x v="1"/>
    <m/>
    <m/>
    <m/>
    <m/>
    <s v="Yes"/>
    <n v="23200"/>
    <x v="3"/>
    <m/>
    <m/>
    <m/>
    <m/>
    <s v="n/a"/>
    <s v="Winooski River"/>
    <x v="1"/>
    <x v="0"/>
    <s v="Infiltration Trench"/>
    <n v="0.32"/>
    <s v="By HSG"/>
    <n v="0.31"/>
    <n v="0"/>
    <n v="0"/>
    <n v="0"/>
    <m/>
    <n v="1159.7850000000001"/>
    <s v="2.41 in/hr"/>
    <n v="0.36363999999999996"/>
    <n v="0.97176410625973353"/>
    <n v="2.0000000000000018E-2"/>
    <n v="0.85882053129866764"/>
    <n v="0.97717641062597338"/>
    <n v="0.3553404299600289"/>
    <m/>
    <m/>
    <m/>
    <n v="1"/>
    <n v="0.3553404299600289"/>
    <m/>
    <m/>
    <m/>
    <m/>
    <m/>
    <m/>
    <m/>
    <m/>
    <m/>
    <m/>
    <s v=""/>
    <n v="0"/>
    <s v=""/>
    <n v="0"/>
    <s v=""/>
    <s v=""/>
    <m/>
  </r>
  <r>
    <m/>
    <s v="EJ-WR-020"/>
    <x v="79"/>
    <s v="Village"/>
    <x v="1"/>
    <m/>
    <m/>
    <m/>
    <m/>
    <s v="Yes"/>
    <n v="92600"/>
    <x v="3"/>
    <m/>
    <m/>
    <m/>
    <m/>
    <s v="n/a"/>
    <s v="Winooski River"/>
    <x v="1"/>
    <x v="0"/>
    <s v="Infiltration Trench"/>
    <n v="1.33"/>
    <s v="By HSG"/>
    <n v="0.23"/>
    <n v="0"/>
    <n v="0"/>
    <n v="0"/>
    <m/>
    <n v="4628.25"/>
    <s v="8.27 in/hr"/>
    <n v="1.49021"/>
    <n v="0.95409213847590979"/>
    <n v="1.0000000000000009E-2"/>
    <n v="0.77046069237954895"/>
    <n v="0.99770460692379548"/>
    <n v="1.4867893822839093"/>
    <m/>
    <m/>
    <m/>
    <n v="1"/>
    <n v="1.4867893822839093"/>
    <m/>
    <m/>
    <m/>
    <m/>
    <m/>
    <m/>
    <m/>
    <m/>
    <m/>
    <m/>
    <s v=""/>
    <n v="0"/>
    <s v=""/>
    <n v="0"/>
    <s v=""/>
    <s v=""/>
    <m/>
  </r>
  <r>
    <m/>
    <s v="EJ-WR-017"/>
    <x v="80"/>
    <s v="Village"/>
    <x v="1"/>
    <m/>
    <m/>
    <m/>
    <m/>
    <s v="Yes"/>
    <n v="13600"/>
    <x v="3"/>
    <m/>
    <m/>
    <m/>
    <m/>
    <s v="n/a"/>
    <s v="Winooski River"/>
    <x v="1"/>
    <x v="0"/>
    <s v="Infiltration Trench"/>
    <n v="0.18"/>
    <s v="By HSG"/>
    <n v="0.3"/>
    <n v="0"/>
    <n v="0"/>
    <n v="0"/>
    <m/>
    <n v="675.18"/>
    <s v="2.41 in/hr"/>
    <n v="0.20705999999999999"/>
    <n v="0.98582543541291634"/>
    <n v="2.0000000000000018E-2"/>
    <n v="0.9291271770645817"/>
    <n v="0.97858254354129159"/>
    <n v="0.20262530146565982"/>
    <m/>
    <m/>
    <m/>
    <n v="1"/>
    <n v="0.20262530146565982"/>
    <m/>
    <m/>
    <m/>
    <m/>
    <m/>
    <m/>
    <m/>
    <m/>
    <m/>
    <m/>
    <s v=""/>
    <n v="0"/>
    <s v=""/>
    <n v="0"/>
    <s v=""/>
    <s v=""/>
    <m/>
  </r>
  <r>
    <m/>
    <s v="EJ-WR-015"/>
    <x v="81"/>
    <s v="Village"/>
    <x v="1"/>
    <m/>
    <m/>
    <m/>
    <m/>
    <s v="Yes"/>
    <n v="49300"/>
    <x v="3"/>
    <m/>
    <m/>
    <m/>
    <m/>
    <s v="n/a"/>
    <s v="Winooski River"/>
    <x v="1"/>
    <x v="0"/>
    <s v="Infiltration Trench"/>
    <n v="0.68"/>
    <s v="By HSG"/>
    <n v="0.64"/>
    <n v="0"/>
    <n v="0"/>
    <n v="0"/>
    <m/>
    <n v="2461.14"/>
    <s v="2.41 in/hr"/>
    <n v="0.77236000000000005"/>
    <n v="0.97118212440740581"/>
    <n v="2.0000000000000018E-2"/>
    <n v="0.85591062203702906"/>
    <n v="0.9771182124407406"/>
    <n v="0.7546870225607305"/>
    <m/>
    <m/>
    <m/>
    <n v="1"/>
    <n v="0.7546870225607305"/>
    <m/>
    <m/>
    <m/>
    <m/>
    <m/>
    <m/>
    <m/>
    <m/>
    <m/>
    <m/>
    <s v=""/>
    <n v="0"/>
    <s v=""/>
    <n v="0"/>
    <s v=""/>
    <s v=""/>
    <m/>
  </r>
  <r>
    <m/>
    <s v="EJ-WR-014"/>
    <x v="82"/>
    <s v="Village"/>
    <x v="1"/>
    <m/>
    <m/>
    <m/>
    <m/>
    <s v="Yes"/>
    <n v="23800"/>
    <x v="3"/>
    <m/>
    <m/>
    <m/>
    <m/>
    <s v="n/a"/>
    <s v="Winooski River"/>
    <x v="1"/>
    <x v="0"/>
    <s v="Infiltration Trench"/>
    <n v="0.33"/>
    <s v="By HSG"/>
    <n v="0.26"/>
    <n v="0"/>
    <n v="0"/>
    <n v="0"/>
    <m/>
    <n v="1185.1949999999999"/>
    <s v="2.41 in/hr"/>
    <n v="0.37380999999999998"/>
    <n v="0.96790814525464408"/>
    <n v="2.0000000000000018E-2"/>
    <n v="0.83954072627322041"/>
    <n v="0.97679081452546435"/>
    <n v="0.3651341743777638"/>
    <m/>
    <m/>
    <m/>
    <n v="1"/>
    <n v="0.3651341743777638"/>
    <m/>
    <m/>
    <m/>
    <m/>
    <m/>
    <m/>
    <m/>
    <m/>
    <m/>
    <m/>
    <s v=""/>
    <n v="0"/>
    <s v=""/>
    <n v="0"/>
    <s v=""/>
    <s v=""/>
    <m/>
  </r>
  <r>
    <m/>
    <s v="EJ-WR-013"/>
    <x v="83"/>
    <s v="Village"/>
    <x v="1"/>
    <m/>
    <m/>
    <m/>
    <m/>
    <s v="Yes"/>
    <n v="10200"/>
    <x v="3"/>
    <m/>
    <m/>
    <m/>
    <m/>
    <s v="n/a"/>
    <s v="Winooski River"/>
    <x v="1"/>
    <x v="0"/>
    <s v="Infiltration Trench"/>
    <n v="0.14000000000000001"/>
    <s v="By HSG"/>
    <n v="0.13"/>
    <n v="0"/>
    <n v="0"/>
    <n v="0"/>
    <m/>
    <n v="506.38499999999993"/>
    <s v="2.41 in/hr"/>
    <n v="0.15898000000000001"/>
    <n v="0.97091537949089002"/>
    <n v="2.0000000000000018E-2"/>
    <n v="0.85457689745445009"/>
    <n v="0.97709153794908898"/>
    <n v="0.15533801270314618"/>
    <m/>
    <m/>
    <m/>
    <n v="1"/>
    <n v="0.15533801270314618"/>
    <m/>
    <m/>
    <m/>
    <m/>
    <m/>
    <m/>
    <m/>
    <m/>
    <m/>
    <m/>
    <s v=""/>
    <n v="0"/>
    <s v=""/>
    <n v="0"/>
    <s v=""/>
    <s v=""/>
    <m/>
  </r>
  <r>
    <m/>
    <s v="EJ-WR-011"/>
    <x v="84"/>
    <s v="Village"/>
    <x v="1"/>
    <m/>
    <m/>
    <m/>
    <m/>
    <s v="Yes"/>
    <n v="11200"/>
    <x v="3"/>
    <m/>
    <m/>
    <m/>
    <m/>
    <s v="n/a"/>
    <s v="Winooski River"/>
    <x v="1"/>
    <x v="0"/>
    <s v="Infiltration Trench"/>
    <n v="0.15"/>
    <s v="By HSG"/>
    <n v="0.21"/>
    <n v="0"/>
    <n v="0"/>
    <n v="0"/>
    <m/>
    <n v="555.39"/>
    <s v="2.41 in/hr"/>
    <n v="0.17175000000000001"/>
    <n v="0.98060106380676837"/>
    <n v="2.0000000000000018E-2"/>
    <n v="0.90300531903384185"/>
    <n v="0.97806010638067686"/>
    <n v="0.16798182327088126"/>
    <m/>
    <m/>
    <m/>
    <n v="1"/>
    <n v="0.16798182327088126"/>
    <m/>
    <m/>
    <m/>
    <m/>
    <m/>
    <m/>
    <m/>
    <m/>
    <m/>
    <m/>
    <s v=""/>
    <n v="0"/>
    <s v=""/>
    <n v="0"/>
    <s v=""/>
    <s v=""/>
    <m/>
  </r>
  <r>
    <m/>
    <s v="EJ-WR-009"/>
    <x v="85"/>
    <s v="Village"/>
    <x v="1"/>
    <m/>
    <m/>
    <m/>
    <m/>
    <s v="Yes"/>
    <n v="20100"/>
    <x v="3"/>
    <m/>
    <m/>
    <m/>
    <m/>
    <s v="n/a"/>
    <s v="Winooski River"/>
    <x v="1"/>
    <x v="0"/>
    <s v="Infiltration Trench"/>
    <n v="0.25"/>
    <s v="By HSG"/>
    <n v="0.77"/>
    <n v="0"/>
    <n v="0"/>
    <n v="0"/>
    <m/>
    <n v="1001.8799999999999"/>
    <s v="2.41 in/hr"/>
    <n v="0.29465000000000002"/>
    <n v="1.0107754848734625"/>
    <n v="2.0000000000000018E-2"/>
    <n v="2.1550969746924942E-2"/>
    <n v="0.98043101939493849"/>
    <n v="0.28888399986471863"/>
    <m/>
    <m/>
    <m/>
    <n v="1"/>
    <n v="0.28888399986471863"/>
    <m/>
    <m/>
    <m/>
    <m/>
    <m/>
    <m/>
    <m/>
    <m/>
    <m/>
    <m/>
    <s v=""/>
    <n v="0"/>
    <s v=""/>
    <n v="0"/>
    <s v=""/>
    <s v=""/>
    <m/>
  </r>
  <r>
    <m/>
    <s v="EJ-WR-012"/>
    <x v="86"/>
    <s v="Village"/>
    <x v="1"/>
    <m/>
    <m/>
    <m/>
    <m/>
    <s v="Yes"/>
    <n v="11200"/>
    <x v="3"/>
    <m/>
    <m/>
    <m/>
    <m/>
    <s v="n/a"/>
    <s v="Winooski River"/>
    <x v="1"/>
    <x v="0"/>
    <s v="Infiltration Trench"/>
    <n v="0.15"/>
    <s v="By HSG"/>
    <n v="0.21"/>
    <n v="0"/>
    <n v="0"/>
    <n v="0"/>
    <m/>
    <n v="555.39"/>
    <s v="2.41 in/hr"/>
    <n v="0.17175000000000001"/>
    <n v="0.98060106380676837"/>
    <n v="2.0000000000000018E-2"/>
    <n v="0.90300531903384185"/>
    <n v="0.97806010638067686"/>
    <n v="0.16798182327088126"/>
    <m/>
    <m/>
    <m/>
    <n v="1"/>
    <n v="0.16798182327088126"/>
    <m/>
    <m/>
    <m/>
    <m/>
    <m/>
    <m/>
    <m/>
    <m/>
    <m/>
    <m/>
    <s v=""/>
    <n v="0"/>
    <s v=""/>
    <n v="0"/>
    <s v=""/>
    <s v=""/>
    <m/>
  </r>
  <r>
    <m/>
    <s v="EJ-WR-010"/>
    <x v="87"/>
    <s v="Village"/>
    <x v="1"/>
    <m/>
    <m/>
    <m/>
    <m/>
    <s v="Yes"/>
    <n v="16900"/>
    <x v="3"/>
    <m/>
    <m/>
    <m/>
    <m/>
    <s v="n/a"/>
    <s v="Winooski River"/>
    <x v="1"/>
    <x v="0"/>
    <s v="Infiltration Trench"/>
    <n v="0.23"/>
    <s v="By HSG"/>
    <n v="0.27"/>
    <n v="0"/>
    <n v="0"/>
    <n v="0"/>
    <m/>
    <n v="842.15999999999985"/>
    <s v="2.41 in/hr"/>
    <n v="0.26231000000000004"/>
    <n v="0.97602961216491091"/>
    <n v="2.0000000000000018E-2"/>
    <n v="0.88014806082455455"/>
    <n v="0.97760296121649104"/>
    <n v="0.25643503275669782"/>
    <m/>
    <m/>
    <m/>
    <n v="1"/>
    <n v="0.25643503275669782"/>
    <m/>
    <m/>
    <m/>
    <m/>
    <m/>
    <m/>
    <m/>
    <m/>
    <m/>
    <m/>
    <s v=""/>
    <n v="0"/>
    <s v=""/>
    <n v="0"/>
    <s v=""/>
    <s v=""/>
    <m/>
  </r>
  <r>
    <m/>
    <s v="EJ-WR-007"/>
    <x v="88"/>
    <s v="Village"/>
    <x v="1"/>
    <m/>
    <m/>
    <m/>
    <m/>
    <s v="Yes"/>
    <n v="6800"/>
    <x v="3"/>
    <m/>
    <m/>
    <m/>
    <m/>
    <s v="n/a"/>
    <s v="Winooski River"/>
    <x v="1"/>
    <x v="0"/>
    <s v="Infiltration Trench"/>
    <n v="0.09"/>
    <s v="By HSG"/>
    <n v="0.16"/>
    <n v="0"/>
    <n v="0"/>
    <n v="0"/>
    <m/>
    <n v="339.40499999999997"/>
    <s v="2.41 in/hr"/>
    <n v="0.10372999999999999"/>
    <n v="0.98795042406256883"/>
    <n v="2.0000000000000018E-2"/>
    <n v="0.93975212031284416"/>
    <n v="0.97879504240625681"/>
    <n v="0.10153040974880101"/>
    <m/>
    <m/>
    <m/>
    <n v="1"/>
    <n v="0.10153040974880101"/>
    <m/>
    <m/>
    <m/>
    <m/>
    <m/>
    <m/>
    <m/>
    <m/>
    <m/>
    <m/>
    <s v=""/>
    <n v="0"/>
    <s v=""/>
    <n v="0"/>
    <s v=""/>
    <s v=""/>
    <m/>
  </r>
  <r>
    <m/>
    <s v="EJ-WR-006"/>
    <x v="89"/>
    <s v="Village"/>
    <x v="1"/>
    <m/>
    <m/>
    <m/>
    <m/>
    <s v="Yes"/>
    <n v="4200"/>
    <x v="3"/>
    <m/>
    <m/>
    <m/>
    <m/>
    <s v="n/a"/>
    <s v="Winooski River"/>
    <x v="1"/>
    <x v="0"/>
    <s v="Infiltration Trench"/>
    <n v="0.05"/>
    <s v="By HSG"/>
    <n v="0.2"/>
    <n v="0"/>
    <n v="0"/>
    <n v="0"/>
    <m/>
    <n v="208.72499999999999"/>
    <s v="2.41 in/hr"/>
    <n v="5.985E-2"/>
    <n v="1.0248581037537152"/>
    <n v="2.0000000000000018E-2"/>
    <n v="4.9716207507430443E-2"/>
    <n v="0.98099432415014864"/>
    <n v="5.8712510300386399E-2"/>
    <m/>
    <m/>
    <m/>
    <n v="1"/>
    <n v="5.8712510300386399E-2"/>
    <m/>
    <m/>
    <m/>
    <m/>
    <m/>
    <m/>
    <m/>
    <m/>
    <m/>
    <m/>
    <s v=""/>
    <n v="0"/>
    <s v=""/>
    <n v="0"/>
    <s v=""/>
    <s v=""/>
    <m/>
  </r>
  <r>
    <m/>
    <s v="EJ-WR-004"/>
    <x v="90"/>
    <s v="Village"/>
    <x v="1"/>
    <m/>
    <m/>
    <m/>
    <m/>
    <s v="Yes"/>
    <n v="18600"/>
    <x v="3"/>
    <m/>
    <m/>
    <m/>
    <m/>
    <s v="n/a"/>
    <s v="Winooski River"/>
    <x v="1"/>
    <x v="0"/>
    <s v="Infiltration Trench"/>
    <n v="0.26"/>
    <s v="By HSG"/>
    <n v="0.16"/>
    <n v="0"/>
    <n v="0"/>
    <n v="0"/>
    <m/>
    <n v="925.65000000000009"/>
    <s v="2.41 in/hr"/>
    <n v="0.29361999999999999"/>
    <n v="0.96414489042289064"/>
    <n v="2.0000000000000018E-2"/>
    <n v="0.82072445211445322"/>
    <n v="0.976414489042289"/>
    <n v="0.28669482227259691"/>
    <m/>
    <m/>
    <m/>
    <n v="1"/>
    <n v="0.28669482227259691"/>
    <m/>
    <m/>
    <m/>
    <m/>
    <m/>
    <m/>
    <m/>
    <m/>
    <m/>
    <m/>
    <s v=""/>
    <n v="0"/>
    <s v=""/>
    <n v="0"/>
    <s v=""/>
    <s v=""/>
    <m/>
  </r>
  <r>
    <m/>
    <s v="EJ-WR-005"/>
    <x v="91"/>
    <s v="Village"/>
    <x v="1"/>
    <m/>
    <m/>
    <m/>
    <m/>
    <s v="Yes"/>
    <n v="14200"/>
    <x v="3"/>
    <m/>
    <m/>
    <m/>
    <m/>
    <s v="n/a"/>
    <s v="Winooski River"/>
    <x v="1"/>
    <x v="0"/>
    <s v="Infiltration Trench"/>
    <n v="0.2"/>
    <s v="By HSG"/>
    <n v="0.1"/>
    <n v="0"/>
    <n v="0"/>
    <n v="0"/>
    <m/>
    <n v="707.85"/>
    <s v="2.41 in/hr"/>
    <n v="0.22540000000000002"/>
    <n v="0.96157960013023369"/>
    <n v="2.0000000000000018E-2"/>
    <n v="0.80789800065116846"/>
    <n v="0.97615796001302335"/>
    <n v="0.22002600418693549"/>
    <m/>
    <m/>
    <m/>
    <n v="1"/>
    <n v="0.22002600418693549"/>
    <m/>
    <m/>
    <m/>
    <m/>
    <m/>
    <m/>
    <m/>
    <m/>
    <m/>
    <m/>
    <s v=""/>
    <n v="0"/>
    <s v=""/>
    <n v="0"/>
    <s v=""/>
    <s v=""/>
    <m/>
  </r>
  <r>
    <m/>
    <s v="EJ-WR-008"/>
    <x v="92"/>
    <s v="Village"/>
    <x v="1"/>
    <m/>
    <m/>
    <m/>
    <m/>
    <s v="Yes"/>
    <n v="14700"/>
    <x v="3"/>
    <m/>
    <m/>
    <m/>
    <m/>
    <s v="n/a"/>
    <s v="Winooski River"/>
    <x v="1"/>
    <x v="0"/>
    <s v="Infiltration Trench"/>
    <n v="0.19"/>
    <s v="By HSG"/>
    <n v="0.42"/>
    <n v="0"/>
    <n v="0"/>
    <n v="0"/>
    <m/>
    <n v="731.44499999999982"/>
    <s v="2.41 in/hr"/>
    <n v="0.22062999999999999"/>
    <n v="0.99594838923013296"/>
    <n v="2.0000000000000018E-2"/>
    <n v="0.97974194615066479"/>
    <n v="0.97959483892301324"/>
    <n v="0.21612800931158441"/>
    <m/>
    <m/>
    <m/>
    <n v="1"/>
    <n v="0.21612800931158441"/>
    <m/>
    <m/>
    <m/>
    <m/>
    <m/>
    <m/>
    <m/>
    <m/>
    <m/>
    <m/>
    <s v=""/>
    <n v="0"/>
    <s v=""/>
    <n v="0"/>
    <s v=""/>
    <s v=""/>
    <m/>
  </r>
  <r>
    <m/>
    <s v="EJ-WR-002"/>
    <x v="93"/>
    <s v="Village"/>
    <x v="1"/>
    <m/>
    <m/>
    <m/>
    <m/>
    <s v="Yes"/>
    <n v="16800"/>
    <x v="3"/>
    <m/>
    <m/>
    <m/>
    <m/>
    <s v="n/a"/>
    <s v="Winooski River"/>
    <x v="1"/>
    <x v="0"/>
    <s v="Infiltration Trench"/>
    <n v="0.23"/>
    <s v="By HSG"/>
    <n v="0.24"/>
    <n v="0"/>
    <n v="0"/>
    <n v="0"/>
    <m/>
    <n v="836.71499999999992"/>
    <s v="8.27 in/hr"/>
    <n v="0.26171000000000005"/>
    <n v="0.97333091836967289"/>
    <n v="1.0000000000000009E-2"/>
    <n v="0.86665459184836446"/>
    <n v="0.99866654591848369"/>
    <n v="0.26136102173232645"/>
    <m/>
    <m/>
    <m/>
    <n v="1"/>
    <n v="0.26136102173232645"/>
    <m/>
    <m/>
    <m/>
    <m/>
    <m/>
    <m/>
    <m/>
    <m/>
    <m/>
    <m/>
    <s v=""/>
    <n v="0"/>
    <s v=""/>
    <n v="0"/>
    <s v=""/>
    <s v=""/>
    <m/>
  </r>
  <r>
    <m/>
    <s v="EJ-WR-003"/>
    <x v="94"/>
    <s v="Village"/>
    <x v="1"/>
    <m/>
    <m/>
    <m/>
    <m/>
    <s v="Yes"/>
    <n v="16800"/>
    <x v="3"/>
    <m/>
    <m/>
    <m/>
    <m/>
    <s v="n/a"/>
    <s v="Winooski River"/>
    <x v="1"/>
    <x v="0"/>
    <s v="Infiltration Trench"/>
    <n v="0.23"/>
    <s v="By HSG"/>
    <n v="0.24"/>
    <n v="0"/>
    <n v="0"/>
    <n v="0"/>
    <m/>
    <n v="836.71499999999992"/>
    <s v="8.27 in/hr"/>
    <n v="0.26171000000000005"/>
    <n v="0.97333091836967289"/>
    <n v="1.0000000000000009E-2"/>
    <n v="0.86665459184836446"/>
    <n v="0.99866654591848369"/>
    <n v="0.26136102173232645"/>
    <m/>
    <m/>
    <m/>
    <n v="1"/>
    <n v="0.26136102173232645"/>
    <m/>
    <m/>
    <m/>
    <m/>
    <m/>
    <m/>
    <m/>
    <m/>
    <m/>
    <m/>
    <s v=""/>
    <n v="0"/>
    <s v=""/>
    <n v="0"/>
    <s v=""/>
    <s v=""/>
    <m/>
  </r>
  <r>
    <s v="3324-9010.R"/>
    <s v="EX-WR-001"/>
    <x v="95"/>
    <s v="Town"/>
    <x v="0"/>
    <m/>
    <m/>
    <m/>
    <m/>
    <s v="Yes"/>
    <n v="950000"/>
    <x v="2"/>
    <m/>
    <m/>
    <m/>
    <m/>
    <s v="n/a"/>
    <s v="Winooski River"/>
    <x v="1"/>
    <x v="0"/>
    <s v="Gravel Wetland"/>
    <n v="8.7279999999999998"/>
    <s v="Total Pervious"/>
    <m/>
    <m/>
    <m/>
    <m/>
    <n v="16.866999999999997"/>
    <n v="33149"/>
    <m/>
    <n v="13.645453"/>
    <n v="0.74419047735082577"/>
    <n v="5.9999999999999942E-2"/>
    <n v="0.72095238675412876"/>
    <n v="0.55325714320524766"/>
    <n v="7.5494443445214765"/>
    <m/>
    <s v="No"/>
    <m/>
    <n v="1"/>
    <n v="7.5494443445214765"/>
    <n v="6.59"/>
    <s v="Total Pervious"/>
    <m/>
    <m/>
    <m/>
    <m/>
    <n v="61.5"/>
    <s v="Wet pond/ Created Wetland"/>
    <n v="60309"/>
    <m/>
    <s v=""/>
    <n v="1.1674300364115922"/>
    <n v="4.9999999999999933E-2"/>
    <n v="0.33486007282318431"/>
    <n v="0.54674300364115924"/>
    <s v=""/>
    <m/>
  </r>
  <r>
    <s v="3579-9010.R"/>
    <s v="3579-9010.R"/>
    <x v="96"/>
    <s v="Town"/>
    <x v="0"/>
    <m/>
    <m/>
    <s v="3579-9010.R"/>
    <m/>
    <s v="Yes"/>
    <n v="263000"/>
    <x v="3"/>
    <m/>
    <m/>
    <m/>
    <m/>
    <s v="n/a"/>
    <s v="Winooski River"/>
    <x v="1"/>
    <x v="0"/>
    <s v="Dry Swale (w/ underdrain)"/>
    <n v="4.18"/>
    <s v="Total Pervious"/>
    <m/>
    <m/>
    <m/>
    <m/>
    <n v="33.6"/>
    <n v="13837.559999999998"/>
    <m/>
    <n v="12.43066"/>
    <n v="0.44813857357476472"/>
    <n v="7.0000000000000007E-2"/>
    <n v="0.24069286787382355"/>
    <n v="0.38684850075116767"/>
    <n v="4.8087821843475096"/>
    <m/>
    <m/>
    <m/>
    <n v="1"/>
    <n v="4.8087821843475096"/>
    <n v="4.18"/>
    <s v="Total Pervious"/>
    <m/>
    <m/>
    <m/>
    <m/>
    <n v="12.43"/>
    <m/>
    <m/>
    <m/>
    <s v=""/>
    <n v="0"/>
    <s v=""/>
    <n v="0"/>
    <s v=""/>
    <s v=""/>
    <m/>
  </r>
  <r>
    <s v="4367-9010.R"/>
    <s v="EX-LR-001"/>
    <x v="97"/>
    <s v="Town"/>
    <x v="0"/>
    <m/>
    <m/>
    <m/>
    <m/>
    <s v="Yes"/>
    <n v="378000"/>
    <x v="2"/>
    <m/>
    <m/>
    <m/>
    <m/>
    <s v="n/a"/>
    <s v="Lamoille River"/>
    <x v="0"/>
    <x v="0"/>
    <s v="Gravel Wetland"/>
    <n v="3.024"/>
    <s v="Total Pervious"/>
    <m/>
    <m/>
    <m/>
    <m/>
    <n v="2.3929999999999998"/>
    <n v="10846"/>
    <m/>
    <n v="3.9869159999999999"/>
    <n v="0.83337694286795638"/>
    <n v="4.0000000000000036E-2"/>
    <n v="0.16688471433978172"/>
    <n v="0.57667538857359124"/>
    <n v="2.2991563335102678"/>
    <n v="2.4580000000000002"/>
    <s v="No"/>
    <s v="No"/>
    <n v="1"/>
    <n v="2.4580000000000002"/>
    <n v="3.03"/>
    <s v="Total Pervious"/>
    <m/>
    <m/>
    <m/>
    <m/>
    <n v="4.29"/>
    <s v="Wet pond/ Created Wetland"/>
    <n v="8010"/>
    <m/>
    <s v=""/>
    <n v="0.63828927715816608"/>
    <n v="3.999999999999998E-2"/>
    <n v="0.19144638579083045"/>
    <n v="0.44765785543163322"/>
    <s v=""/>
    <m/>
  </r>
  <r>
    <s v="3547-9010.R"/>
    <s v="3547-9010.R"/>
    <x v="98"/>
    <s v="Village"/>
    <x v="1"/>
    <m/>
    <m/>
    <s v="3547-9010.R"/>
    <m/>
    <s v="Yes"/>
    <m/>
    <x v="0"/>
    <m/>
    <d v="2003-10-20T00:00:00"/>
    <m/>
    <m/>
    <s v="n/a"/>
    <s v="Winooski River"/>
    <x v="1"/>
    <x v="1"/>
    <s v="Infiltration Basin"/>
    <n v="5.8"/>
    <s v="Total Pervious"/>
    <m/>
    <m/>
    <m/>
    <m/>
    <n v="18.399999999999999"/>
    <n v="6970"/>
    <s v="2.41 in/hr"/>
    <n v="10.728999999999999"/>
    <n v="0.26505771230938618"/>
    <n v="0.19999999999999996"/>
    <n v="0.32528856154693087"/>
    <n v="0.73505771230938621"/>
    <n v="7.8864341953674044"/>
    <m/>
    <s v="No"/>
    <m/>
    <n v="1"/>
    <n v="7.8864341953674044"/>
    <m/>
    <m/>
    <m/>
    <m/>
    <m/>
    <m/>
    <m/>
    <m/>
    <m/>
    <m/>
    <s v=""/>
    <n v="0"/>
    <s v=""/>
    <n v="0"/>
    <s v=""/>
    <s v=""/>
    <m/>
  </r>
  <r>
    <m/>
    <s v="EJ-WR-016"/>
    <x v="99"/>
    <s v="Village"/>
    <x v="1"/>
    <m/>
    <m/>
    <m/>
    <m/>
    <s v="Yes"/>
    <n v="35600"/>
    <x v="3"/>
    <m/>
    <m/>
    <m/>
    <m/>
    <s v="n/a"/>
    <s v="Winooski River"/>
    <x v="1"/>
    <x v="0"/>
    <s v="Infiltration Trench"/>
    <n v="0.49"/>
    <s v="By HSG"/>
    <n v="0.48"/>
    <n v="0"/>
    <n v="0"/>
    <n v="0"/>
    <m/>
    <n v="1776.8849999999998"/>
    <s v="8.27 in/hr"/>
    <n v="0.55693000000000004"/>
    <n v="0.97199236906357378"/>
    <n v="1.0000000000000009E-2"/>
    <n v="0.8599618453178689"/>
    <n v="0.99859961845317868"/>
    <n v="0.55615008550512879"/>
    <m/>
    <s v="No"/>
    <m/>
    <n v="1"/>
    <n v="0.55615008550512879"/>
    <m/>
    <m/>
    <m/>
    <m/>
    <m/>
    <m/>
    <m/>
    <m/>
    <m/>
    <m/>
    <s v=""/>
    <n v="0"/>
    <s v=""/>
    <n v="0"/>
    <s v=""/>
    <s v=""/>
    <m/>
  </r>
  <r>
    <m/>
    <s v="EJ-WR-026"/>
    <x v="100"/>
    <s v="Village"/>
    <x v="1"/>
    <m/>
    <m/>
    <m/>
    <m/>
    <s v="Yes"/>
    <n v="10000"/>
    <x v="3"/>
    <m/>
    <m/>
    <m/>
    <m/>
    <s v="n/a"/>
    <s v="Winooski River"/>
    <x v="1"/>
    <x v="0"/>
    <s v="Impervious removal"/>
    <n v="0.19"/>
    <s v="By HSG"/>
    <n v="0.19"/>
    <n v="0"/>
    <n v="0"/>
    <n v="0"/>
    <m/>
    <m/>
    <s v="2.41 in/hr"/>
    <n v="0.21603"/>
    <n v="0"/>
    <s v=""/>
    <n v="0"/>
    <s v=""/>
    <s v=""/>
    <n v="0.21"/>
    <s v="No"/>
    <m/>
    <n v="1"/>
    <n v="0.21"/>
    <m/>
    <m/>
    <m/>
    <m/>
    <m/>
    <m/>
    <m/>
    <m/>
    <m/>
    <m/>
    <s v=""/>
    <n v="0"/>
    <s v=""/>
    <n v="0"/>
    <s v=""/>
    <s v=""/>
    <m/>
  </r>
  <r>
    <m/>
    <s v="EJ-WR-022"/>
    <x v="101"/>
    <s v="Village"/>
    <x v="1"/>
    <m/>
    <m/>
    <m/>
    <m/>
    <s v="Yes"/>
    <n v="59100"/>
    <x v="3"/>
    <m/>
    <m/>
    <m/>
    <m/>
    <s v="n/a"/>
    <s v="Winooski River"/>
    <x v="1"/>
    <x v="0"/>
    <s v="Infiltration Trench"/>
    <n v="0.81"/>
    <s v="By HSG"/>
    <n v="0.88"/>
    <n v="0"/>
    <n v="0"/>
    <n v="0"/>
    <m/>
    <n v="2953.0050000000001"/>
    <s v="8.27 in/hr"/>
    <n v="0.92237000000000002"/>
    <n v="0.97422441458950804"/>
    <n v="1.0000000000000009E-2"/>
    <n v="0.87112207294754018"/>
    <n v="0.99871122072947538"/>
    <n v="0.92118126866424621"/>
    <m/>
    <s v="No"/>
    <m/>
    <n v="1"/>
    <n v="0.92118126866424621"/>
    <m/>
    <m/>
    <m/>
    <m/>
    <m/>
    <m/>
    <m/>
    <m/>
    <m/>
    <m/>
    <s v=""/>
    <n v="0"/>
    <s v=""/>
    <n v="0"/>
    <s v=""/>
    <s v=""/>
    <m/>
  </r>
  <r>
    <m/>
    <s v="EJ-WR-024"/>
    <x v="102"/>
    <s v="Village"/>
    <x v="1"/>
    <m/>
    <m/>
    <m/>
    <m/>
    <s v="Yes"/>
    <n v="32900"/>
    <x v="3"/>
    <m/>
    <m/>
    <m/>
    <m/>
    <s v="n/a"/>
    <s v="Winooski River"/>
    <x v="1"/>
    <x v="0"/>
    <s v="Infiltration Trench"/>
    <n v="0.43"/>
    <s v="By HSG"/>
    <n v="0.89"/>
    <n v="0"/>
    <n v="0"/>
    <n v="0"/>
    <m/>
    <n v="1644.3899999999999"/>
    <s v="8.27 in/hr"/>
    <n v="0.49811"/>
    <n v="0.99339447352712462"/>
    <n v="1.0000000000000009E-2"/>
    <n v="0.96697236763562311"/>
    <n v="0.9996697236763562"/>
    <n v="0.49794548606042977"/>
    <m/>
    <s v="No"/>
    <m/>
    <n v="1"/>
    <n v="0.49794548606042977"/>
    <m/>
    <m/>
    <m/>
    <m/>
    <m/>
    <m/>
    <m/>
    <m/>
    <m/>
    <m/>
    <s v=""/>
    <n v="0"/>
    <s v=""/>
    <n v="0"/>
    <s v=""/>
    <s v=""/>
    <m/>
  </r>
  <r>
    <m/>
    <s v="EJ-WR-023"/>
    <x v="103"/>
    <s v="Village"/>
    <x v="1"/>
    <m/>
    <m/>
    <m/>
    <m/>
    <s v="Yes"/>
    <n v="32300"/>
    <x v="3"/>
    <m/>
    <m/>
    <m/>
    <m/>
    <s v="n/a"/>
    <s v="Winooski River"/>
    <x v="1"/>
    <x v="0"/>
    <s v="Infiltration Trench"/>
    <n v="0.43000000000000005"/>
    <s v="By HSG"/>
    <n v="0.72"/>
    <n v="0"/>
    <n v="0"/>
    <n v="0"/>
    <m/>
    <n v="1613.5350000000001"/>
    <s v="8.27 in/hr"/>
    <n v="0.49471000000000009"/>
    <n v="0.98597466532854894"/>
    <n v="1.0000000000000009E-2"/>
    <n v="0.92987332664274469"/>
    <n v="0.99929873326642749"/>
    <n v="0.49436307633423443"/>
    <m/>
    <s v="No"/>
    <m/>
    <n v="1"/>
    <n v="0.49436307633423443"/>
    <m/>
    <m/>
    <m/>
    <m/>
    <m/>
    <m/>
    <m/>
    <m/>
    <m/>
    <m/>
    <s v=""/>
    <n v="0"/>
    <s v=""/>
    <n v="0"/>
    <s v=""/>
    <s v=""/>
    <m/>
  </r>
  <r>
    <m/>
    <s v="EJ-WR-025"/>
    <x v="104"/>
    <s v="Village"/>
    <x v="1"/>
    <m/>
    <m/>
    <m/>
    <m/>
    <s v="Yes"/>
    <n v="17300"/>
    <x v="3"/>
    <m/>
    <m/>
    <m/>
    <m/>
    <s v="n/a"/>
    <s v="Winooski River"/>
    <x v="1"/>
    <x v="0"/>
    <s v="Infiltration Trench"/>
    <n v="0.21000000000000002"/>
    <s v="By HSG"/>
    <n v="0.75"/>
    <n v="0"/>
    <n v="0"/>
    <n v="0"/>
    <m/>
    <n v="860.31000000000006"/>
    <s v="8.27 in/hr"/>
    <n v="0.24957000000000001"/>
    <n v="1.0184888316312226"/>
    <n v="0"/>
    <n v="3.6977663262445226E-2"/>
    <n v="1"/>
    <n v="0.24957000000000001"/>
    <m/>
    <s v="No"/>
    <m/>
    <n v="1"/>
    <n v="0.24957000000000001"/>
    <m/>
    <m/>
    <m/>
    <m/>
    <m/>
    <m/>
    <m/>
    <m/>
    <m/>
    <m/>
    <s v=""/>
    <n v="0"/>
    <s v=""/>
    <n v="0"/>
    <s v=""/>
    <s v=""/>
    <m/>
  </r>
  <r>
    <m/>
    <s v="EJ-WR-029"/>
    <x v="105"/>
    <s v="Village"/>
    <x v="1"/>
    <m/>
    <m/>
    <m/>
    <m/>
    <s v="Yes"/>
    <n v="29500"/>
    <x v="3"/>
    <m/>
    <m/>
    <m/>
    <m/>
    <s v="n/a"/>
    <s v="Winooski River"/>
    <x v="1"/>
    <x v="0"/>
    <s v="Infiltration Trench"/>
    <n v="0.41000000000000003"/>
    <s v="By HSG"/>
    <n v="0.32"/>
    <n v="0"/>
    <n v="0"/>
    <n v="0"/>
    <m/>
    <n v="1471.9650000000001"/>
    <s v="8.27 in/hr"/>
    <n v="0.46437000000000006"/>
    <n v="0.9677486348745864"/>
    <n v="1.0000000000000009E-2"/>
    <n v="0.838743174372932"/>
    <n v="0.99838743174372935"/>
    <n v="0.46362117167883565"/>
    <m/>
    <s v="No"/>
    <m/>
    <n v="1"/>
    <n v="0.46362117167883565"/>
    <m/>
    <m/>
    <m/>
    <m/>
    <m/>
    <m/>
    <m/>
    <m/>
    <m/>
    <m/>
    <s v=""/>
    <n v="0"/>
    <s v=""/>
    <n v="0"/>
    <s v=""/>
    <s v=""/>
    <m/>
  </r>
  <r>
    <m/>
    <s v="EJ-WR-027"/>
    <x v="106"/>
    <s v="Village"/>
    <x v="1"/>
    <m/>
    <m/>
    <m/>
    <m/>
    <s v="Yes"/>
    <n v="23900"/>
    <x v="3"/>
    <m/>
    <m/>
    <m/>
    <m/>
    <s v="n/a"/>
    <s v="Winooski River"/>
    <x v="1"/>
    <x v="0"/>
    <s v="Infiltration Trench"/>
    <n v="0.31"/>
    <s v="By HSG"/>
    <n v="0.44"/>
    <n v="0"/>
    <n v="0"/>
    <n v="0"/>
    <m/>
    <n v="1194.2700000000002"/>
    <s v="8.27 in/hr"/>
    <n v="0.35507"/>
    <n v="1.0176295379518339"/>
    <n v="0"/>
    <n v="3.5259075903667725E-2"/>
    <n v="1"/>
    <n v="0.35507"/>
    <m/>
    <s v="No"/>
    <m/>
    <n v="1"/>
    <n v="0.35507"/>
    <m/>
    <m/>
    <m/>
    <m/>
    <m/>
    <m/>
    <m/>
    <m/>
    <m/>
    <m/>
    <s v=""/>
    <n v="0"/>
    <s v=""/>
    <n v="0"/>
    <s v=""/>
    <s v=""/>
    <m/>
  </r>
  <r>
    <m/>
    <s v="EJ-WR-028"/>
    <x v="107"/>
    <s v="Village"/>
    <x v="1"/>
    <m/>
    <m/>
    <m/>
    <m/>
    <s v="Yes"/>
    <n v="63100"/>
    <x v="3"/>
    <m/>
    <m/>
    <m/>
    <m/>
    <s v="n/a"/>
    <s v="Winooski River"/>
    <x v="1"/>
    <x v="0"/>
    <s v="Infiltration Trench"/>
    <n v="0.91"/>
    <s v="By HSG"/>
    <n v="0.96"/>
    <n v="0"/>
    <n v="0"/>
    <n v="0"/>
    <m/>
    <n v="3154.4700000000003"/>
    <s v="8.27 in/hr"/>
    <n v="1.0356700000000001"/>
    <n v="0.92891346849937262"/>
    <n v="1.0000000000000009E-2"/>
    <n v="0.64456734249686298"/>
    <n v="0.99644567342496859"/>
    <n v="1.0319888905960373"/>
    <m/>
    <s v="No"/>
    <m/>
    <n v="1"/>
    <n v="1.0319888905960373"/>
    <m/>
    <m/>
    <m/>
    <m/>
    <m/>
    <m/>
    <m/>
    <m/>
    <m/>
    <m/>
    <s v=""/>
    <n v="0"/>
    <s v=""/>
    <n v="0"/>
    <s v=""/>
    <s v=""/>
    <m/>
  </r>
  <r>
    <m/>
    <s v="EJ-WR-030"/>
    <x v="108"/>
    <s v="Village"/>
    <x v="1"/>
    <m/>
    <m/>
    <m/>
    <m/>
    <s v="Yes"/>
    <n v="2500"/>
    <x v="3"/>
    <m/>
    <m/>
    <m/>
    <m/>
    <s v="n/a"/>
    <s v="Winooski River"/>
    <x v="1"/>
    <x v="0"/>
    <s v="Impervious removal"/>
    <n v="0.05"/>
    <s v="By HSG"/>
    <n v="0"/>
    <n v="0"/>
    <n v="0"/>
    <n v="0"/>
    <m/>
    <m/>
    <s v="8.27 in/hr"/>
    <n v="5.5850000000000004E-2"/>
    <n v="0"/>
    <s v=""/>
    <n v="0"/>
    <s v=""/>
    <s v=""/>
    <n v="0.06"/>
    <s v="No"/>
    <m/>
    <n v="1"/>
    <n v="0.06"/>
    <m/>
    <m/>
    <m/>
    <m/>
    <m/>
    <m/>
    <m/>
    <m/>
    <m/>
    <m/>
    <s v=""/>
    <n v="0"/>
    <s v=""/>
    <n v="0"/>
    <s v=""/>
    <s v=""/>
    <m/>
  </r>
  <r>
    <m/>
    <s v="EJ-WR-031"/>
    <x v="109"/>
    <s v="Village"/>
    <x v="1"/>
    <m/>
    <m/>
    <m/>
    <m/>
    <s v="Yes"/>
    <n v="31800"/>
    <x v="3"/>
    <m/>
    <m/>
    <m/>
    <m/>
    <s v="n/a"/>
    <s v="Winooski River"/>
    <x v="1"/>
    <x v="0"/>
    <s v="Infiltration Trench"/>
    <n v="0.43"/>
    <s v="By HSG"/>
    <n v="0.17"/>
    <n v="0"/>
    <n v="0"/>
    <n v="0"/>
    <m/>
    <n v="1586.31"/>
    <s v="8.27 in/hr"/>
    <n v="0.48371000000000003"/>
    <n v="1.0044902642302409"/>
    <n v="0"/>
    <n v="8.980528460481807E-3"/>
    <n v="1"/>
    <n v="0.48371000000000003"/>
    <m/>
    <s v="No"/>
    <m/>
    <n v="1"/>
    <n v="0.48371000000000003"/>
    <m/>
    <m/>
    <m/>
    <m/>
    <m/>
    <m/>
    <m/>
    <m/>
    <m/>
    <m/>
    <s v=""/>
    <n v="0"/>
    <s v=""/>
    <n v="0"/>
    <s v=""/>
    <s v=""/>
    <m/>
  </r>
  <r>
    <m/>
    <s v="EJ-WR-032"/>
    <x v="110"/>
    <s v="Village"/>
    <x v="1"/>
    <m/>
    <m/>
    <m/>
    <m/>
    <s v="Yes"/>
    <n v="12800"/>
    <x v="3"/>
    <m/>
    <m/>
    <m/>
    <m/>
    <s v="n/a"/>
    <s v="Winooski River"/>
    <x v="1"/>
    <x v="0"/>
    <s v="Infiltration Trench"/>
    <n v="0.14000000000000001"/>
    <s v="By HSG"/>
    <n v="0.17"/>
    <n v="0"/>
    <n v="0"/>
    <n v="0"/>
    <m/>
    <n v="638.88"/>
    <s v="8.27 in/hr"/>
    <n v="0.15978000000000003"/>
    <n v="1.2019176294503229"/>
    <n v="0"/>
    <n v="0.40383525890064575"/>
    <n v="1"/>
    <n v="0.15978000000000003"/>
    <m/>
    <s v="No"/>
    <m/>
    <n v="1"/>
    <n v="0.15978000000000003"/>
    <m/>
    <m/>
    <m/>
    <m/>
    <m/>
    <m/>
    <m/>
    <m/>
    <m/>
    <m/>
    <s v=""/>
    <n v="0"/>
    <s v=""/>
    <n v="0"/>
    <s v=""/>
    <s v=""/>
    <m/>
  </r>
  <r>
    <m/>
    <s v="EJ-WR-033"/>
    <x v="111"/>
    <s v="Village"/>
    <x v="1"/>
    <m/>
    <m/>
    <m/>
    <m/>
    <s v="Yes"/>
    <n v="10900"/>
    <x v="3"/>
    <m/>
    <m/>
    <m/>
    <m/>
    <s v="n/a"/>
    <s v="Winooski River"/>
    <x v="1"/>
    <x v="0"/>
    <s v="Infiltration Trench"/>
    <n v="0.11000000000000001"/>
    <s v="By HSG"/>
    <n v="0.2"/>
    <n v="0"/>
    <n v="0"/>
    <n v="0"/>
    <m/>
    <n v="540.87"/>
    <s v="2.41 in/hr"/>
    <n v="0.12687000000000001"/>
    <n v="1.2620239753867901"/>
    <n v="2.0000000000000018E-2"/>
    <n v="0.52404795077358024"/>
    <n v="0.99048095901547162"/>
    <n v="0.12566231927029289"/>
    <m/>
    <s v="No"/>
    <m/>
    <n v="1"/>
    <n v="0.12566231927029289"/>
    <m/>
    <m/>
    <m/>
    <m/>
    <m/>
    <m/>
    <m/>
    <m/>
    <m/>
    <m/>
    <s v=""/>
    <n v="0"/>
    <s v=""/>
    <n v="0"/>
    <s v=""/>
    <s v=""/>
    <m/>
  </r>
  <r>
    <m/>
    <s v="EJ-WR-034"/>
    <x v="112"/>
    <s v="Village"/>
    <x v="1"/>
    <m/>
    <m/>
    <m/>
    <m/>
    <s v="Yes"/>
    <n v="16100"/>
    <x v="3"/>
    <m/>
    <m/>
    <m/>
    <m/>
    <s v="n/a"/>
    <s v="Winooski River"/>
    <x v="1"/>
    <x v="0"/>
    <s v="Infiltration Trench"/>
    <n v="0.19"/>
    <s v="By HSG"/>
    <n v="0.19"/>
    <n v="0"/>
    <n v="0"/>
    <n v="0"/>
    <m/>
    <n v="802.2299999999999"/>
    <s v="2.41 in/hr"/>
    <n v="0.21603"/>
    <n v="1.1242253971154519"/>
    <n v="2.0000000000000018E-2"/>
    <n v="0.24845079423090377"/>
    <n v="0.98496901588461805"/>
    <n v="0.21278285650155404"/>
    <m/>
    <s v="No"/>
    <m/>
    <n v="1"/>
    <n v="0.21278285650155404"/>
    <m/>
    <m/>
    <m/>
    <m/>
    <m/>
    <m/>
    <m/>
    <m/>
    <m/>
    <m/>
    <s v=""/>
    <n v="0"/>
    <s v=""/>
    <n v="0"/>
    <s v=""/>
    <s v=""/>
    <m/>
  </r>
  <r>
    <m/>
    <s v="EJ-WR-035"/>
    <x v="113"/>
    <s v="Village"/>
    <x v="1"/>
    <m/>
    <m/>
    <m/>
    <m/>
    <s v="Yes"/>
    <n v="18700"/>
    <x v="3"/>
    <m/>
    <m/>
    <m/>
    <m/>
    <s v="n/a"/>
    <s v="Winooski River"/>
    <x v="1"/>
    <x v="0"/>
    <s v="Infiltration Trench"/>
    <n v="0.22999999999999998"/>
    <s v="By HSG"/>
    <n v="0.16"/>
    <n v="0"/>
    <n v="0"/>
    <n v="0"/>
    <m/>
    <n v="932.90999999999985"/>
    <s v="2.41 in/hr"/>
    <n v="0.26010999999999995"/>
    <n v="1.0920902675214001"/>
    <n v="2.0000000000000018E-2"/>
    <n v="0.1841805350428003"/>
    <n v="0.98368361070085597"/>
    <n v="0.2558659439793996"/>
    <m/>
    <s v="No"/>
    <m/>
    <n v="1"/>
    <n v="0.2558659439793996"/>
    <m/>
    <m/>
    <m/>
    <m/>
    <m/>
    <m/>
    <m/>
    <m/>
    <m/>
    <m/>
    <s v=""/>
    <n v="0"/>
    <s v=""/>
    <n v="0"/>
    <s v=""/>
    <s v=""/>
    <m/>
  </r>
  <r>
    <m/>
    <s v="EJ-WR-036"/>
    <x v="114"/>
    <s v="Village"/>
    <x v="1"/>
    <m/>
    <m/>
    <m/>
    <m/>
    <s v="Yes"/>
    <n v="16100"/>
    <x v="3"/>
    <m/>
    <m/>
    <m/>
    <m/>
    <s v="n/a"/>
    <s v="Winooski River"/>
    <x v="1"/>
    <x v="0"/>
    <s v="Infiltration Trench"/>
    <n v="0.19"/>
    <s v="By HSG"/>
    <n v="0.21"/>
    <n v="0"/>
    <n v="0"/>
    <n v="0"/>
    <m/>
    <n v="802.23"/>
    <s v="2.41 in/hr"/>
    <n v="0.21643000000000001"/>
    <n v="1.1204636248286832"/>
    <n v="2.0000000000000018E-2"/>
    <n v="0.24092724965736645"/>
    <n v="0.98481854499314736"/>
    <n v="0.2131442776928669"/>
    <m/>
    <s v="No"/>
    <m/>
    <n v="1"/>
    <n v="0.2131442776928669"/>
    <m/>
    <m/>
    <m/>
    <m/>
    <m/>
    <m/>
    <m/>
    <m/>
    <m/>
    <m/>
    <s v=""/>
    <n v="0"/>
    <s v=""/>
    <n v="0"/>
    <s v=""/>
    <s v=""/>
    <m/>
  </r>
  <r>
    <m/>
    <s v="EJ-WR-037"/>
    <x v="115"/>
    <s v="Village"/>
    <x v="1"/>
    <m/>
    <m/>
    <m/>
    <m/>
    <s v="Yes"/>
    <n v="12200"/>
    <x v="3"/>
    <m/>
    <m/>
    <m/>
    <m/>
    <s v="n/a"/>
    <s v="Winooski River"/>
    <x v="1"/>
    <x v="0"/>
    <s v="Infiltration Trench"/>
    <n v="0.13"/>
    <s v="By HSG"/>
    <n v="0.1"/>
    <n v="0"/>
    <n v="0"/>
    <n v="0"/>
    <m/>
    <n v="606.20999999999992"/>
    <s v="2.41 in/hr"/>
    <n v="0.14721000000000001"/>
    <n v="1.2465634857610941"/>
    <n v="2.0000000000000018E-2"/>
    <n v="0.49312697152218821"/>
    <n v="0.98986253943044378"/>
    <n v="0.14571766442955564"/>
    <m/>
    <s v="No"/>
    <m/>
    <n v="1"/>
    <n v="0.14571766442955564"/>
    <m/>
    <m/>
    <m/>
    <m/>
    <m/>
    <m/>
    <m/>
    <m/>
    <m/>
    <m/>
    <s v=""/>
    <n v="0"/>
    <s v=""/>
    <n v="0"/>
    <s v=""/>
    <s v=""/>
    <m/>
  </r>
  <r>
    <s v="3574-9010.R"/>
    <s v="EX-WR-004"/>
    <x v="116"/>
    <s v="Town"/>
    <x v="0"/>
    <m/>
    <m/>
    <s v="3574-9010.R"/>
    <m/>
    <s v="Yes"/>
    <n v="54000"/>
    <x v="3"/>
    <m/>
    <m/>
    <m/>
    <m/>
    <s v="n/a"/>
    <s v="Winooski River"/>
    <x v="1"/>
    <x v="0"/>
    <s v="Infiltration Trench"/>
    <n v="0.77"/>
    <s v="By HSG"/>
    <n v="1.66"/>
    <n v="0"/>
    <n v="0"/>
    <n v="0"/>
    <m/>
    <n v="2697.09"/>
    <s v="8.27 in/hr"/>
    <n v="0.89329000000000003"/>
    <n v="0.91382911634799002"/>
    <n v="1.0000000000000009E-2"/>
    <n v="0.56914558173995"/>
    <n v="0.99569145581739948"/>
    <n v="0.88944122056712482"/>
    <m/>
    <s v="No"/>
    <m/>
    <n v="1"/>
    <n v="0.88944122056712482"/>
    <m/>
    <m/>
    <m/>
    <m/>
    <m/>
    <m/>
    <m/>
    <m/>
    <m/>
    <m/>
    <s v=""/>
    <n v="0"/>
    <s v=""/>
    <n v="0"/>
    <s v=""/>
    <s v=""/>
    <m/>
  </r>
  <r>
    <s v="3574-9010.R"/>
    <s v="EX-WR-003"/>
    <x v="117"/>
    <s v="Town"/>
    <x v="0"/>
    <m/>
    <m/>
    <s v="3574-9010.R"/>
    <m/>
    <s v="Yes"/>
    <n v="46200"/>
    <x v="3"/>
    <m/>
    <m/>
    <m/>
    <m/>
    <s v="n/a"/>
    <s v="Winooski River"/>
    <x v="1"/>
    <x v="0"/>
    <s v="Infiltration Trench"/>
    <n v="0.65"/>
    <s v="By HSG"/>
    <n v="1.57"/>
    <n v="0.01"/>
    <n v="0"/>
    <n v="0"/>
    <m/>
    <n v="2305.0500000000002"/>
    <s v="8.27 in/hr"/>
    <n v="0.75998999999999994"/>
    <n v="0.91843432582980811"/>
    <n v="1.0000000000000009E-2"/>
    <n v="0.59217162914904042"/>
    <n v="0.9959217162914904"/>
    <n v="0.75689054516436971"/>
    <m/>
    <s v="No"/>
    <m/>
    <n v="1"/>
    <n v="0.75689054516436971"/>
    <m/>
    <m/>
    <m/>
    <m/>
    <m/>
    <m/>
    <m/>
    <m/>
    <m/>
    <m/>
    <s v=""/>
    <n v="0"/>
    <s v=""/>
    <n v="0"/>
    <s v=""/>
    <s v=""/>
    <m/>
  </r>
  <r>
    <s v="3574-9010.R"/>
    <s v="EX-WR-007"/>
    <x v="118"/>
    <s v="Town"/>
    <x v="0"/>
    <m/>
    <m/>
    <s v="3574-9010.R"/>
    <m/>
    <s v="Yes"/>
    <n v="22600"/>
    <x v="3"/>
    <m/>
    <m/>
    <m/>
    <m/>
    <s v="n/a"/>
    <s v="Winooski River"/>
    <x v="1"/>
    <x v="0"/>
    <s v="Infiltration Trench"/>
    <n v="0.29000000000000004"/>
    <s v="By HSG"/>
    <n v="0.74"/>
    <n v="0"/>
    <n v="0"/>
    <n v="0"/>
    <m/>
    <n v="1128.93"/>
    <s v="2.41 in/hr"/>
    <n v="0.33873000000000003"/>
    <n v="0.99757535318782742"/>
    <n v="2.0000000000000018E-2"/>
    <n v="0.98787676593913709"/>
    <n v="0.97975753531878274"/>
    <n v="0.33187326993853128"/>
    <m/>
    <s v="No"/>
    <m/>
    <n v="1"/>
    <n v="0.33187326993853128"/>
    <m/>
    <m/>
    <m/>
    <m/>
    <m/>
    <m/>
    <m/>
    <m/>
    <m/>
    <m/>
    <s v=""/>
    <n v="0"/>
    <s v=""/>
    <n v="0"/>
    <s v=""/>
    <s v=""/>
    <m/>
  </r>
  <r>
    <s v="3574-9010.R"/>
    <s v="EX-WR-006"/>
    <x v="119"/>
    <s v="Town"/>
    <x v="0"/>
    <m/>
    <m/>
    <s v="3574-9010.R"/>
    <m/>
    <s v="Yes"/>
    <n v="32400"/>
    <x v="3"/>
    <m/>
    <m/>
    <m/>
    <m/>
    <s v="n/a"/>
    <s v="Winooski River"/>
    <x v="1"/>
    <x v="0"/>
    <s v="Infiltration Trench"/>
    <n v="0.44000000000000006"/>
    <s v="By HSG"/>
    <n v="0.78"/>
    <n v="0"/>
    <n v="0"/>
    <n v="0"/>
    <m/>
    <n v="1618.98"/>
    <s v="8.27 in/hr"/>
    <n v="0.50708000000000009"/>
    <n v="0.96557481747231666"/>
    <n v="1.0000000000000009E-2"/>
    <n v="0.8278740873615833"/>
    <n v="0.99827874087361579"/>
    <n v="0.50620718392219322"/>
    <m/>
    <s v="No"/>
    <m/>
    <n v="1"/>
    <n v="0.50620718392219322"/>
    <m/>
    <m/>
    <m/>
    <m/>
    <m/>
    <m/>
    <m/>
    <m/>
    <m/>
    <m/>
    <s v=""/>
    <n v="0"/>
    <s v=""/>
    <n v="0"/>
    <s v=""/>
    <s v=""/>
    <m/>
  </r>
  <r>
    <s v="3574-9010.R"/>
    <s v="EX-WR-005"/>
    <x v="120"/>
    <s v="Town"/>
    <x v="0"/>
    <m/>
    <m/>
    <s v="3574-9010.R"/>
    <m/>
    <s v="Yes"/>
    <n v="50100"/>
    <x v="3"/>
    <m/>
    <m/>
    <m/>
    <m/>
    <s v="n/a"/>
    <s v="Winooski River"/>
    <x v="1"/>
    <x v="0"/>
    <s v="Infiltration Trench"/>
    <n v="0.71"/>
    <s v="By HSG"/>
    <n v="1"/>
    <n v="0"/>
    <n v="0"/>
    <n v="0"/>
    <m/>
    <n v="2501.0700000000002"/>
    <s v="8.27 in/hr"/>
    <n v="0.81306999999999996"/>
    <n v="0.9350999535579354"/>
    <n v="1.0000000000000009E-2"/>
    <n v="0.67549976778967691"/>
    <n v="0.99675499767789677"/>
    <n v="0.81043158596196752"/>
    <m/>
    <s v="No"/>
    <m/>
    <n v="1"/>
    <n v="0.81043158596196752"/>
    <m/>
    <m/>
    <m/>
    <m/>
    <m/>
    <m/>
    <m/>
    <m/>
    <m/>
    <m/>
    <s v=""/>
    <n v="0"/>
    <s v=""/>
    <n v="0"/>
    <s v=""/>
    <s v=""/>
    <m/>
  </r>
  <r>
    <s v="combo with outlet partially meeting standards"/>
    <s v="EX-WR-009"/>
    <x v="121"/>
    <s v="Town"/>
    <x v="0"/>
    <m/>
    <m/>
    <m/>
    <m/>
    <s v="Yes"/>
    <n v="54000"/>
    <x v="3"/>
    <m/>
    <m/>
    <m/>
    <m/>
    <s v="n/a"/>
    <s v="Winooski River"/>
    <x v="1"/>
    <x v="0"/>
    <s v="Infiltration Trench"/>
    <n v="0.77"/>
    <s v="By HSG"/>
    <n v="1.22"/>
    <n v="0"/>
    <n v="0"/>
    <n v="0"/>
    <m/>
    <n v="2697.09"/>
    <s v="8.27 in/hr"/>
    <n v="0.88449"/>
    <n v="0.92612475806965344"/>
    <n v="1.0000000000000009E-2"/>
    <n v="0.6306237903482671"/>
    <n v="0.99630623790348272"/>
    <n v="0.88122290436325146"/>
    <m/>
    <s v="No"/>
    <m/>
    <n v="1"/>
    <n v="0.88122290436325146"/>
    <m/>
    <m/>
    <m/>
    <m/>
    <m/>
    <m/>
    <m/>
    <m/>
    <m/>
    <m/>
    <s v=""/>
    <n v="0"/>
    <s v=""/>
    <n v="0"/>
    <s v=""/>
    <s v=""/>
    <m/>
  </r>
  <r>
    <s v="combo with outlet not meeting standards"/>
    <s v="EX-WR-008"/>
    <x v="122"/>
    <s v="Town"/>
    <x v="0"/>
    <m/>
    <m/>
    <m/>
    <m/>
    <s v="Yes"/>
    <n v="60500"/>
    <x v="3"/>
    <m/>
    <m/>
    <m/>
    <m/>
    <s v="n/a"/>
    <s v="Winooski River"/>
    <x v="1"/>
    <x v="0"/>
    <s v="Infiltration Trench"/>
    <n v="0.87"/>
    <s v="By HSG"/>
    <n v="2.4900000000000002"/>
    <n v="0"/>
    <n v="0"/>
    <n v="0"/>
    <m/>
    <n v="3023.79"/>
    <s v="8.27 in/hr"/>
    <n v="1.02159"/>
    <n v="0.89331324595526151"/>
    <n v="1.0000000000000009E-2"/>
    <n v="0.46656622977630746"/>
    <n v="0.9946656622977631"/>
    <n v="1.0161404939467718"/>
    <m/>
    <s v="No"/>
    <m/>
    <n v="1"/>
    <n v="1.0161404939467718"/>
    <m/>
    <m/>
    <m/>
    <m/>
    <m/>
    <m/>
    <m/>
    <m/>
    <m/>
    <m/>
    <s v=""/>
    <n v="0"/>
    <s v=""/>
    <n v="0"/>
    <s v=""/>
    <s v=""/>
    <m/>
  </r>
  <r>
    <s v="3574-9010.R"/>
    <s v="EX-WR-010"/>
    <x v="123"/>
    <s v="Town"/>
    <x v="0"/>
    <m/>
    <m/>
    <s v="3574-9010.R"/>
    <m/>
    <s v="Yes"/>
    <n v="74900"/>
    <x v="3"/>
    <m/>
    <m/>
    <m/>
    <m/>
    <s v="n/a"/>
    <s v="Winooski River"/>
    <x v="1"/>
    <x v="0"/>
    <s v="Infiltration Trench"/>
    <n v="1.0899999999999999"/>
    <s v="By HSG"/>
    <n v="0"/>
    <n v="2.5299999999999998"/>
    <n v="0"/>
    <n v="0"/>
    <m/>
    <n v="3742.5299999999993"/>
    <s v="1.02 in/hr"/>
    <n v="1.8601499999999997"/>
    <n v="0.87658515789736857"/>
    <n v="3.9999999999999925E-2"/>
    <n v="0.38292578948684275"/>
    <n v="0.93531703157947377"/>
    <n v="1.739829976292558"/>
    <m/>
    <s v="No"/>
    <m/>
    <n v="1"/>
    <n v="1.739829976292558"/>
    <m/>
    <m/>
    <m/>
    <m/>
    <m/>
    <m/>
    <m/>
    <m/>
    <m/>
    <m/>
    <s v=""/>
    <n v="0"/>
    <s v=""/>
    <n v="0"/>
    <s v=""/>
    <s v=""/>
    <m/>
  </r>
  <r>
    <s v="combo with outlet not meeting standards"/>
    <s v="EX-WR-012"/>
    <x v="124"/>
    <s v="Town"/>
    <x v="0"/>
    <m/>
    <m/>
    <m/>
    <m/>
    <s v="Yes"/>
    <n v="18700"/>
    <x v="3"/>
    <m/>
    <m/>
    <m/>
    <m/>
    <s v="n/a"/>
    <s v="Winooski River"/>
    <x v="1"/>
    <x v="0"/>
    <s v="Infiltration Trench"/>
    <n v="0.22999999999999998"/>
    <s v="By HSG"/>
    <n v="0"/>
    <n v="0.36"/>
    <n v="0"/>
    <n v="0"/>
    <m/>
    <n v="932.90999999999985"/>
    <s v="1.02 in/hr"/>
    <n v="0.34834999999999994"/>
    <n v="1.0439221483653718"/>
    <n v="3.0000000000000027E-2"/>
    <n v="8.7844296730743565E-2"/>
    <n v="0.96263532890192227"/>
    <n v="0.33533401682298458"/>
    <m/>
    <s v="No"/>
    <m/>
    <n v="1"/>
    <n v="0.33533401682298458"/>
    <m/>
    <m/>
    <m/>
    <m/>
    <m/>
    <m/>
    <m/>
    <m/>
    <m/>
    <m/>
    <s v=""/>
    <n v="0"/>
    <s v=""/>
    <n v="0"/>
    <s v=""/>
    <s v=""/>
    <m/>
  </r>
  <r>
    <s v="combo with outlet not meeting standards"/>
    <s v="EX-WR-011"/>
    <x v="125"/>
    <s v="Town"/>
    <x v="0"/>
    <m/>
    <m/>
    <m/>
    <m/>
    <s v="Yes"/>
    <n v="19000"/>
    <x v="3"/>
    <m/>
    <m/>
    <m/>
    <m/>
    <s v="n/a"/>
    <s v="Winooski River"/>
    <x v="1"/>
    <x v="0"/>
    <s v="Infiltration Trench"/>
    <n v="0.23500000000000001"/>
    <s v="By HSG"/>
    <n v="0.1"/>
    <n v="0.44"/>
    <n v="0"/>
    <n v="0"/>
    <m/>
    <n v="949.245"/>
    <s v="1.02 in/hr"/>
    <n v="0.37625500000000001"/>
    <n v="1.017339342864819"/>
    <n v="3.0000000000000027E-2"/>
    <n v="3.4678685729637948E-2"/>
    <n v="0.96104036057188913"/>
    <n v="0.36159624086697617"/>
    <m/>
    <s v="No"/>
    <m/>
    <n v="1"/>
    <n v="0.36159624086697617"/>
    <m/>
    <m/>
    <m/>
    <m/>
    <m/>
    <m/>
    <m/>
    <m/>
    <m/>
    <m/>
    <s v=""/>
    <n v="0"/>
    <s v=""/>
    <n v="0"/>
    <s v=""/>
    <s v=""/>
    <m/>
  </r>
  <r>
    <s v="combo with outlet not meeting standards"/>
    <s v="EX-WR-002"/>
    <x v="126"/>
    <s v="Town"/>
    <x v="0"/>
    <m/>
    <m/>
    <m/>
    <m/>
    <s v="Yes"/>
    <n v="91200"/>
    <x v="3"/>
    <m/>
    <m/>
    <m/>
    <m/>
    <s v="n/a"/>
    <s v="Winooski River"/>
    <x v="1"/>
    <x v="0"/>
    <s v="Infiltration Trench"/>
    <n v="1.3399999999999999"/>
    <s v="By HSG"/>
    <n v="2.42"/>
    <n v="0"/>
    <n v="0"/>
    <n v="0"/>
    <m/>
    <n v="4559.2799999999988"/>
    <s v="8.27 in/hr"/>
    <n v="1.5451799999999998"/>
    <n v="0.89647492994863631"/>
    <n v="1.0000000000000009E-2"/>
    <n v="0.48237464974318145"/>
    <n v="0.99482374649743177"/>
    <n v="1.5371817566129014"/>
    <m/>
    <s v="No"/>
    <m/>
    <n v="1"/>
    <n v="1.5371817566129014"/>
    <m/>
    <m/>
    <m/>
    <m/>
    <m/>
    <m/>
    <m/>
    <m/>
    <m/>
    <m/>
    <s v=""/>
    <n v="0"/>
    <s v=""/>
    <n v="0"/>
    <s v=""/>
    <s v=""/>
    <m/>
  </r>
  <r>
    <s v="4181-9050.2"/>
    <s v="4181-9050.2"/>
    <x v="127"/>
    <s v="Town"/>
    <x v="0"/>
    <m/>
    <m/>
    <s v="4181-9050.2"/>
    <m/>
    <s v="Yes"/>
    <m/>
    <x v="0"/>
    <m/>
    <d v="2014-11-07T00:00:00"/>
    <m/>
    <m/>
    <s v="n/a"/>
    <s v="Winooski River"/>
    <x v="1"/>
    <x v="0"/>
    <s v="Infiltration Trench"/>
    <n v="0.8"/>
    <s v="By HSG"/>
    <n v="0.2"/>
    <n v="0"/>
    <n v="0"/>
    <n v="0"/>
    <m/>
    <n v="2795.1"/>
    <s v="8.27 in/hr"/>
    <n v="0.89760000000000006"/>
    <n v="0.9558857294280616"/>
    <n v="1.0000000000000009E-2"/>
    <n v="0.77942864714030802"/>
    <n v="0.99779428647140311"/>
    <n v="0.89562015153673147"/>
    <m/>
    <s v="No"/>
    <m/>
    <n v="1"/>
    <n v="0.89562015153673147"/>
    <m/>
    <m/>
    <m/>
    <m/>
    <m/>
    <m/>
    <m/>
    <m/>
    <m/>
    <m/>
    <s v=""/>
    <n v="0"/>
    <s v=""/>
    <n v="0"/>
    <s v=""/>
    <s v=""/>
    <m/>
  </r>
  <r>
    <m/>
    <s v="EJ-WR-021"/>
    <x v="128"/>
    <s v="Village"/>
    <x v="1"/>
    <m/>
    <m/>
    <m/>
    <m/>
    <s v="Yes"/>
    <n v="36200"/>
    <x v="3"/>
    <m/>
    <m/>
    <m/>
    <m/>
    <s v="n/a"/>
    <s v="Winooski River"/>
    <x v="1"/>
    <x v="0"/>
    <s v="Infiltration Trench"/>
    <n v="0.51"/>
    <s v="By HSG"/>
    <n v="0.27"/>
    <n v="0"/>
    <n v="0"/>
    <n v="0"/>
    <m/>
    <n v="1807.74"/>
    <s v="8.27 in/hr"/>
    <n v="0.57506999999999997"/>
    <n v="0.96223720006570457"/>
    <n v="1.0000000000000009E-2"/>
    <n v="0.81118600032852284"/>
    <n v="0.99811186000328522"/>
    <n v="0.57398418733208922"/>
    <m/>
    <s v="No"/>
    <m/>
    <n v="1"/>
    <n v="0.57398418733208922"/>
    <m/>
    <m/>
    <m/>
    <m/>
    <m/>
    <m/>
    <m/>
    <m/>
    <m/>
    <m/>
    <s v=""/>
    <n v="0"/>
    <s v=""/>
    <n v="0"/>
    <s v=""/>
    <s v=""/>
    <m/>
  </r>
  <r>
    <s v="7002-9015.T"/>
    <s v="7025.9014.ARA"/>
    <x v="73"/>
    <s v="Town"/>
    <x v="0"/>
    <m/>
    <m/>
    <s v="7025.9014.ARA"/>
    <m/>
    <s v="Yes"/>
    <m/>
    <x v="0"/>
    <m/>
    <n v="2014"/>
    <m/>
    <m/>
    <s v="n/a"/>
    <s v="Winooski River"/>
    <x v="1"/>
    <x v="0"/>
    <s v="Grass Channel"/>
    <n v="1.1399999999999999"/>
    <s v="Total Pervious"/>
    <m/>
    <m/>
    <m/>
    <m/>
    <n v="2.5"/>
    <n v="978"/>
    <m/>
    <n v="1.8508800000000001"/>
    <n v="0.20774768473217067"/>
    <n v="3.9999999999999994E-2"/>
    <n v="3.8738423660853311E-2"/>
    <n v="5.1549536946434132E-2"/>
    <n v="9.5412006943416006E-2"/>
    <m/>
    <s v="No"/>
    <m/>
    <n v="1"/>
    <n v="9.5412006943416006E-2"/>
    <m/>
    <m/>
    <m/>
    <m/>
    <m/>
    <m/>
    <m/>
    <m/>
    <m/>
    <m/>
    <s v=""/>
    <n v="0"/>
    <s v=""/>
    <n v="0"/>
    <s v=""/>
    <s v=""/>
    <m/>
  </r>
  <r>
    <s v="5263-9050"/>
    <s v="5263-9050"/>
    <x v="129"/>
    <s v="Town"/>
    <x v="0"/>
    <m/>
    <m/>
    <s v="5263-9050"/>
    <m/>
    <s v="Yes"/>
    <m/>
    <x v="0"/>
    <m/>
    <n v="2012"/>
    <m/>
    <m/>
    <s v="n/a"/>
    <s v="Winooski River"/>
    <x v="1"/>
    <x v="0"/>
    <s v="Bioretention (infiltrating)"/>
    <n v="1.81"/>
    <s v="By HSG"/>
    <n v="1"/>
    <n v="0"/>
    <n v="0"/>
    <n v="0"/>
    <m/>
    <n v="6423.2850000000008"/>
    <s v="2.41 in/hr"/>
    <n v="2.0417700000000001"/>
    <n v="0.962751328027872"/>
    <n v="1.0000000000000009E-2"/>
    <n v="0.81375664013936"/>
    <n v="0.9781375664013936"/>
    <n v="1.9971319389513735"/>
    <m/>
    <s v="No"/>
    <m/>
    <n v="1"/>
    <n v="1.9971319389513735"/>
    <m/>
    <m/>
    <m/>
    <m/>
    <m/>
    <m/>
    <m/>
    <m/>
    <m/>
    <m/>
    <s v=""/>
    <n v="0"/>
    <s v=""/>
    <n v="0"/>
    <s v=""/>
    <s v=""/>
    <m/>
  </r>
  <r>
    <m/>
    <s v="EX-WR-041"/>
    <x v="130"/>
    <s v="Town"/>
    <x v="0"/>
    <m/>
    <m/>
    <m/>
    <m/>
    <s v="Yes"/>
    <n v="647000"/>
    <x v="2"/>
    <m/>
    <m/>
    <m/>
    <m/>
    <s v="n/a"/>
    <s v="Winooski River"/>
    <x v="1"/>
    <x v="0"/>
    <s v="Infiltration Chambers"/>
    <n v="3.9420000000000002"/>
    <s v="By HSG"/>
    <n v="7.2579999999999991"/>
    <n v="0"/>
    <n v="0"/>
    <n v="0"/>
    <n v="7.2610000000000001"/>
    <n v="12763.06"/>
    <s v="8.27 in/hr"/>
    <n v="4.5483739999999999"/>
    <n v="0.85492715836986943"/>
    <n v="1.0000000000000009E-2"/>
    <n v="0.274635791849347"/>
    <n v="0.99274635791849342"/>
    <n v="4.5153817229511697"/>
    <m/>
    <s v="No"/>
    <m/>
    <n v="1"/>
    <n v="4.5153817229511697"/>
    <m/>
    <m/>
    <m/>
    <m/>
    <m/>
    <m/>
    <m/>
    <m/>
    <m/>
    <m/>
    <s v=""/>
    <n v="0"/>
    <s v=""/>
    <n v="0"/>
    <s v=""/>
    <s v=""/>
    <m/>
  </r>
  <r>
    <m/>
    <s v="EX-WR-039"/>
    <x v="131"/>
    <s v="Town"/>
    <x v="0"/>
    <m/>
    <m/>
    <m/>
    <m/>
    <s v="Yes"/>
    <n v="410000"/>
    <x v="3"/>
    <m/>
    <m/>
    <m/>
    <m/>
    <s v="n/a"/>
    <s v="Winooski River"/>
    <x v="1"/>
    <x v="0"/>
    <s v="Dry Swale (w/ underdrain)"/>
    <n v="6.6596207999999999"/>
    <s v="Total Pervious"/>
    <m/>
    <m/>
    <m/>
    <m/>
    <n v="11.5"/>
    <n v="18774.36"/>
    <m/>
    <n v="10.0952964336"/>
    <n v="0.6000050900328695"/>
    <n v="3.999999999999998E-2"/>
    <n v="2.5450164347629024E-5"/>
    <n v="0.44000101800657393"/>
    <n v="4.4419407078621349"/>
    <m/>
    <s v="No"/>
    <m/>
    <n v="1"/>
    <n v="4.4419407078621349"/>
    <m/>
    <m/>
    <m/>
    <m/>
    <m/>
    <m/>
    <m/>
    <m/>
    <m/>
    <m/>
    <s v=""/>
    <n v="0"/>
    <s v=""/>
    <n v="0"/>
    <s v=""/>
    <s v=""/>
    <m/>
  </r>
  <r>
    <m/>
    <s v="EX-WR-040"/>
    <x v="132"/>
    <s v="Town"/>
    <x v="0"/>
    <m/>
    <m/>
    <s v="3581.9010.R"/>
    <m/>
    <s v="Yes"/>
    <n v="341700"/>
    <x v="3"/>
    <m/>
    <n v="1991"/>
    <m/>
    <m/>
    <s v="n/a"/>
    <s v="Winooski River"/>
    <x v="1"/>
    <x v="0"/>
    <s v="Gravel Wetland"/>
    <n v="2.5499999999999998"/>
    <s v="By HSG"/>
    <n v="0"/>
    <n v="0"/>
    <n v="3.8"/>
    <n v="3.39"/>
    <n v="7.3125"/>
    <n v="20100"/>
    <m/>
    <n v="5.5106799999999998"/>
    <n v="1.2449840792778453"/>
    <n v="4.0000000000000036E-2"/>
    <n v="0.48996815855569054"/>
    <n v="0.62959872634222758"/>
    <n v="3.4695171092795865"/>
    <m/>
    <s v="Yes"/>
    <s v="No"/>
    <n v="1"/>
    <n v="2.8082355092795863"/>
    <m/>
    <m/>
    <m/>
    <m/>
    <m/>
    <m/>
    <m/>
    <s v="Extended Dry Detention Pond"/>
    <n v="20100"/>
    <m/>
    <n v="5.5106799999999998"/>
    <n v="1.2449840792778453"/>
    <n v="1.0000000000000009E-2"/>
    <n v="0.48996815855569054"/>
    <n v="0.12"/>
    <n v="0.66128159999999991"/>
    <m/>
  </r>
  <r>
    <m/>
    <s v="EX-WR-042"/>
    <x v="133"/>
    <s v="Town"/>
    <x v="0"/>
    <m/>
    <m/>
    <m/>
    <m/>
    <s v="Yes"/>
    <n v="81600"/>
    <x v="3"/>
    <m/>
    <m/>
    <m/>
    <m/>
    <s v="n/a"/>
    <s v="Winooski River"/>
    <x v="1"/>
    <x v="0"/>
    <s v="Infiltration Trench"/>
    <n v="1.02"/>
    <s v="By HSG"/>
    <n v="3.09"/>
    <n v="0.71"/>
    <n v="0"/>
    <n v="0"/>
    <m/>
    <n v="4078.3049999999998"/>
    <s v="2.41 in/hr"/>
    <n v="1.38148"/>
    <n v="0.98663294657788059"/>
    <n v="2.0000000000000018E-2"/>
    <n v="0.93316473288940294"/>
    <n v="0.97866329465778801"/>
    <n v="1.3520037683038411"/>
    <m/>
    <s v="No"/>
    <s v="No"/>
    <n v="1"/>
    <n v="1.3520037683038411"/>
    <m/>
    <m/>
    <m/>
    <m/>
    <m/>
    <m/>
    <m/>
    <m/>
    <m/>
    <m/>
    <s v=""/>
    <n v="0"/>
    <s v=""/>
    <n v="0"/>
    <s v=""/>
    <s v=""/>
    <m/>
  </r>
  <r>
    <m/>
    <s v="EX-WR-043"/>
    <x v="130"/>
    <s v="Town"/>
    <x v="0"/>
    <m/>
    <m/>
    <m/>
    <m/>
    <s v="Yes"/>
    <n v="91100"/>
    <x v="3"/>
    <m/>
    <m/>
    <m/>
    <m/>
    <s v="n/a"/>
    <s v="Winooski River"/>
    <x v="1"/>
    <x v="0"/>
    <s v="Infiltration Trench"/>
    <n v="1.18"/>
    <s v="By HSG"/>
    <n v="2.65"/>
    <n v="0"/>
    <n v="0"/>
    <n v="0"/>
    <m/>
    <n v="4550.204999999999"/>
    <s v="2.41 in/hr"/>
    <n v="1.3710599999999999"/>
    <n v="0.99658071717606178"/>
    <n v="2.0000000000000018E-2"/>
    <n v="0.98290358588030891"/>
    <n v="0.97965807171760622"/>
    <n v="1.3431699958091412"/>
    <m/>
    <s v="No"/>
    <s v="No"/>
    <n v="1"/>
    <n v="1.3431699958091412"/>
    <m/>
    <m/>
    <m/>
    <m/>
    <m/>
    <m/>
    <m/>
    <m/>
    <m/>
    <m/>
    <s v=""/>
    <n v="0"/>
    <s v=""/>
    <n v="0"/>
    <s v=""/>
    <s v=""/>
    <m/>
  </r>
  <r>
    <m/>
    <s v="EJ-WR-039"/>
    <x v="134"/>
    <s v="Essex Westford School District"/>
    <x v="1"/>
    <m/>
    <m/>
    <m/>
    <m/>
    <s v="Yes"/>
    <m/>
    <x v="2"/>
    <m/>
    <m/>
    <m/>
    <m/>
    <s v="n/a"/>
    <s v="Winooski River"/>
    <x v="1"/>
    <x v="0"/>
    <s v="Infiltration Chambers"/>
    <n v="11.71"/>
    <s v="By HSG"/>
    <n v="20.880000000000003"/>
    <m/>
    <m/>
    <m/>
    <n v="20.88"/>
    <n v="14244"/>
    <s v="8.27 in/hr"/>
    <n v="13.497670000000001"/>
    <n v="0.33391025860370444"/>
    <n v="0.18999999999999995"/>
    <n v="0.66955129301852212"/>
    <n v="0.8772147456735192"/>
    <n v="11.840355156235091"/>
    <m/>
    <s v="No"/>
    <m/>
    <n v="1"/>
    <n v="11.840355156235091"/>
    <m/>
    <m/>
    <m/>
    <m/>
    <m/>
    <m/>
    <m/>
    <m/>
    <m/>
    <m/>
    <s v=""/>
    <n v="0"/>
    <s v=""/>
    <n v="0"/>
    <s v=""/>
    <s v=""/>
    <m/>
  </r>
  <r>
    <s v="7778-INDS.A1T"/>
    <s v="7778-INDS.A1T"/>
    <x v="135"/>
    <s v="Village"/>
    <x v="1"/>
    <m/>
    <m/>
    <s v="7778-INDS.A1T"/>
    <m/>
    <s v="Yes"/>
    <m/>
    <x v="4"/>
    <n v="2024"/>
    <m/>
    <m/>
    <m/>
    <s v="n/a"/>
    <s v="Winooski River"/>
    <x v="1"/>
    <x v="1"/>
    <s v="Sand filter (w/ underdrain)"/>
    <n v="0.61799999999999999"/>
    <s v="Total Pervious"/>
    <m/>
    <m/>
    <m/>
    <m/>
    <n v="0.27900000000000003"/>
    <n v="1573"/>
    <m/>
    <n v="0.75475499999999995"/>
    <n v="0.64753890790562829"/>
    <n v="3.999999999999998E-2"/>
    <n v="0.23769453952814149"/>
    <n v="0.44950778158112564"/>
    <n v="0.33926824568726244"/>
    <m/>
    <s v="No"/>
    <m/>
    <n v="1"/>
    <n v="0.33926824568726244"/>
    <m/>
    <m/>
    <m/>
    <m/>
    <m/>
    <m/>
    <m/>
    <m/>
    <m/>
    <m/>
    <s v=""/>
    <n v="0"/>
    <s v=""/>
    <n v="0"/>
    <s v=""/>
    <s v=""/>
    <m/>
  </r>
  <r>
    <s v="3426-9050"/>
    <s v="3426-9050"/>
    <x v="136"/>
    <s v="Town"/>
    <x v="0"/>
    <m/>
    <m/>
    <s v="3426-9050"/>
    <m/>
    <s v="No"/>
    <m/>
    <x v="3"/>
    <m/>
    <m/>
    <m/>
    <m/>
    <m/>
    <m/>
    <x v="2"/>
    <x v="2"/>
    <m/>
    <m/>
    <m/>
    <m/>
    <m/>
    <m/>
    <m/>
    <m/>
    <m/>
    <m/>
    <s v=""/>
    <s v=""/>
    <s v=""/>
    <s v=""/>
    <s v=""/>
    <s v=""/>
    <m/>
    <m/>
    <m/>
    <n v="1"/>
    <s v=""/>
    <m/>
    <m/>
    <m/>
    <m/>
    <m/>
    <m/>
    <m/>
    <m/>
    <m/>
    <m/>
    <s v=""/>
    <s v=""/>
    <s v=""/>
    <s v=""/>
    <s v=""/>
    <s v=""/>
    <m/>
  </r>
  <r>
    <m/>
    <m/>
    <x v="137"/>
    <m/>
    <x v="2"/>
    <m/>
    <m/>
    <m/>
    <m/>
    <m/>
    <m/>
    <x v="5"/>
    <m/>
    <m/>
    <m/>
    <m/>
    <m/>
    <m/>
    <x v="2"/>
    <x v="2"/>
    <m/>
    <m/>
    <m/>
    <m/>
    <m/>
    <m/>
    <m/>
    <m/>
    <m/>
    <m/>
    <s v=""/>
    <s v=""/>
    <s v=""/>
    <s v=""/>
    <s v=""/>
    <s v=""/>
    <m/>
    <m/>
    <m/>
    <n v="1"/>
    <s v=""/>
    <m/>
    <m/>
    <m/>
    <m/>
    <m/>
    <m/>
    <m/>
    <m/>
    <m/>
    <m/>
    <s v=""/>
    <s v=""/>
    <s v=""/>
    <s v=""/>
    <s v=""/>
    <s v=""/>
    <m/>
  </r>
  <r>
    <m/>
    <m/>
    <x v="137"/>
    <m/>
    <x v="2"/>
    <m/>
    <m/>
    <m/>
    <m/>
    <m/>
    <m/>
    <x v="5"/>
    <m/>
    <m/>
    <m/>
    <m/>
    <m/>
    <m/>
    <x v="2"/>
    <x v="2"/>
    <m/>
    <m/>
    <m/>
    <m/>
    <m/>
    <m/>
    <m/>
    <m/>
    <m/>
    <m/>
    <s v=""/>
    <s v=""/>
    <s v=""/>
    <s v=""/>
    <s v=""/>
    <s v=""/>
    <m/>
    <m/>
    <m/>
    <n v="1"/>
    <s v=""/>
    <m/>
    <m/>
    <m/>
    <m/>
    <m/>
    <m/>
    <m/>
    <m/>
    <m/>
    <m/>
    <s v=""/>
    <s v=""/>
    <s v=""/>
    <s v=""/>
    <s v=""/>
    <s v=""/>
    <m/>
  </r>
  <r>
    <m/>
    <m/>
    <x v="137"/>
    <m/>
    <x v="2"/>
    <m/>
    <m/>
    <m/>
    <m/>
    <m/>
    <m/>
    <x v="5"/>
    <m/>
    <m/>
    <m/>
    <m/>
    <m/>
    <m/>
    <x v="2"/>
    <x v="2"/>
    <m/>
    <m/>
    <m/>
    <m/>
    <m/>
    <m/>
    <m/>
    <m/>
    <m/>
    <m/>
    <s v=""/>
    <s v=""/>
    <s v=""/>
    <s v=""/>
    <s v=""/>
    <s v=""/>
    <m/>
    <m/>
    <m/>
    <n v="1"/>
    <s v=""/>
    <m/>
    <m/>
    <m/>
    <m/>
    <m/>
    <m/>
    <m/>
    <m/>
    <m/>
    <m/>
    <s v=""/>
    <s v=""/>
    <s v=""/>
    <s v=""/>
    <s v=""/>
    <s v=""/>
    <m/>
  </r>
  <r>
    <m/>
    <m/>
    <x v="137"/>
    <m/>
    <x v="2"/>
    <m/>
    <m/>
    <m/>
    <m/>
    <m/>
    <m/>
    <x v="5"/>
    <m/>
    <m/>
    <m/>
    <m/>
    <m/>
    <m/>
    <x v="2"/>
    <x v="2"/>
    <m/>
    <m/>
    <m/>
    <m/>
    <m/>
    <m/>
    <m/>
    <m/>
    <m/>
    <m/>
    <s v=""/>
    <s v=""/>
    <s v=""/>
    <s v=""/>
    <s v=""/>
    <s v=""/>
    <m/>
    <m/>
    <m/>
    <n v="1"/>
    <s v=""/>
    <m/>
    <m/>
    <m/>
    <m/>
    <m/>
    <m/>
    <m/>
    <m/>
    <m/>
    <m/>
    <s v=""/>
    <s v=""/>
    <s v=""/>
    <s v=""/>
    <s v=""/>
    <s v=""/>
    <m/>
  </r>
  <r>
    <m/>
    <m/>
    <x v="137"/>
    <m/>
    <x v="2"/>
    <m/>
    <m/>
    <m/>
    <m/>
    <m/>
    <m/>
    <x v="5"/>
    <m/>
    <m/>
    <m/>
    <m/>
    <m/>
    <m/>
    <x v="2"/>
    <x v="2"/>
    <m/>
    <m/>
    <m/>
    <m/>
    <m/>
    <m/>
    <m/>
    <m/>
    <m/>
    <m/>
    <s v=""/>
    <s v=""/>
    <s v=""/>
    <s v=""/>
    <s v=""/>
    <s v=""/>
    <m/>
    <m/>
    <m/>
    <n v="1"/>
    <s v=""/>
    <m/>
    <m/>
    <m/>
    <m/>
    <m/>
    <m/>
    <m/>
    <m/>
    <m/>
    <m/>
    <s v=""/>
    <s v=""/>
    <s v=""/>
    <s v=""/>
    <s v=""/>
    <s v=""/>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9E15FB1-51AC-48F0-9EF3-B1FFCE5010C3}" name="PivotTable1" cacheId="0"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A28:E31" firstHeaderRow="0" firstDataRow="1" firstDataCol="1" rowPageCount="2" colPageCount="1"/>
  <pivotFields count="58">
    <pivotField showAll="0"/>
    <pivotField showAll="0"/>
    <pivotField showAll="0"/>
    <pivotField showAll="0"/>
    <pivotField axis="axisPage" multipleItemSelectionAllowed="1" showAll="0">
      <items count="3">
        <item h="1"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sortType="ascending">
      <items count="4">
        <item x="0"/>
        <item x="1"/>
        <item x="2"/>
        <item t="default"/>
      </items>
    </pivotField>
    <pivotField axis="axisPage" showAll="0">
      <items count="4">
        <item x="1"/>
        <item x="0"/>
        <item x="2"/>
        <item t="default"/>
      </items>
    </pivotField>
    <pivotField dataField="1" showAll="0"/>
    <pivotField dataField="1" showAll="0"/>
    <pivotField showAll="0"/>
    <pivotField showAll="0"/>
    <pivotField showAll="0"/>
    <pivotField showAll="0"/>
    <pivotField showAll="0"/>
    <pivotField dataField="1" showAll="0"/>
    <pivotField showAll="0"/>
    <pivotField showAll="0"/>
    <pivotField numFmtId="2" showAll="0"/>
    <pivotField showAll="0"/>
    <pivotField showAll="0"/>
    <pivotField showAll="0"/>
    <pivotField showAll="0"/>
    <pivotField showAll="0"/>
    <pivotField showAll="0"/>
    <pivotField showAll="0"/>
    <pivotField showAll="0"/>
    <pivotField numFmtId="9"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8"/>
  </rowFields>
  <rowItems count="3">
    <i>
      <x/>
    </i>
    <i>
      <x v="1"/>
    </i>
    <i t="grand">
      <x/>
    </i>
  </rowItems>
  <colFields count="1">
    <field x="-2"/>
  </colFields>
  <colItems count="4">
    <i>
      <x/>
    </i>
    <i i="1">
      <x v="1"/>
    </i>
    <i i="2">
      <x v="2"/>
    </i>
    <i i="3">
      <x v="3"/>
    </i>
  </colItems>
  <pageFields count="2">
    <pageField fld="4" hier="-1"/>
    <pageField fld="19" item="1" hier="-1"/>
  </pageFields>
  <dataFields count="4">
    <dataField name="Sum of Impervious area  (acres)" fld="21" baseField="17" baseItem="1" numFmtId="2"/>
    <dataField name="Sum of Total Pervious area (acres) " fld="27" baseField="17" baseItem="1" numFmtId="2"/>
    <dataField name="Count of BMP Type " fld="20" subtotal="count" baseField="0" baseItem="0"/>
    <dataField name="Sum of * P Credit (kg/yr)" fld="40" baseField="17" baseItem="1" numFmtId="2"/>
  </dataFields>
  <formats count="6">
    <format dxfId="85">
      <pivotArea type="all" dataOnly="0" outline="0" fieldPosition="0"/>
    </format>
    <format dxfId="84">
      <pivotArea outline="0" collapsedLevelsAreSubtotals="1" fieldPosition="0"/>
    </format>
    <format dxfId="83">
      <pivotArea field="18" type="button" dataOnly="0" labelOnly="1" outline="0" axis="axisRow" fieldPosition="0"/>
    </format>
    <format dxfId="82">
      <pivotArea dataOnly="0" labelOnly="1" fieldPosition="0">
        <references count="1">
          <reference field="18" count="2">
            <x v="0"/>
            <x v="1"/>
          </reference>
        </references>
      </pivotArea>
    </format>
    <format dxfId="81">
      <pivotArea dataOnly="0" labelOnly="1" grandRow="1" outline="0" fieldPosition="0"/>
    </format>
    <format dxfId="80">
      <pivotArea dataOnly="0" labelOnly="1" outline="0" fieldPosition="0">
        <references count="1">
          <reference field="4294967294" count="4">
            <x v="0"/>
            <x v="1"/>
            <x v="2"/>
            <x v="3"/>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4A8AEBA3-66F1-43D8-B90C-2E79B920A8FD}" name="PivotTable2" cacheId="0"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A10:E13" firstHeaderRow="0" firstDataRow="1" firstDataCol="1" rowPageCount="2" colPageCount="1"/>
  <pivotFields count="58">
    <pivotField showAll="0"/>
    <pivotField showAll="0"/>
    <pivotField showAll="0"/>
    <pivotField showAll="0"/>
    <pivotField axis="axisPage" multipleItemSelectionAllowed="1" showAll="0">
      <items count="3">
        <item x="1"/>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4">
        <item x="1"/>
        <item x="0"/>
        <item x="2"/>
        <item t="default"/>
      </items>
    </pivotField>
    <pivotField axis="axisPage" showAll="0">
      <items count="4">
        <item x="1"/>
        <item x="0"/>
        <item x="2"/>
        <item t="default"/>
      </items>
    </pivotField>
    <pivotField dataField="1" showAll="0"/>
    <pivotField dataField="1" showAll="0"/>
    <pivotField showAll="0"/>
    <pivotField showAll="0"/>
    <pivotField showAll="0"/>
    <pivotField showAll="0"/>
    <pivotField showAll="0"/>
    <pivotField dataField="1" showAll="0"/>
    <pivotField showAll="0"/>
    <pivotField showAll="0"/>
    <pivotField numFmtId="2" showAll="0"/>
    <pivotField showAll="0"/>
    <pivotField showAll="0"/>
    <pivotField showAll="0"/>
    <pivotField showAll="0"/>
    <pivotField showAll="0"/>
    <pivotField showAll="0"/>
    <pivotField showAll="0"/>
    <pivotField showAll="0"/>
    <pivotField numFmtId="9"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8"/>
  </rowFields>
  <rowItems count="3">
    <i>
      <x/>
    </i>
    <i>
      <x v="1"/>
    </i>
    <i t="grand">
      <x/>
    </i>
  </rowItems>
  <colFields count="1">
    <field x="-2"/>
  </colFields>
  <colItems count="4">
    <i>
      <x/>
    </i>
    <i i="1">
      <x v="1"/>
    </i>
    <i i="2">
      <x v="2"/>
    </i>
    <i i="3">
      <x v="3"/>
    </i>
  </colItems>
  <pageFields count="2">
    <pageField fld="4" hier="-1"/>
    <pageField fld="19" item="1" hier="-1"/>
  </pageFields>
  <dataFields count="4">
    <dataField name="Sum of Impervious area  (acres)" fld="21" baseField="17" baseItem="1" numFmtId="2"/>
    <dataField name="Sum of Total Pervious area (acres) " fld="27" baseField="17" baseItem="1" numFmtId="2"/>
    <dataField name="Count of BMP Type " fld="20" subtotal="count" baseField="0" baseItem="0"/>
    <dataField name="Sum of * P Credit (kg/yr)" fld="40" baseField="17" baseItem="1" numFmtId="2"/>
  </dataFields>
  <formats count="6">
    <format dxfId="91">
      <pivotArea type="all" dataOnly="0" outline="0" fieldPosition="0"/>
    </format>
    <format dxfId="90">
      <pivotArea outline="0" collapsedLevelsAreSubtotals="1" fieldPosition="0"/>
    </format>
    <format dxfId="89">
      <pivotArea field="18" type="button" dataOnly="0" labelOnly="1" outline="0" axis="axisRow" fieldPosition="0"/>
    </format>
    <format dxfId="88">
      <pivotArea dataOnly="0" labelOnly="1" fieldPosition="0">
        <references count="1">
          <reference field="18" count="1">
            <x v="1"/>
          </reference>
        </references>
      </pivotArea>
    </format>
    <format dxfId="87">
      <pivotArea dataOnly="0" labelOnly="1" grandRow="1" outline="0" fieldPosition="0"/>
    </format>
    <format dxfId="86">
      <pivotArea dataOnly="0" labelOnly="1" outline="0" fieldPosition="0">
        <references count="1">
          <reference field="4294967294" count="4">
            <x v="0"/>
            <x v="1"/>
            <x v="2"/>
            <x v="3"/>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890CBAC2-21A5-4E9B-95B5-90ECCF158B24}" name="PivotTable1" cacheId="1"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A32:F50" firstHeaderRow="0" firstDataRow="1" firstDataCol="1" rowPageCount="3" colPageCount="1"/>
  <pivotFields count="58">
    <pivotField showAll="0"/>
    <pivotField showAll="0"/>
    <pivotField axis="axisRow" showAll="0">
      <items count="141">
        <item x="130"/>
        <item x="133"/>
        <item x="132"/>
        <item x="131"/>
        <item x="12"/>
        <item x="22"/>
        <item x="21"/>
        <item x="65"/>
        <item x="97"/>
        <item x="66"/>
        <item x="72"/>
        <item x="122"/>
        <item x="125"/>
        <item x="124"/>
        <item x="105"/>
        <item x="109"/>
        <item x="110"/>
        <item x="111"/>
        <item x="112"/>
        <item x="113"/>
        <item x="114"/>
        <item x="78"/>
        <item x="77"/>
        <item x="79"/>
        <item x="128"/>
        <item x="80"/>
        <item x="86"/>
        <item x="83"/>
        <item x="81"/>
        <item x="99"/>
        <item x="84"/>
        <item x="85"/>
        <item x="87"/>
        <item x="92"/>
        <item x="106"/>
        <item x="90"/>
        <item x="91"/>
        <item x="89"/>
        <item x="88"/>
        <item x="82"/>
        <item x="107"/>
        <item x="115"/>
        <item x="93"/>
        <item x="94"/>
        <item x="104"/>
        <item x="126"/>
        <item x="117"/>
        <item x="116"/>
        <item x="120"/>
        <item x="119"/>
        <item x="118"/>
        <item x="101"/>
        <item x="103"/>
        <item x="102"/>
        <item x="121"/>
        <item x="123"/>
        <item x="7"/>
        <item x="6"/>
        <item x="9"/>
        <item x="13"/>
        <item x="135"/>
        <item x="19"/>
        <item x="1"/>
        <item x="2"/>
        <item x="3"/>
        <item x="73"/>
        <item x="0"/>
        <item x="4"/>
        <item x="46"/>
        <item x="47"/>
        <item x="48"/>
        <item x="14"/>
        <item x="134"/>
        <item x="20"/>
        <item x="108"/>
        <item x="11"/>
        <item x="52"/>
        <item x="53"/>
        <item x="54"/>
        <item x="55"/>
        <item x="49"/>
        <item x="51"/>
        <item x="50"/>
        <item x="100"/>
        <item x="10"/>
        <item x="74"/>
        <item x="40"/>
        <item x="95"/>
        <item x="39"/>
        <item x="41"/>
        <item x="42"/>
        <item x="43"/>
        <item x="44"/>
        <item x="45"/>
        <item x="27"/>
        <item x="36"/>
        <item x="28"/>
        <item x="29"/>
        <item x="30"/>
        <item x="31"/>
        <item x="32"/>
        <item x="33"/>
        <item x="34"/>
        <item x="35"/>
        <item x="24"/>
        <item x="23"/>
        <item x="8"/>
        <item x="60"/>
        <item x="96"/>
        <item x="61"/>
        <item x="62"/>
        <item x="63"/>
        <item x="17"/>
        <item x="18"/>
        <item x="37"/>
        <item x="75"/>
        <item m="1" x="139"/>
        <item x="56"/>
        <item x="57"/>
        <item x="58"/>
        <item x="59"/>
        <item x="38"/>
        <item x="16"/>
        <item x="15"/>
        <item x="26"/>
        <item x="25"/>
        <item m="1" x="138"/>
        <item x="5"/>
        <item x="67"/>
        <item x="68"/>
        <item x="129"/>
        <item x="127"/>
        <item x="76"/>
        <item x="69"/>
        <item x="70"/>
        <item x="71"/>
        <item x="98"/>
        <item x="137"/>
        <item x="64"/>
        <item x="136"/>
        <item t="default"/>
      </items>
    </pivotField>
    <pivotField showAll="0"/>
    <pivotField axis="axisPage" multipleItemSelectionAllowed="1" showAll="0">
      <items count="4">
        <item h="1" x="1"/>
        <item x="0"/>
        <item h="1" x="2"/>
        <item t="default"/>
      </items>
    </pivotField>
    <pivotField showAll="0"/>
    <pivotField showAll="0"/>
    <pivotField showAll="0"/>
    <pivotField showAll="0"/>
    <pivotField showAll="0"/>
    <pivotField showAll="0"/>
    <pivotField axis="axisPage" showAll="0">
      <items count="7">
        <item x="0"/>
        <item x="1"/>
        <item x="2"/>
        <item x="5"/>
        <item x="3"/>
        <item x="4"/>
        <item t="default"/>
      </items>
    </pivotField>
    <pivotField showAll="0"/>
    <pivotField showAll="0"/>
    <pivotField showAll="0"/>
    <pivotField showAll="0"/>
    <pivotField showAll="0"/>
    <pivotField showAll="0"/>
    <pivotField axis="axisRow" showAll="0" sortType="descending">
      <items count="5">
        <item x="2"/>
        <item m="1" x="3"/>
        <item x="1"/>
        <item x="0"/>
        <item t="default"/>
      </items>
    </pivotField>
    <pivotField axis="axisPage" showAll="0">
      <items count="4">
        <item x="1"/>
        <item x="0"/>
        <item x="2"/>
        <item t="default"/>
      </items>
    </pivotField>
    <pivotField dataField="1" showAll="0"/>
    <pivotField dataField="1" showAll="0"/>
    <pivotField showAll="0"/>
    <pivotField showAll="0"/>
    <pivotField showAll="0"/>
    <pivotField showAll="0"/>
    <pivotField showAll="0"/>
    <pivotField dataField="1" showAll="0"/>
    <pivotField dataField="1" showAll="0"/>
    <pivotField showAll="0"/>
    <pivotField numFmtId="2" showAll="0"/>
    <pivotField showAll="0"/>
    <pivotField showAll="0"/>
    <pivotField showAll="0"/>
    <pivotField showAll="0"/>
    <pivotField showAll="0"/>
    <pivotField showAll="0"/>
    <pivotField showAll="0"/>
    <pivotField showAll="0"/>
    <pivotField numFmtId="9"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18"/>
    <field x="2"/>
  </rowFields>
  <rowItems count="18">
    <i>
      <x v="2"/>
    </i>
    <i r="1">
      <x v="65"/>
    </i>
    <i r="1">
      <x v="73"/>
    </i>
    <i r="1">
      <x v="104"/>
    </i>
    <i r="1">
      <x v="105"/>
    </i>
    <i r="1">
      <x v="114"/>
    </i>
    <i r="1">
      <x v="124"/>
    </i>
    <i r="1">
      <x v="125"/>
    </i>
    <i r="1">
      <x v="130"/>
    </i>
    <i r="1">
      <x v="131"/>
    </i>
    <i r="1">
      <x v="138"/>
    </i>
    <i>
      <x v="3"/>
    </i>
    <i r="1">
      <x v="62"/>
    </i>
    <i r="1">
      <x v="63"/>
    </i>
    <i r="1">
      <x v="64"/>
    </i>
    <i r="1">
      <x v="66"/>
    </i>
    <i r="1">
      <x v="127"/>
    </i>
    <i t="grand">
      <x/>
    </i>
  </rowItems>
  <colFields count="1">
    <field x="-2"/>
  </colFields>
  <colItems count="5">
    <i>
      <x/>
    </i>
    <i i="1">
      <x v="1"/>
    </i>
    <i i="2">
      <x v="2"/>
    </i>
    <i i="3">
      <x v="3"/>
    </i>
    <i i="4">
      <x v="4"/>
    </i>
  </colItems>
  <pageFields count="3">
    <pageField fld="4" hier="-1"/>
    <pageField fld="19" item="1" hier="-1"/>
    <pageField fld="11" item="0" hier="-1"/>
  </pageFields>
  <dataFields count="5">
    <dataField name="Sum of Impervious area  (acres)" fld="21" baseField="17" baseItem="1" numFmtId="2"/>
    <dataField name="Sum of Total Pervious area (acres) " fld="27" baseField="17" baseItem="1" numFmtId="2"/>
    <dataField name="Count of BMP Type " fld="20" subtotal="count" baseField="0" baseItem="0"/>
    <dataField name="Sum of Storage volume (ft3)" fld="28" baseField="0" baseItem="0"/>
    <dataField name="Sum of * P Credit (kg/yr)" fld="40" baseField="17" baseItem="1" numFmtId="2"/>
  </dataFields>
  <formats count="6">
    <format dxfId="73">
      <pivotArea type="all" dataOnly="0" outline="0" fieldPosition="0"/>
    </format>
    <format dxfId="72">
      <pivotArea outline="0" collapsedLevelsAreSubtotals="1" fieldPosition="0"/>
    </format>
    <format dxfId="71">
      <pivotArea field="18" type="button" dataOnly="0" labelOnly="1" outline="0" axis="axisRow" fieldPosition="0"/>
    </format>
    <format dxfId="70">
      <pivotArea dataOnly="0" labelOnly="1" fieldPosition="0">
        <references count="1">
          <reference field="18" count="2">
            <x v="2"/>
            <x v="3"/>
          </reference>
        </references>
      </pivotArea>
    </format>
    <format dxfId="69">
      <pivotArea dataOnly="0" labelOnly="1" grandRow="1" outline="0" fieldPosition="0"/>
    </format>
    <format dxfId="68">
      <pivotArea dataOnly="0" labelOnly="1" outline="0" fieldPosition="0">
        <references count="1">
          <reference field="4294967294" count="4">
            <x v="0"/>
            <x v="1"/>
            <x v="2"/>
            <x v="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1A6084E1-0F41-435B-ADE2-140ABC96B244}" name="PivotTable2" cacheId="1"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A6:F19" firstHeaderRow="0" firstDataRow="1" firstDataCol="1" rowPageCount="3" colPageCount="1"/>
  <pivotFields count="58">
    <pivotField showAll="0"/>
    <pivotField showAll="0"/>
    <pivotField axis="axisRow" showAll="0">
      <items count="141">
        <item x="130"/>
        <item x="133"/>
        <item x="132"/>
        <item x="131"/>
        <item x="12"/>
        <item x="22"/>
        <item x="21"/>
        <item x="65"/>
        <item x="97"/>
        <item x="66"/>
        <item x="72"/>
        <item x="122"/>
        <item x="125"/>
        <item x="124"/>
        <item x="105"/>
        <item x="109"/>
        <item x="110"/>
        <item x="111"/>
        <item x="112"/>
        <item x="113"/>
        <item x="114"/>
        <item x="78"/>
        <item x="77"/>
        <item x="79"/>
        <item x="128"/>
        <item x="80"/>
        <item x="86"/>
        <item x="83"/>
        <item x="81"/>
        <item x="99"/>
        <item x="84"/>
        <item x="85"/>
        <item x="87"/>
        <item x="92"/>
        <item x="106"/>
        <item x="90"/>
        <item x="91"/>
        <item x="89"/>
        <item x="88"/>
        <item x="82"/>
        <item x="107"/>
        <item x="115"/>
        <item x="93"/>
        <item x="94"/>
        <item x="104"/>
        <item x="126"/>
        <item x="117"/>
        <item x="116"/>
        <item x="120"/>
        <item x="119"/>
        <item x="118"/>
        <item x="101"/>
        <item x="103"/>
        <item x="102"/>
        <item x="121"/>
        <item x="123"/>
        <item x="7"/>
        <item x="6"/>
        <item x="9"/>
        <item x="13"/>
        <item x="135"/>
        <item x="19"/>
        <item x="1"/>
        <item x="2"/>
        <item x="3"/>
        <item x="73"/>
        <item x="0"/>
        <item x="4"/>
        <item x="46"/>
        <item x="47"/>
        <item x="48"/>
        <item x="14"/>
        <item x="134"/>
        <item x="20"/>
        <item x="108"/>
        <item x="11"/>
        <item x="52"/>
        <item x="53"/>
        <item x="54"/>
        <item x="55"/>
        <item x="49"/>
        <item x="51"/>
        <item x="50"/>
        <item x="100"/>
        <item x="10"/>
        <item x="74"/>
        <item x="40"/>
        <item x="95"/>
        <item x="39"/>
        <item x="41"/>
        <item x="42"/>
        <item x="43"/>
        <item x="44"/>
        <item x="45"/>
        <item x="27"/>
        <item x="36"/>
        <item x="28"/>
        <item x="29"/>
        <item x="30"/>
        <item x="31"/>
        <item x="32"/>
        <item x="33"/>
        <item x="34"/>
        <item x="35"/>
        <item x="24"/>
        <item x="23"/>
        <item x="8"/>
        <item x="60"/>
        <item x="96"/>
        <item x="61"/>
        <item x="62"/>
        <item x="63"/>
        <item x="17"/>
        <item x="18"/>
        <item x="37"/>
        <item x="75"/>
        <item m="1" x="139"/>
        <item x="56"/>
        <item x="57"/>
        <item x="58"/>
        <item x="59"/>
        <item x="38"/>
        <item x="16"/>
        <item x="15"/>
        <item x="26"/>
        <item x="25"/>
        <item m="1" x="138"/>
        <item x="5"/>
        <item x="67"/>
        <item x="68"/>
        <item x="129"/>
        <item x="127"/>
        <item x="76"/>
        <item x="69"/>
        <item x="70"/>
        <item x="71"/>
        <item x="98"/>
        <item x="137"/>
        <item x="64"/>
        <item x="136"/>
        <item t="default"/>
      </items>
    </pivotField>
    <pivotField showAll="0"/>
    <pivotField axis="axisPage" multipleItemSelectionAllowed="1" showAll="0">
      <items count="4">
        <item x="1"/>
        <item h="1" x="0"/>
        <item h="1" x="2"/>
        <item t="default"/>
      </items>
    </pivotField>
    <pivotField showAll="0"/>
    <pivotField showAll="0"/>
    <pivotField showAll="0"/>
    <pivotField showAll="0"/>
    <pivotField showAll="0"/>
    <pivotField showAll="0"/>
    <pivotField axis="axisPage" showAll="0">
      <items count="7">
        <item x="0"/>
        <item x="1"/>
        <item x="2"/>
        <item x="5"/>
        <item x="3"/>
        <item x="4"/>
        <item t="default"/>
      </items>
    </pivotField>
    <pivotField showAll="0"/>
    <pivotField showAll="0"/>
    <pivotField showAll="0"/>
    <pivotField showAll="0"/>
    <pivotField showAll="0"/>
    <pivotField showAll="0"/>
    <pivotField axis="axisRow" showAll="0">
      <items count="5">
        <item x="1"/>
        <item x="0"/>
        <item h="1" m="1" x="3"/>
        <item h="1" x="2"/>
        <item t="default"/>
      </items>
    </pivotField>
    <pivotField axis="axisPage" showAll="0">
      <items count="4">
        <item x="1"/>
        <item x="0"/>
        <item x="2"/>
        <item t="default"/>
      </items>
    </pivotField>
    <pivotField dataField="1" showAll="0"/>
    <pivotField dataField="1" showAll="0"/>
    <pivotField showAll="0"/>
    <pivotField showAll="0"/>
    <pivotField showAll="0"/>
    <pivotField showAll="0"/>
    <pivotField showAll="0"/>
    <pivotField dataField="1" showAll="0"/>
    <pivotField dataField="1" showAll="0"/>
    <pivotField showAll="0"/>
    <pivotField numFmtId="2" showAll="0"/>
    <pivotField showAll="0"/>
    <pivotField showAll="0"/>
    <pivotField showAll="0"/>
    <pivotField showAll="0"/>
    <pivotField showAll="0"/>
    <pivotField showAll="0"/>
    <pivotField showAll="0"/>
    <pivotField showAll="0"/>
    <pivotField numFmtId="9"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18"/>
    <field x="2"/>
  </rowFields>
  <rowItems count="13">
    <i>
      <x/>
    </i>
    <i r="1">
      <x v="5"/>
    </i>
    <i r="1">
      <x v="6"/>
    </i>
    <i r="1">
      <x v="133"/>
    </i>
    <i r="1">
      <x v="134"/>
    </i>
    <i r="1">
      <x v="135"/>
    </i>
    <i>
      <x v="1"/>
    </i>
    <i r="1">
      <x v="4"/>
    </i>
    <i r="1">
      <x v="67"/>
    </i>
    <i r="1">
      <x v="84"/>
    </i>
    <i r="1">
      <x v="128"/>
    </i>
    <i r="1">
      <x v="129"/>
    </i>
    <i t="grand">
      <x/>
    </i>
  </rowItems>
  <colFields count="1">
    <field x="-2"/>
  </colFields>
  <colItems count="5">
    <i>
      <x/>
    </i>
    <i i="1">
      <x v="1"/>
    </i>
    <i i="2">
      <x v="2"/>
    </i>
    <i i="3">
      <x v="3"/>
    </i>
    <i i="4">
      <x v="4"/>
    </i>
  </colItems>
  <pageFields count="3">
    <pageField fld="4" hier="-1"/>
    <pageField fld="19" item="1" hier="-1"/>
    <pageField fld="11" item="0" hier="-1"/>
  </pageFields>
  <dataFields count="5">
    <dataField name="Sum of Impervious area  (acres)" fld="21" baseField="17" baseItem="1" numFmtId="2"/>
    <dataField name="Sum of Total Pervious area (acres) " fld="27" baseField="17" baseItem="1" numFmtId="2"/>
    <dataField name="Count of BMP Type " fld="20" subtotal="count" baseField="0" baseItem="0"/>
    <dataField name="Sum of Storage volume (ft3)" fld="28" baseField="0" baseItem="0"/>
    <dataField name="Sum of * P Credit (kg/yr)" fld="40" baseField="17" baseItem="1" numFmtId="2"/>
  </dataFields>
  <formats count="6">
    <format dxfId="79">
      <pivotArea type="all" dataOnly="0" outline="0" fieldPosition="0"/>
    </format>
    <format dxfId="78">
      <pivotArea outline="0" collapsedLevelsAreSubtotals="1" fieldPosition="0"/>
    </format>
    <format dxfId="77">
      <pivotArea field="18" type="button" dataOnly="0" labelOnly="1" outline="0" axis="axisRow" fieldPosition="0"/>
    </format>
    <format dxfId="76">
      <pivotArea dataOnly="0" labelOnly="1" fieldPosition="0">
        <references count="1">
          <reference field="18" count="1">
            <x v="1"/>
          </reference>
        </references>
      </pivotArea>
    </format>
    <format dxfId="75">
      <pivotArea dataOnly="0" labelOnly="1" grandRow="1" outline="0" fieldPosition="0"/>
    </format>
    <format dxfId="74">
      <pivotArea dataOnly="0" labelOnly="1" outline="0" fieldPosition="0">
        <references count="1">
          <reference field="4294967294" count="4">
            <x v="0"/>
            <x v="1"/>
            <x v="2"/>
            <x v="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EA02DB9D-1373-4A03-AE67-D8AB064C1152}" name="PivotTable2" cacheId="1"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A6:F13" firstHeaderRow="0" firstDataRow="1" firstDataCol="1" rowPageCount="3" colPageCount="1"/>
  <pivotFields count="58">
    <pivotField showAll="0"/>
    <pivotField showAll="0"/>
    <pivotField axis="axisRow" showAll="0">
      <items count="141">
        <item x="130"/>
        <item x="133"/>
        <item x="132"/>
        <item x="131"/>
        <item x="12"/>
        <item x="22"/>
        <item x="21"/>
        <item x="65"/>
        <item x="97"/>
        <item x="66"/>
        <item x="72"/>
        <item x="122"/>
        <item x="125"/>
        <item x="124"/>
        <item x="105"/>
        <item x="109"/>
        <item x="110"/>
        <item x="111"/>
        <item x="112"/>
        <item x="113"/>
        <item x="114"/>
        <item x="78"/>
        <item x="77"/>
        <item x="79"/>
        <item x="128"/>
        <item x="80"/>
        <item x="86"/>
        <item x="83"/>
        <item x="81"/>
        <item x="99"/>
        <item x="84"/>
        <item x="85"/>
        <item x="87"/>
        <item x="92"/>
        <item x="106"/>
        <item x="90"/>
        <item x="91"/>
        <item x="89"/>
        <item x="88"/>
        <item x="82"/>
        <item x="107"/>
        <item x="115"/>
        <item x="93"/>
        <item x="94"/>
        <item x="104"/>
        <item x="126"/>
        <item x="117"/>
        <item x="116"/>
        <item x="120"/>
        <item x="119"/>
        <item x="118"/>
        <item x="101"/>
        <item x="103"/>
        <item x="102"/>
        <item x="121"/>
        <item x="123"/>
        <item x="7"/>
        <item x="6"/>
        <item x="9"/>
        <item x="13"/>
        <item x="135"/>
        <item x="19"/>
        <item x="1"/>
        <item x="2"/>
        <item x="3"/>
        <item x="73"/>
        <item x="0"/>
        <item x="4"/>
        <item x="46"/>
        <item x="47"/>
        <item x="48"/>
        <item x="14"/>
        <item x="134"/>
        <item x="20"/>
        <item x="108"/>
        <item x="11"/>
        <item x="52"/>
        <item x="53"/>
        <item x="54"/>
        <item x="55"/>
        <item x="49"/>
        <item x="51"/>
        <item x="50"/>
        <item x="100"/>
        <item x="10"/>
        <item x="74"/>
        <item x="40"/>
        <item x="95"/>
        <item x="39"/>
        <item x="41"/>
        <item x="42"/>
        <item x="43"/>
        <item x="44"/>
        <item x="45"/>
        <item x="27"/>
        <item x="36"/>
        <item x="28"/>
        <item x="29"/>
        <item x="30"/>
        <item x="31"/>
        <item x="32"/>
        <item x="33"/>
        <item x="34"/>
        <item x="35"/>
        <item x="24"/>
        <item x="23"/>
        <item x="8"/>
        <item x="60"/>
        <item x="96"/>
        <item x="61"/>
        <item x="62"/>
        <item x="63"/>
        <item x="17"/>
        <item x="18"/>
        <item x="37"/>
        <item x="75"/>
        <item m="1" x="139"/>
        <item x="56"/>
        <item x="57"/>
        <item x="58"/>
        <item x="59"/>
        <item x="38"/>
        <item x="16"/>
        <item x="15"/>
        <item x="26"/>
        <item x="25"/>
        <item m="1" x="138"/>
        <item x="5"/>
        <item x="67"/>
        <item x="68"/>
        <item x="129"/>
        <item x="127"/>
        <item x="76"/>
        <item x="69"/>
        <item x="70"/>
        <item x="71"/>
        <item x="98"/>
        <item x="137"/>
        <item x="64"/>
        <item x="136"/>
        <item t="default"/>
      </items>
    </pivotField>
    <pivotField showAll="0"/>
    <pivotField axis="axisPage" multipleItemSelectionAllowed="1" showAll="0">
      <items count="4">
        <item x="1"/>
        <item h="1" x="0"/>
        <item h="1" x="2"/>
        <item t="default"/>
      </items>
    </pivotField>
    <pivotField showAll="0"/>
    <pivotField showAll="0"/>
    <pivotField showAll="0"/>
    <pivotField showAll="0"/>
    <pivotField showAll="0"/>
    <pivotField showAll="0"/>
    <pivotField axis="axisPage" multipleItemSelectionAllowed="1" showAll="0">
      <items count="7">
        <item h="1" x="0"/>
        <item x="1"/>
        <item x="2"/>
        <item h="1" x="5"/>
        <item h="1" x="3"/>
        <item h="1" x="4"/>
        <item t="default"/>
      </items>
    </pivotField>
    <pivotField showAll="0"/>
    <pivotField showAll="0"/>
    <pivotField showAll="0"/>
    <pivotField showAll="0"/>
    <pivotField showAll="0"/>
    <pivotField showAll="0"/>
    <pivotField axis="axisRow" showAll="0">
      <items count="5">
        <item x="1"/>
        <item x="0"/>
        <item m="1" x="3"/>
        <item x="2"/>
        <item t="default"/>
      </items>
    </pivotField>
    <pivotField axis="axisPage" showAll="0">
      <items count="4">
        <item x="1"/>
        <item x="0"/>
        <item x="2"/>
        <item t="default"/>
      </items>
    </pivotField>
    <pivotField dataField="1" showAll="0"/>
    <pivotField dataField="1" showAll="0"/>
    <pivotField showAll="0"/>
    <pivotField showAll="0"/>
    <pivotField showAll="0"/>
    <pivotField showAll="0"/>
    <pivotField showAll="0"/>
    <pivotField dataField="1" showAll="0"/>
    <pivotField dataField="1" showAll="0"/>
    <pivotField showAll="0"/>
    <pivotField numFmtId="2" showAll="0"/>
    <pivotField showAll="0"/>
    <pivotField showAll="0"/>
    <pivotField showAll="0"/>
    <pivotField showAll="0"/>
    <pivotField showAll="0"/>
    <pivotField showAll="0"/>
    <pivotField showAll="0"/>
    <pivotField showAll="0"/>
    <pivotField numFmtId="9"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18"/>
    <field x="2"/>
  </rowFields>
  <rowItems count="7">
    <i>
      <x/>
    </i>
    <i r="1">
      <x v="72"/>
    </i>
    <i>
      <x v="1"/>
    </i>
    <i r="1">
      <x v="58"/>
    </i>
    <i r="1">
      <x v="59"/>
    </i>
    <i r="1">
      <x v="71"/>
    </i>
    <i t="grand">
      <x/>
    </i>
  </rowItems>
  <colFields count="1">
    <field x="-2"/>
  </colFields>
  <colItems count="5">
    <i>
      <x/>
    </i>
    <i i="1">
      <x v="1"/>
    </i>
    <i i="2">
      <x v="2"/>
    </i>
    <i i="3">
      <x v="3"/>
    </i>
    <i i="4">
      <x v="4"/>
    </i>
  </colItems>
  <pageFields count="3">
    <pageField fld="4" hier="-1"/>
    <pageField fld="19" item="1" hier="-1"/>
    <pageField fld="11" hier="-1"/>
  </pageFields>
  <dataFields count="5">
    <dataField name="Sum of Impervious area  (acres)" fld="21" baseField="17" baseItem="1" numFmtId="2"/>
    <dataField name="Sum of Total Pervious area (acres) " fld="27" baseField="17" baseItem="1" numFmtId="2"/>
    <dataField name="Count of BMP Type " fld="20" subtotal="count" baseField="0" baseItem="0"/>
    <dataField name="Sum of Storage volume (ft3)" fld="28" baseField="0" baseItem="0"/>
    <dataField name="Sum of * P Credit (kg/yr)" fld="40" baseField="17" baseItem="1" numFmtId="2"/>
  </dataFields>
  <formats count="6">
    <format dxfId="49">
      <pivotArea type="all" dataOnly="0" outline="0" fieldPosition="0"/>
    </format>
    <format dxfId="48">
      <pivotArea outline="0" collapsedLevelsAreSubtotals="1" fieldPosition="0"/>
    </format>
    <format dxfId="47">
      <pivotArea field="18" type="button" dataOnly="0" labelOnly="1" outline="0" axis="axisRow" fieldPosition="0"/>
    </format>
    <format dxfId="46">
      <pivotArea dataOnly="0" labelOnly="1" fieldPosition="0">
        <references count="1">
          <reference field="18" count="1">
            <x v="1"/>
          </reference>
        </references>
      </pivotArea>
    </format>
    <format dxfId="45">
      <pivotArea dataOnly="0" labelOnly="1" grandRow="1" outline="0" fieldPosition="0"/>
    </format>
    <format dxfId="44">
      <pivotArea dataOnly="0" labelOnly="1" outline="0" fieldPosition="0">
        <references count="1">
          <reference field="4294967294" count="4">
            <x v="0"/>
            <x v="1"/>
            <x v="2"/>
            <x v="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14EED00C-1C86-428D-987E-BE80DFC826F3}" name="PivotTable1" cacheId="1"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A25:F34" firstHeaderRow="0" firstDataRow="1" firstDataCol="1" rowPageCount="3" colPageCount="1"/>
  <pivotFields count="58">
    <pivotField showAll="0"/>
    <pivotField showAll="0"/>
    <pivotField axis="axisRow" showAll="0">
      <items count="141">
        <item x="130"/>
        <item x="133"/>
        <item x="132"/>
        <item x="131"/>
        <item x="12"/>
        <item x="22"/>
        <item x="21"/>
        <item x="65"/>
        <item x="97"/>
        <item x="66"/>
        <item x="72"/>
        <item x="122"/>
        <item x="125"/>
        <item x="124"/>
        <item x="105"/>
        <item x="109"/>
        <item x="110"/>
        <item x="111"/>
        <item x="112"/>
        <item x="113"/>
        <item x="114"/>
        <item x="78"/>
        <item x="77"/>
        <item x="79"/>
        <item x="128"/>
        <item x="80"/>
        <item x="86"/>
        <item x="83"/>
        <item x="81"/>
        <item x="99"/>
        <item x="84"/>
        <item x="85"/>
        <item x="87"/>
        <item x="92"/>
        <item x="106"/>
        <item x="90"/>
        <item x="91"/>
        <item x="89"/>
        <item x="88"/>
        <item x="82"/>
        <item x="107"/>
        <item x="115"/>
        <item x="93"/>
        <item x="94"/>
        <item x="104"/>
        <item x="126"/>
        <item x="117"/>
        <item x="116"/>
        <item x="120"/>
        <item x="119"/>
        <item x="118"/>
        <item x="101"/>
        <item x="103"/>
        <item x="102"/>
        <item x="121"/>
        <item x="123"/>
        <item x="7"/>
        <item x="6"/>
        <item x="9"/>
        <item x="13"/>
        <item x="135"/>
        <item x="19"/>
        <item x="1"/>
        <item x="2"/>
        <item x="3"/>
        <item x="73"/>
        <item x="0"/>
        <item x="4"/>
        <item x="46"/>
        <item x="47"/>
        <item x="48"/>
        <item x="14"/>
        <item x="134"/>
        <item x="20"/>
        <item x="108"/>
        <item x="11"/>
        <item x="52"/>
        <item x="53"/>
        <item x="54"/>
        <item x="55"/>
        <item x="49"/>
        <item x="51"/>
        <item x="50"/>
        <item x="100"/>
        <item x="10"/>
        <item x="74"/>
        <item x="40"/>
        <item x="95"/>
        <item x="39"/>
        <item x="41"/>
        <item x="42"/>
        <item x="43"/>
        <item x="44"/>
        <item x="45"/>
        <item x="27"/>
        <item x="36"/>
        <item x="28"/>
        <item x="29"/>
        <item x="30"/>
        <item x="31"/>
        <item x="32"/>
        <item x="33"/>
        <item x="34"/>
        <item x="35"/>
        <item x="24"/>
        <item x="23"/>
        <item x="8"/>
        <item x="60"/>
        <item x="96"/>
        <item x="61"/>
        <item x="62"/>
        <item x="63"/>
        <item x="17"/>
        <item x="18"/>
        <item x="37"/>
        <item x="75"/>
        <item m="1" x="139"/>
        <item x="56"/>
        <item x="57"/>
        <item x="58"/>
        <item x="59"/>
        <item x="38"/>
        <item x="16"/>
        <item x="15"/>
        <item x="26"/>
        <item x="25"/>
        <item m="1" x="138"/>
        <item x="5"/>
        <item x="67"/>
        <item x="68"/>
        <item x="129"/>
        <item x="127"/>
        <item x="76"/>
        <item x="69"/>
        <item x="70"/>
        <item x="71"/>
        <item x="98"/>
        <item x="137"/>
        <item x="64"/>
        <item x="136"/>
        <item t="default"/>
      </items>
    </pivotField>
    <pivotField showAll="0"/>
    <pivotField axis="axisPage" multipleItemSelectionAllowed="1" showAll="0">
      <items count="4">
        <item h="1" x="1"/>
        <item x="0"/>
        <item h="1" x="2"/>
        <item t="default"/>
      </items>
    </pivotField>
    <pivotField showAll="0"/>
    <pivotField showAll="0"/>
    <pivotField showAll="0"/>
    <pivotField showAll="0"/>
    <pivotField showAll="0"/>
    <pivotField showAll="0"/>
    <pivotField axis="axisPage" multipleItemSelectionAllowed="1" showAll="0">
      <items count="7">
        <item h="1" x="0"/>
        <item x="1"/>
        <item x="2"/>
        <item h="1" x="5"/>
        <item h="1" x="3"/>
        <item h="1" x="4"/>
        <item t="default"/>
      </items>
    </pivotField>
    <pivotField showAll="0"/>
    <pivotField showAll="0"/>
    <pivotField showAll="0"/>
    <pivotField showAll="0"/>
    <pivotField showAll="0"/>
    <pivotField showAll="0"/>
    <pivotField axis="axisRow" showAll="0">
      <items count="5">
        <item x="1"/>
        <item x="0"/>
        <item m="1" x="3"/>
        <item x="2"/>
        <item t="default"/>
      </items>
    </pivotField>
    <pivotField axis="axisPage" showAll="0">
      <items count="4">
        <item x="1"/>
        <item x="0"/>
        <item x="2"/>
        <item t="default"/>
      </items>
    </pivotField>
    <pivotField dataField="1" showAll="0"/>
    <pivotField dataField="1" showAll="0"/>
    <pivotField showAll="0"/>
    <pivotField showAll="0"/>
    <pivotField showAll="0"/>
    <pivotField showAll="0"/>
    <pivotField showAll="0"/>
    <pivotField dataField="1" showAll="0"/>
    <pivotField dataField="1" showAll="0"/>
    <pivotField showAll="0"/>
    <pivotField numFmtId="2" showAll="0"/>
    <pivotField showAll="0"/>
    <pivotField showAll="0"/>
    <pivotField showAll="0"/>
    <pivotField showAll="0"/>
    <pivotField showAll="0"/>
    <pivotField showAll="0"/>
    <pivotField showAll="0"/>
    <pivotField showAll="0"/>
    <pivotField numFmtId="9"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18"/>
    <field x="2"/>
  </rowFields>
  <rowItems count="9">
    <i>
      <x/>
    </i>
    <i r="1">
      <x/>
    </i>
    <i r="1">
      <x v="61"/>
    </i>
    <i r="1">
      <x v="87"/>
    </i>
    <i r="1">
      <x v="112"/>
    </i>
    <i>
      <x v="1"/>
    </i>
    <i r="1">
      <x v="8"/>
    </i>
    <i r="1">
      <x v="57"/>
    </i>
    <i t="grand">
      <x/>
    </i>
  </rowItems>
  <colFields count="1">
    <field x="-2"/>
  </colFields>
  <colItems count="5">
    <i>
      <x/>
    </i>
    <i i="1">
      <x v="1"/>
    </i>
    <i i="2">
      <x v="2"/>
    </i>
    <i i="3">
      <x v="3"/>
    </i>
    <i i="4">
      <x v="4"/>
    </i>
  </colItems>
  <pageFields count="3">
    <pageField fld="4" hier="-1"/>
    <pageField fld="19" item="1" hier="-1"/>
    <pageField fld="11" hier="-1"/>
  </pageFields>
  <dataFields count="5">
    <dataField name="Sum of Impervious area  (acres)" fld="21" baseField="17" baseItem="1" numFmtId="2"/>
    <dataField name="Sum of Total Pervious area (acres) " fld="27" baseField="17" baseItem="1" numFmtId="2"/>
    <dataField name="Count of BMP Type " fld="20" subtotal="count" baseField="0" baseItem="0"/>
    <dataField name="Sum of Storage volume (ft3)" fld="28" baseField="0" baseItem="0"/>
    <dataField name="Sum of * P Credit (kg/yr)" fld="40" baseField="17" baseItem="1" numFmtId="2"/>
  </dataFields>
  <formats count="6">
    <format dxfId="55">
      <pivotArea type="all" dataOnly="0" outline="0" fieldPosition="0"/>
    </format>
    <format dxfId="54">
      <pivotArea outline="0" collapsedLevelsAreSubtotals="1" fieldPosition="0"/>
    </format>
    <format dxfId="53">
      <pivotArea field="18" type="button" dataOnly="0" labelOnly="1" outline="0" axis="axisRow" fieldPosition="0"/>
    </format>
    <format dxfId="52">
      <pivotArea dataOnly="0" labelOnly="1" fieldPosition="0">
        <references count="1">
          <reference field="18" count="2">
            <x v="0"/>
            <x v="1"/>
          </reference>
        </references>
      </pivotArea>
    </format>
    <format dxfId="51">
      <pivotArea dataOnly="0" labelOnly="1" grandRow="1" outline="0" fieldPosition="0"/>
    </format>
    <format dxfId="50">
      <pivotArea dataOnly="0" labelOnly="1" outline="0" fieldPosition="0">
        <references count="1">
          <reference field="4294967294" count="4">
            <x v="0"/>
            <x v="1"/>
            <x v="2"/>
            <x v="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DB651258-6505-41E4-9BD7-24182A9DAC3E}" name="PivotTable4" cacheId="1"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T6:Y26" firstHeaderRow="0" firstDataRow="1" firstDataCol="1" rowPageCount="3" colPageCount="1"/>
  <pivotFields count="58">
    <pivotField showAll="0"/>
    <pivotField showAll="0"/>
    <pivotField axis="axisRow" showAll="0">
      <items count="141">
        <item x="130"/>
        <item x="133"/>
        <item x="132"/>
        <item x="131"/>
        <item x="12"/>
        <item x="22"/>
        <item x="21"/>
        <item x="65"/>
        <item x="97"/>
        <item x="66"/>
        <item x="72"/>
        <item x="122"/>
        <item x="125"/>
        <item x="124"/>
        <item x="105"/>
        <item x="109"/>
        <item x="110"/>
        <item x="111"/>
        <item x="112"/>
        <item x="113"/>
        <item x="114"/>
        <item x="78"/>
        <item x="77"/>
        <item x="79"/>
        <item x="128"/>
        <item x="80"/>
        <item x="86"/>
        <item x="83"/>
        <item x="81"/>
        <item x="99"/>
        <item x="84"/>
        <item x="85"/>
        <item x="87"/>
        <item x="92"/>
        <item x="106"/>
        <item x="90"/>
        <item x="91"/>
        <item x="89"/>
        <item x="88"/>
        <item x="82"/>
        <item x="107"/>
        <item x="115"/>
        <item x="93"/>
        <item x="94"/>
        <item x="104"/>
        <item x="126"/>
        <item x="117"/>
        <item x="116"/>
        <item x="120"/>
        <item x="119"/>
        <item x="118"/>
        <item x="101"/>
        <item x="103"/>
        <item x="102"/>
        <item x="121"/>
        <item x="123"/>
        <item x="7"/>
        <item x="6"/>
        <item x="9"/>
        <item x="13"/>
        <item x="135"/>
        <item x="19"/>
        <item x="1"/>
        <item x="2"/>
        <item x="3"/>
        <item x="73"/>
        <item x="0"/>
        <item x="4"/>
        <item x="46"/>
        <item x="47"/>
        <item x="48"/>
        <item x="14"/>
        <item x="134"/>
        <item x="20"/>
        <item x="108"/>
        <item x="11"/>
        <item x="52"/>
        <item x="53"/>
        <item x="54"/>
        <item x="55"/>
        <item x="49"/>
        <item x="51"/>
        <item x="50"/>
        <item x="100"/>
        <item x="10"/>
        <item x="74"/>
        <item x="40"/>
        <item x="95"/>
        <item x="39"/>
        <item x="41"/>
        <item x="42"/>
        <item x="43"/>
        <item x="44"/>
        <item x="45"/>
        <item x="27"/>
        <item x="36"/>
        <item x="28"/>
        <item x="29"/>
        <item x="30"/>
        <item x="31"/>
        <item x="32"/>
        <item x="33"/>
        <item x="34"/>
        <item x="35"/>
        <item x="24"/>
        <item x="23"/>
        <item x="8"/>
        <item x="60"/>
        <item x="96"/>
        <item x="61"/>
        <item x="62"/>
        <item x="63"/>
        <item x="17"/>
        <item x="18"/>
        <item x="37"/>
        <item x="75"/>
        <item m="1" x="139"/>
        <item x="56"/>
        <item x="57"/>
        <item x="58"/>
        <item x="59"/>
        <item x="38"/>
        <item x="16"/>
        <item x="15"/>
        <item x="26"/>
        <item x="25"/>
        <item m="1" x="138"/>
        <item x="5"/>
        <item x="67"/>
        <item x="68"/>
        <item x="129"/>
        <item x="127"/>
        <item x="76"/>
        <item x="69"/>
        <item x="70"/>
        <item x="71"/>
        <item x="98"/>
        <item x="137"/>
        <item x="64"/>
        <item x="136"/>
        <item t="default"/>
      </items>
    </pivotField>
    <pivotField showAll="0"/>
    <pivotField axis="axisPage" multipleItemSelectionAllowed="1" showAll="0">
      <items count="4">
        <item h="1" x="1"/>
        <item x="0"/>
        <item h="1" x="2"/>
        <item t="default"/>
      </items>
    </pivotField>
    <pivotField showAll="0"/>
    <pivotField showAll="0"/>
    <pivotField showAll="0"/>
    <pivotField showAll="0"/>
    <pivotField showAll="0"/>
    <pivotField showAll="0"/>
    <pivotField axis="axisPage" multipleItemSelectionAllowed="1" showAll="0">
      <items count="7">
        <item h="1" x="0"/>
        <item h="1" x="1"/>
        <item h="1" x="2"/>
        <item h="1" x="5"/>
        <item x="3"/>
        <item h="1" x="4"/>
        <item t="default"/>
      </items>
    </pivotField>
    <pivotField showAll="0"/>
    <pivotField showAll="0"/>
    <pivotField showAll="0"/>
    <pivotField showAll="0"/>
    <pivotField showAll="0"/>
    <pivotField showAll="0"/>
    <pivotField axis="axisRow" showAll="0">
      <items count="5">
        <item x="1"/>
        <item x="0"/>
        <item m="1" x="3"/>
        <item x="2"/>
        <item t="default"/>
      </items>
    </pivotField>
    <pivotField axis="axisPage" showAll="0">
      <items count="4">
        <item x="1"/>
        <item x="0"/>
        <item x="2"/>
        <item t="default"/>
      </items>
    </pivotField>
    <pivotField dataField="1" showAll="0"/>
    <pivotField dataField="1" showAll="0"/>
    <pivotField showAll="0"/>
    <pivotField showAll="0"/>
    <pivotField showAll="0"/>
    <pivotField showAll="0"/>
    <pivotField showAll="0"/>
    <pivotField dataField="1" showAll="0"/>
    <pivotField dataField="1" showAll="0"/>
    <pivotField showAll="0"/>
    <pivotField numFmtId="2" showAll="0"/>
    <pivotField showAll="0"/>
    <pivotField showAll="0"/>
    <pivotField showAll="0"/>
    <pivotField showAll="0"/>
    <pivotField showAll="0"/>
    <pivotField showAll="0"/>
    <pivotField showAll="0"/>
    <pivotField showAll="0"/>
    <pivotField numFmtId="9"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18"/>
    <field x="2"/>
  </rowFields>
  <rowItems count="20">
    <i>
      <x/>
    </i>
    <i r="1">
      <x/>
    </i>
    <i r="1">
      <x v="1"/>
    </i>
    <i r="1">
      <x v="2"/>
    </i>
    <i r="1">
      <x v="3"/>
    </i>
    <i r="1">
      <x v="11"/>
    </i>
    <i r="1">
      <x v="12"/>
    </i>
    <i r="1">
      <x v="13"/>
    </i>
    <i r="1">
      <x v="45"/>
    </i>
    <i r="1">
      <x v="46"/>
    </i>
    <i r="1">
      <x v="47"/>
    </i>
    <i r="1">
      <x v="48"/>
    </i>
    <i r="1">
      <x v="49"/>
    </i>
    <i r="1">
      <x v="50"/>
    </i>
    <i r="1">
      <x v="54"/>
    </i>
    <i r="1">
      <x v="55"/>
    </i>
    <i r="1">
      <x v="108"/>
    </i>
    <i r="1">
      <x v="113"/>
    </i>
    <i r="1">
      <x v="115"/>
    </i>
    <i t="grand">
      <x/>
    </i>
  </rowItems>
  <colFields count="1">
    <field x="-2"/>
  </colFields>
  <colItems count="5">
    <i>
      <x/>
    </i>
    <i i="1">
      <x v="1"/>
    </i>
    <i i="2">
      <x v="2"/>
    </i>
    <i i="3">
      <x v="3"/>
    </i>
    <i i="4">
      <x v="4"/>
    </i>
  </colItems>
  <pageFields count="3">
    <pageField fld="4" hier="-1"/>
    <pageField fld="19" item="1" hier="-1"/>
    <pageField fld="11" hier="-1"/>
  </pageFields>
  <dataFields count="5">
    <dataField name="Sum of Impervious area  (acres)" fld="21" baseField="17" baseItem="1" numFmtId="2"/>
    <dataField name="Sum of Total Pervious area (acres) " fld="27" baseField="17" baseItem="1" numFmtId="2"/>
    <dataField name="Count of BMP Type " fld="20" subtotal="count" baseField="0" baseItem="0"/>
    <dataField name="Sum of Storage volume (ft3)" fld="28" baseField="0" baseItem="0"/>
    <dataField name="Sum of * P Credit (kg/yr)" fld="40" baseField="17" baseItem="1" numFmtId="2"/>
  </dataFields>
  <formats count="6">
    <format dxfId="61">
      <pivotArea type="all" dataOnly="0" outline="0" fieldPosition="0"/>
    </format>
    <format dxfId="60">
      <pivotArea outline="0" collapsedLevelsAreSubtotals="1" fieldPosition="0"/>
    </format>
    <format dxfId="59">
      <pivotArea field="18" type="button" dataOnly="0" labelOnly="1" outline="0" axis="axisRow" fieldPosition="0"/>
    </format>
    <format dxfId="58">
      <pivotArea dataOnly="0" labelOnly="1" fieldPosition="0">
        <references count="1">
          <reference field="18" count="2">
            <x v="0"/>
            <x v="1"/>
          </reference>
        </references>
      </pivotArea>
    </format>
    <format dxfId="57">
      <pivotArea dataOnly="0" labelOnly="1" grandRow="1" outline="0" fieldPosition="0"/>
    </format>
    <format dxfId="56">
      <pivotArea dataOnly="0" labelOnly="1" outline="0" fieldPosition="0">
        <references count="1">
          <reference field="4294967294" count="4">
            <x v="0"/>
            <x v="1"/>
            <x v="2"/>
            <x v="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1B4BBF65-58A6-4D7F-BAA8-FD93B05847DC}" name="PivotTable3" cacheId="1"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K6:P48" firstHeaderRow="0" firstDataRow="1" firstDataCol="1" rowPageCount="3" colPageCount="1"/>
  <pivotFields count="58">
    <pivotField showAll="0"/>
    <pivotField showAll="0"/>
    <pivotField axis="axisRow" showAll="0">
      <items count="141">
        <item x="130"/>
        <item x="133"/>
        <item x="132"/>
        <item x="131"/>
        <item x="12"/>
        <item x="22"/>
        <item x="21"/>
        <item x="65"/>
        <item x="97"/>
        <item x="66"/>
        <item x="72"/>
        <item x="122"/>
        <item x="125"/>
        <item x="124"/>
        <item x="105"/>
        <item x="109"/>
        <item x="110"/>
        <item x="111"/>
        <item x="112"/>
        <item x="113"/>
        <item x="114"/>
        <item x="78"/>
        <item x="77"/>
        <item x="79"/>
        <item x="128"/>
        <item x="80"/>
        <item x="86"/>
        <item x="83"/>
        <item x="81"/>
        <item x="99"/>
        <item x="84"/>
        <item x="85"/>
        <item x="87"/>
        <item x="92"/>
        <item x="106"/>
        <item x="90"/>
        <item x="91"/>
        <item x="89"/>
        <item x="88"/>
        <item x="82"/>
        <item x="107"/>
        <item x="115"/>
        <item x="93"/>
        <item x="94"/>
        <item x="104"/>
        <item x="126"/>
        <item x="117"/>
        <item x="116"/>
        <item x="120"/>
        <item x="119"/>
        <item x="118"/>
        <item x="101"/>
        <item x="103"/>
        <item x="102"/>
        <item x="121"/>
        <item x="123"/>
        <item x="7"/>
        <item x="6"/>
        <item x="9"/>
        <item x="13"/>
        <item x="135"/>
        <item x="19"/>
        <item x="1"/>
        <item x="2"/>
        <item x="3"/>
        <item x="73"/>
        <item x="0"/>
        <item x="4"/>
        <item x="46"/>
        <item x="47"/>
        <item x="48"/>
        <item x="14"/>
        <item x="134"/>
        <item x="20"/>
        <item x="108"/>
        <item x="11"/>
        <item x="52"/>
        <item x="53"/>
        <item x="54"/>
        <item x="55"/>
        <item x="49"/>
        <item x="51"/>
        <item x="50"/>
        <item x="100"/>
        <item x="10"/>
        <item x="74"/>
        <item x="40"/>
        <item x="95"/>
        <item x="39"/>
        <item x="41"/>
        <item x="42"/>
        <item x="43"/>
        <item x="44"/>
        <item x="45"/>
        <item x="27"/>
        <item x="36"/>
        <item x="28"/>
        <item x="29"/>
        <item x="30"/>
        <item x="31"/>
        <item x="32"/>
        <item x="33"/>
        <item x="34"/>
        <item x="35"/>
        <item x="24"/>
        <item x="23"/>
        <item x="8"/>
        <item x="60"/>
        <item x="96"/>
        <item x="61"/>
        <item x="62"/>
        <item x="63"/>
        <item x="17"/>
        <item x="18"/>
        <item x="37"/>
        <item x="75"/>
        <item m="1" x="139"/>
        <item x="56"/>
        <item x="57"/>
        <item x="58"/>
        <item x="59"/>
        <item x="38"/>
        <item x="16"/>
        <item x="15"/>
        <item x="26"/>
        <item x="25"/>
        <item m="1" x="138"/>
        <item x="5"/>
        <item x="67"/>
        <item x="68"/>
        <item x="129"/>
        <item x="127"/>
        <item x="76"/>
        <item x="69"/>
        <item x="70"/>
        <item x="71"/>
        <item x="98"/>
        <item x="137"/>
        <item x="64"/>
        <item x="136"/>
        <item t="default"/>
      </items>
    </pivotField>
    <pivotField showAll="0"/>
    <pivotField axis="axisPage" multipleItemSelectionAllowed="1" showAll="0">
      <items count="4">
        <item x="1"/>
        <item h="1" x="0"/>
        <item h="1" x="2"/>
        <item t="default"/>
      </items>
    </pivotField>
    <pivotField showAll="0"/>
    <pivotField showAll="0"/>
    <pivotField showAll="0"/>
    <pivotField showAll="0"/>
    <pivotField showAll="0"/>
    <pivotField showAll="0"/>
    <pivotField axis="axisPage" multipleItemSelectionAllowed="1" showAll="0">
      <items count="7">
        <item h="1" x="0"/>
        <item h="1" x="1"/>
        <item h="1" x="2"/>
        <item h="1" x="5"/>
        <item x="3"/>
        <item h="1" x="4"/>
        <item t="default"/>
      </items>
    </pivotField>
    <pivotField showAll="0"/>
    <pivotField showAll="0"/>
    <pivotField showAll="0"/>
    <pivotField showAll="0"/>
    <pivotField showAll="0"/>
    <pivotField showAll="0"/>
    <pivotField axis="axisRow" showAll="0">
      <items count="5">
        <item x="1"/>
        <item x="0"/>
        <item m="1" x="3"/>
        <item x="2"/>
        <item t="default"/>
      </items>
    </pivotField>
    <pivotField axis="axisPage" showAll="0">
      <items count="4">
        <item x="1"/>
        <item x="0"/>
        <item x="2"/>
        <item t="default"/>
      </items>
    </pivotField>
    <pivotField dataField="1" showAll="0"/>
    <pivotField dataField="1" showAll="0"/>
    <pivotField showAll="0"/>
    <pivotField showAll="0"/>
    <pivotField showAll="0"/>
    <pivotField showAll="0"/>
    <pivotField showAll="0"/>
    <pivotField dataField="1" showAll="0"/>
    <pivotField dataField="1" showAll="0"/>
    <pivotField showAll="0"/>
    <pivotField numFmtId="2" showAll="0"/>
    <pivotField showAll="0"/>
    <pivotField showAll="0"/>
    <pivotField showAll="0"/>
    <pivotField showAll="0"/>
    <pivotField showAll="0"/>
    <pivotField showAll="0"/>
    <pivotField showAll="0"/>
    <pivotField showAll="0"/>
    <pivotField numFmtId="9"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18"/>
    <field x="2"/>
  </rowFields>
  <rowItems count="42">
    <i>
      <x/>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7"/>
    </i>
    <i r="1">
      <x v="38"/>
    </i>
    <i r="1">
      <x v="39"/>
    </i>
    <i r="1">
      <x v="40"/>
    </i>
    <i r="1">
      <x v="41"/>
    </i>
    <i r="1">
      <x v="42"/>
    </i>
    <i r="1">
      <x v="43"/>
    </i>
    <i r="1">
      <x v="44"/>
    </i>
    <i r="1">
      <x v="51"/>
    </i>
    <i r="1">
      <x v="52"/>
    </i>
    <i r="1">
      <x v="53"/>
    </i>
    <i r="1">
      <x v="74"/>
    </i>
    <i r="1">
      <x v="83"/>
    </i>
    <i r="1">
      <x v="85"/>
    </i>
    <i r="1">
      <x v="132"/>
    </i>
    <i>
      <x v="1"/>
    </i>
    <i r="1">
      <x v="10"/>
    </i>
    <i t="grand">
      <x/>
    </i>
  </rowItems>
  <colFields count="1">
    <field x="-2"/>
  </colFields>
  <colItems count="5">
    <i>
      <x/>
    </i>
    <i i="1">
      <x v="1"/>
    </i>
    <i i="2">
      <x v="2"/>
    </i>
    <i i="3">
      <x v="3"/>
    </i>
    <i i="4">
      <x v="4"/>
    </i>
  </colItems>
  <pageFields count="3">
    <pageField fld="4" hier="-1"/>
    <pageField fld="19" item="1" hier="-1"/>
    <pageField fld="11" hier="-1"/>
  </pageFields>
  <dataFields count="5">
    <dataField name="Sum of Impervious area  (acres)" fld="21" baseField="17" baseItem="1" numFmtId="2"/>
    <dataField name="Sum of Total Pervious area (acres) " fld="27" baseField="17" baseItem="1" numFmtId="2"/>
    <dataField name="Count of BMP Type " fld="20" subtotal="count" baseField="0" baseItem="0"/>
    <dataField name="Sum of Storage volume (ft3)" fld="28" baseField="0" baseItem="0"/>
    <dataField name="Sum of * P Credit (kg/yr)" fld="40" baseField="17" baseItem="1" numFmtId="2"/>
  </dataFields>
  <formats count="6">
    <format dxfId="67">
      <pivotArea type="all" dataOnly="0" outline="0" fieldPosition="0"/>
    </format>
    <format dxfId="66">
      <pivotArea outline="0" collapsedLevelsAreSubtotals="1" fieldPosition="0"/>
    </format>
    <format dxfId="65">
      <pivotArea field="18" type="button" dataOnly="0" labelOnly="1" outline="0" axis="axisRow" fieldPosition="0"/>
    </format>
    <format dxfId="64">
      <pivotArea dataOnly="0" labelOnly="1" fieldPosition="0">
        <references count="1">
          <reference field="18" count="1">
            <x v="1"/>
          </reference>
        </references>
      </pivotArea>
    </format>
    <format dxfId="63">
      <pivotArea dataOnly="0" labelOnly="1" grandRow="1" outline="0" fieldPosition="0"/>
    </format>
    <format dxfId="62">
      <pivotArea dataOnly="0" labelOnly="1" outline="0" fieldPosition="0">
        <references count="1">
          <reference field="4294967294" count="4">
            <x v="0"/>
            <x v="1"/>
            <x v="2"/>
            <x v="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anrmaps.vermont.gov/websites/anra5/" TargetMode="External"/><Relationship Id="rId1" Type="http://schemas.openxmlformats.org/officeDocument/2006/relationships/hyperlink" Target="mailto:emily.schelley@vermont.gov"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pivotTable" Target="../pivotTables/pivotTable4.xml"/><Relationship Id="rId1" Type="http://schemas.openxmlformats.org/officeDocument/2006/relationships/pivotTable" Target="../pivotTables/pivotTable3.xml"/></Relationships>
</file>

<file path=xl/worksheets/_rels/sheet6.xml.rels><?xml version="1.0" encoding="UTF-8" standalone="yes"?>
<Relationships xmlns="http://schemas.openxmlformats.org/package/2006/relationships"><Relationship Id="rId3" Type="http://schemas.openxmlformats.org/officeDocument/2006/relationships/pivotTable" Target="../pivotTables/pivotTable7.xml"/><Relationship Id="rId2" Type="http://schemas.openxmlformats.org/officeDocument/2006/relationships/pivotTable" Target="../pivotTables/pivotTable6.xml"/><Relationship Id="rId1" Type="http://schemas.openxmlformats.org/officeDocument/2006/relationships/pivotTable" Target="../pivotTables/pivotTable5.xml"/><Relationship Id="rId5" Type="http://schemas.openxmlformats.org/officeDocument/2006/relationships/printerSettings" Target="../printerSettings/printerSettings3.bin"/><Relationship Id="rId4"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ED9DA4-6394-4945-A11B-A01C65371BA8}">
  <dimension ref="A1:A88"/>
  <sheetViews>
    <sheetView topLeftCell="A26" workbookViewId="0">
      <selection activeCell="B49" sqref="B49"/>
    </sheetView>
  </sheetViews>
  <sheetFormatPr defaultRowHeight="15"/>
  <cols>
    <col min="1" max="1" width="102.5703125" customWidth="1"/>
  </cols>
  <sheetData>
    <row r="1" spans="1:1" ht="18.75">
      <c r="A1" s="48" t="s">
        <v>236</v>
      </c>
    </row>
    <row r="2" spans="1:1" ht="15.75">
      <c r="A2" s="106" t="s">
        <v>278</v>
      </c>
    </row>
    <row r="3" spans="1:1">
      <c r="A3" s="42" t="s">
        <v>279</v>
      </c>
    </row>
    <row r="4" spans="1:1">
      <c r="A4" s="42"/>
    </row>
    <row r="5" spans="1:1" ht="30">
      <c r="A5" s="43" t="s">
        <v>250</v>
      </c>
    </row>
    <row r="6" spans="1:1" ht="34.5" customHeight="1">
      <c r="A6" s="46" t="s">
        <v>237</v>
      </c>
    </row>
    <row r="7" spans="1:1" ht="41.25" customHeight="1">
      <c r="A7" s="46" t="s">
        <v>238</v>
      </c>
    </row>
    <row r="8" spans="1:1" ht="51" customHeight="1">
      <c r="A8" s="43" t="s">
        <v>239</v>
      </c>
    </row>
    <row r="9" spans="1:1">
      <c r="A9" s="42"/>
    </row>
    <row r="10" spans="1:1">
      <c r="A10" s="42"/>
    </row>
    <row r="11" spans="1:1">
      <c r="A11" s="42"/>
    </row>
    <row r="12" spans="1:1">
      <c r="A12" s="42" t="s">
        <v>263</v>
      </c>
    </row>
    <row r="13" spans="1:1" ht="66.75" customHeight="1">
      <c r="A13" s="45" t="s">
        <v>265</v>
      </c>
    </row>
    <row r="14" spans="1:1" ht="22.5" customHeight="1">
      <c r="A14" s="72" t="s">
        <v>262</v>
      </c>
    </row>
    <row r="15" spans="1:1" ht="29.25" customHeight="1">
      <c r="A15" s="45" t="s">
        <v>277</v>
      </c>
    </row>
    <row r="16" spans="1:1">
      <c r="A16" s="73" t="s">
        <v>248</v>
      </c>
    </row>
    <row r="17" spans="1:1">
      <c r="A17" s="44"/>
    </row>
    <row r="18" spans="1:1" ht="15.75">
      <c r="A18" s="49" t="s">
        <v>256</v>
      </c>
    </row>
    <row r="19" spans="1:1" ht="18.75" customHeight="1">
      <c r="A19" s="51" t="s">
        <v>257</v>
      </c>
    </row>
    <row r="20" spans="1:1" ht="18.75" customHeight="1">
      <c r="A20" s="50" t="s">
        <v>268</v>
      </c>
    </row>
    <row r="21" spans="1:1">
      <c r="A21" s="44"/>
    </row>
    <row r="22" spans="1:1" ht="15.75">
      <c r="A22" s="47" t="s">
        <v>240</v>
      </c>
    </row>
    <row r="23" spans="1:1" ht="75">
      <c r="A23" s="43" t="s">
        <v>241</v>
      </c>
    </row>
    <row r="24" spans="1:1">
      <c r="A24" s="42"/>
    </row>
    <row r="25" spans="1:1" ht="15.75">
      <c r="A25" s="47" t="s">
        <v>242</v>
      </c>
    </row>
    <row r="26" spans="1:1" ht="45">
      <c r="A26" s="43" t="s">
        <v>243</v>
      </c>
    </row>
    <row r="27" spans="1:1">
      <c r="A27" s="42"/>
    </row>
    <row r="28" spans="1:1">
      <c r="A28" s="42"/>
    </row>
    <row r="29" spans="1:1">
      <c r="A29" s="42"/>
    </row>
    <row r="30" spans="1:1">
      <c r="A30" s="42"/>
    </row>
    <row r="31" spans="1:1">
      <c r="A31" s="42"/>
    </row>
    <row r="32" spans="1:1">
      <c r="A32" s="42"/>
    </row>
    <row r="33" spans="1:1">
      <c r="A33" s="42"/>
    </row>
    <row r="34" spans="1:1">
      <c r="A34" s="42"/>
    </row>
    <row r="35" spans="1:1">
      <c r="A35" s="42"/>
    </row>
    <row r="36" spans="1:1">
      <c r="A36" s="42"/>
    </row>
    <row r="37" spans="1:1">
      <c r="A37" s="42"/>
    </row>
    <row r="38" spans="1:1">
      <c r="A38" s="42"/>
    </row>
    <row r="39" spans="1:1">
      <c r="A39" s="105" t="s">
        <v>264</v>
      </c>
    </row>
    <row r="40" spans="1:1">
      <c r="A40" s="105"/>
    </row>
    <row r="41" spans="1:1" ht="30">
      <c r="A41" s="43" t="s">
        <v>244</v>
      </c>
    </row>
    <row r="42" spans="1:1">
      <c r="A42" s="42"/>
    </row>
    <row r="43" spans="1:1">
      <c r="A43" s="42"/>
    </row>
    <row r="44" spans="1:1">
      <c r="A44" s="42"/>
    </row>
    <row r="45" spans="1:1">
      <c r="A45" s="42"/>
    </row>
    <row r="46" spans="1:1">
      <c r="A46" s="42"/>
    </row>
    <row r="47" spans="1:1">
      <c r="A47" s="42"/>
    </row>
    <row r="48" spans="1:1">
      <c r="A48" s="42"/>
    </row>
    <row r="49" spans="1:1">
      <c r="A49" s="42"/>
    </row>
    <row r="50" spans="1:1">
      <c r="A50" s="42"/>
    </row>
    <row r="51" spans="1:1">
      <c r="A51" s="42"/>
    </row>
    <row r="52" spans="1:1">
      <c r="A52" s="42"/>
    </row>
    <row r="53" spans="1:1">
      <c r="A53" s="42"/>
    </row>
    <row r="54" spans="1:1">
      <c r="A54" s="42"/>
    </row>
    <row r="55" spans="1:1">
      <c r="A55" s="42"/>
    </row>
    <row r="56" spans="1:1">
      <c r="A56" s="42"/>
    </row>
    <row r="57" spans="1:1">
      <c r="A57" s="42"/>
    </row>
    <row r="58" spans="1:1">
      <c r="A58" s="42"/>
    </row>
    <row r="59" spans="1:1">
      <c r="A59" s="105" t="s">
        <v>267</v>
      </c>
    </row>
    <row r="60" spans="1:1">
      <c r="A60" s="42"/>
    </row>
    <row r="61" spans="1:1" ht="45">
      <c r="A61" s="45" t="s">
        <v>245</v>
      </c>
    </row>
    <row r="62" spans="1:1">
      <c r="A62" s="42"/>
    </row>
    <row r="63" spans="1:1" ht="15.75">
      <c r="A63" s="47" t="s">
        <v>246</v>
      </c>
    </row>
    <row r="64" spans="1:1" ht="60">
      <c r="A64" s="43" t="s">
        <v>247</v>
      </c>
    </row>
    <row r="65" spans="1:1">
      <c r="A65" s="42"/>
    </row>
    <row r="66" spans="1:1">
      <c r="A66" s="42"/>
    </row>
    <row r="67" spans="1:1">
      <c r="A67" s="42"/>
    </row>
    <row r="68" spans="1:1">
      <c r="A68" s="42"/>
    </row>
    <row r="69" spans="1:1">
      <c r="A69" s="42"/>
    </row>
    <row r="70" spans="1:1">
      <c r="A70" s="42"/>
    </row>
    <row r="71" spans="1:1">
      <c r="A71" s="42"/>
    </row>
    <row r="72" spans="1:1">
      <c r="A72" s="42"/>
    </row>
    <row r="73" spans="1:1">
      <c r="A73" s="42"/>
    </row>
    <row r="74" spans="1:1">
      <c r="A74" s="42"/>
    </row>
    <row r="75" spans="1:1">
      <c r="A75" s="42"/>
    </row>
    <row r="76" spans="1:1">
      <c r="A76" s="42"/>
    </row>
    <row r="77" spans="1:1">
      <c r="A77" s="42"/>
    </row>
    <row r="78" spans="1:1">
      <c r="A78" s="42"/>
    </row>
    <row r="79" spans="1:1">
      <c r="A79" s="42"/>
    </row>
    <row r="80" spans="1:1">
      <c r="A80" s="42"/>
    </row>
    <row r="81" spans="1:1">
      <c r="A81" s="42"/>
    </row>
    <row r="82" spans="1:1">
      <c r="A82" s="42"/>
    </row>
    <row r="83" spans="1:1">
      <c r="A83" s="42"/>
    </row>
    <row r="84" spans="1:1">
      <c r="A84" s="42"/>
    </row>
    <row r="85" spans="1:1">
      <c r="A85" s="105" t="s">
        <v>266</v>
      </c>
    </row>
    <row r="86" spans="1:1">
      <c r="A86" s="105"/>
    </row>
    <row r="87" spans="1:1" ht="15.75">
      <c r="A87" s="47" t="s">
        <v>249</v>
      </c>
    </row>
    <row r="88" spans="1:1" ht="30">
      <c r="A88" s="43" t="s">
        <v>255</v>
      </c>
    </row>
  </sheetData>
  <hyperlinks>
    <hyperlink ref="A16" r:id="rId1" xr:uid="{AB6D58C5-D78F-4EC6-822F-0AB4D5BB3D86}"/>
    <hyperlink ref="A14" r:id="rId2" xr:uid="{4DEEC706-72A5-4370-BCA6-D266E0CAC3F7}"/>
  </hyperlinks>
  <pageMargins left="0.7" right="0.7" top="0.75" bottom="0.75" header="0.3" footer="0.3"/>
  <pageSetup orientation="portrait"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C49831-9B77-4C71-98BC-AA1D3FA604AE}">
  <dimension ref="A1:I29"/>
  <sheetViews>
    <sheetView topLeftCell="A4" zoomScaleNormal="100" workbookViewId="0">
      <selection activeCell="G33" sqref="G33"/>
    </sheetView>
  </sheetViews>
  <sheetFormatPr defaultRowHeight="15"/>
  <cols>
    <col min="1" max="1" width="11.42578125" customWidth="1"/>
    <col min="2" max="5" width="12.42578125" customWidth="1"/>
    <col min="6" max="6" width="12.85546875" customWidth="1"/>
    <col min="7" max="7" width="13.140625" customWidth="1"/>
    <col min="8" max="8" width="8.28515625" customWidth="1"/>
    <col min="9" max="9" width="11.140625" customWidth="1"/>
  </cols>
  <sheetData>
    <row r="1" spans="1:9">
      <c r="A1" t="s">
        <v>600</v>
      </c>
    </row>
    <row r="2" spans="1:9">
      <c r="A2" s="195" t="s">
        <v>584</v>
      </c>
    </row>
    <row r="3" spans="1:9">
      <c r="B3" s="195"/>
      <c r="C3" s="195"/>
      <c r="D3" s="195"/>
      <c r="E3" s="195"/>
    </row>
    <row r="4" spans="1:9" s="187" customFormat="1" ht="75">
      <c r="A4" s="1" t="s">
        <v>585</v>
      </c>
      <c r="B4" s="194" t="str">
        <f>'PCP Summary Table'!A4</f>
        <v>Lake Segment</v>
      </c>
      <c r="C4" s="194" t="str">
        <f>'PCP Summary Table'!B4</f>
        <v>Completed STPs</v>
      </c>
      <c r="D4" s="194" t="str">
        <f>'PCP Summary Table'!C4</f>
        <v>Design Phase STPs</v>
      </c>
      <c r="E4" s="194" t="s">
        <v>793</v>
      </c>
      <c r="F4" s="194" t="str">
        <f>'PCP Summary Table'!F4</f>
        <v>Target P Reduction</v>
      </c>
      <c r="G4" s="194" t="str">
        <f>'PCP Summary Table'!E4</f>
        <v>Total P Reduction</v>
      </c>
      <c r="H4" s="194" t="str">
        <f>'PCP Summary Table'!G4</f>
        <v>% of Required P Reduction</v>
      </c>
    </row>
    <row r="5" spans="1:9">
      <c r="A5" t="s">
        <v>325</v>
      </c>
      <c r="B5" s="196" t="str">
        <f>'PCP Summary Table'!A6</f>
        <v>Main Lake</v>
      </c>
      <c r="C5" s="196">
        <f>'PCP Summary Table'!B6</f>
        <v>7.6399594986970696</v>
      </c>
      <c r="D5" s="196">
        <f>'PCP Summary Table'!C6</f>
        <v>11.840355156235091</v>
      </c>
      <c r="E5" s="196">
        <f>'PCP Summary Table'!D6</f>
        <v>0</v>
      </c>
      <c r="G5" s="196">
        <f>'PCP Summary Table'!E6</f>
        <v>19.480314654932162</v>
      </c>
      <c r="H5" s="178">
        <f>'PCP Summary Table'!G6</f>
        <v>0.86211697046019786</v>
      </c>
    </row>
    <row r="6" spans="1:9">
      <c r="B6" s="196"/>
      <c r="C6" s="196"/>
      <c r="D6" s="196"/>
      <c r="F6" s="196">
        <f>'PCP Summary Table'!F6</f>
        <v>22.595906730073501</v>
      </c>
      <c r="G6" s="196"/>
      <c r="H6" s="178"/>
    </row>
    <row r="7" spans="1:9">
      <c r="A7" t="s">
        <v>325</v>
      </c>
      <c r="B7" s="196" t="str">
        <f>'PCP Summary Table'!A7</f>
        <v>Malletts Bay</v>
      </c>
      <c r="C7" s="196">
        <f>'PCP Summary Table'!B7</f>
        <v>9.3047493670993831</v>
      </c>
      <c r="D7" s="196">
        <f>'PCP Summary Table'!C7</f>
        <v>5.0216517521781956</v>
      </c>
      <c r="E7">
        <f>'PCP Summary Table'!D7</f>
        <v>0</v>
      </c>
      <c r="G7" s="196">
        <f>'PCP Summary Table'!E7</f>
        <v>14.326401119277579</v>
      </c>
      <c r="H7" s="178">
        <f>'PCP Summary Table'!G7</f>
        <v>1.5694640282266892</v>
      </c>
    </row>
    <row r="8" spans="1:9">
      <c r="B8" s="196"/>
      <c r="C8" s="196"/>
      <c r="D8" s="196"/>
      <c r="F8" s="196">
        <f>'PCP Summary Table'!F7</f>
        <v>9.1282124735695511</v>
      </c>
      <c r="G8" s="196"/>
      <c r="H8" s="178"/>
    </row>
    <row r="9" spans="1:9">
      <c r="A9" t="s">
        <v>327</v>
      </c>
      <c r="B9" s="196" t="str">
        <f>'PCP Summary Table'!A10</f>
        <v>Main Lake</v>
      </c>
      <c r="C9" s="196">
        <f>'PCP Summary Table'!B10</f>
        <v>18.087847045918089</v>
      </c>
      <c r="D9" s="196">
        <f>'PCP Summary Table'!C10</f>
        <v>36.759488758615049</v>
      </c>
      <c r="E9" s="196">
        <f>'PCP Summary Table'!D10</f>
        <v>37.200000000000003</v>
      </c>
      <c r="G9" s="196">
        <f>'PCP Summary Table'!E10</f>
        <v>92.047335804533134</v>
      </c>
      <c r="H9" s="178">
        <f>'PCP Summary Table'!G10</f>
        <v>2.1111401056819132</v>
      </c>
    </row>
    <row r="10" spans="1:9">
      <c r="B10" s="196"/>
      <c r="C10" s="196"/>
      <c r="D10" s="196"/>
      <c r="F10" s="196">
        <f>'PCP Summary Table'!F10</f>
        <v>43.600770766846473</v>
      </c>
      <c r="G10" s="196"/>
      <c r="H10" s="178"/>
    </row>
    <row r="11" spans="1:9">
      <c r="A11" t="s">
        <v>327</v>
      </c>
      <c r="B11" s="196" t="str">
        <f>'PCP Summary Table'!A11</f>
        <v>Malletts Bay</v>
      </c>
      <c r="C11" s="196">
        <f>'PCP Summary Table'!B11</f>
        <v>14.959702977956997</v>
      </c>
      <c r="D11" s="196">
        <f>'PCP Summary Table'!C11</f>
        <v>3.3693399449379124</v>
      </c>
      <c r="E11">
        <f>'PCP Summary Table'!D11</f>
        <v>0</v>
      </c>
      <c r="G11" s="196">
        <f>'PCP Summary Table'!E11</f>
        <v>18.32904292289491</v>
      </c>
      <c r="H11" s="178">
        <f>'PCP Summary Table'!G11</f>
        <v>0.59140506810177518</v>
      </c>
    </row>
    <row r="12" spans="1:9">
      <c r="B12" s="196"/>
      <c r="C12" s="196"/>
      <c r="D12" s="196"/>
      <c r="F12" s="196">
        <f>'PCP Summary Table'!F11</f>
        <v>30.99236701120163</v>
      </c>
      <c r="G12" s="196"/>
      <c r="H12" s="178"/>
    </row>
    <row r="13" spans="1:9">
      <c r="B13" s="196"/>
      <c r="C13" s="196"/>
      <c r="D13" s="196"/>
      <c r="E13" s="196"/>
      <c r="F13" s="196"/>
      <c r="G13" s="196"/>
      <c r="H13" s="196"/>
      <c r="I13" s="178"/>
    </row>
    <row r="14" spans="1:9">
      <c r="A14" s="42"/>
      <c r="B14" s="42"/>
      <c r="C14" s="42"/>
      <c r="D14" s="42"/>
      <c r="E14" s="42"/>
      <c r="F14" s="42"/>
      <c r="G14" s="42"/>
      <c r="H14" s="42"/>
    </row>
    <row r="15" spans="1:9">
      <c r="A15" s="42"/>
      <c r="B15" s="42"/>
      <c r="C15" s="42"/>
      <c r="D15" s="42"/>
      <c r="E15" s="42"/>
      <c r="F15" s="42"/>
      <c r="G15" s="42"/>
      <c r="H15" s="42"/>
    </row>
    <row r="16" spans="1:9">
      <c r="A16" s="42"/>
      <c r="B16" s="42"/>
      <c r="C16" s="42"/>
      <c r="D16" s="42"/>
      <c r="E16" s="42"/>
      <c r="F16" s="42"/>
      <c r="G16" s="42"/>
      <c r="H16" s="42"/>
    </row>
    <row r="17" spans="1:8">
      <c r="A17" s="42"/>
      <c r="B17" s="42"/>
      <c r="C17" s="42"/>
      <c r="D17" s="42"/>
      <c r="E17" s="42"/>
      <c r="F17" s="42"/>
      <c r="G17" s="42"/>
      <c r="H17" s="42"/>
    </row>
    <row r="18" spans="1:8">
      <c r="A18" s="42"/>
      <c r="B18" s="42"/>
      <c r="C18" s="42"/>
      <c r="D18" s="42"/>
      <c r="E18" s="42"/>
      <c r="F18" s="42"/>
      <c r="G18" s="42"/>
      <c r="H18" s="42"/>
    </row>
    <row r="19" spans="1:8">
      <c r="A19" s="42"/>
      <c r="B19" s="42"/>
      <c r="C19" s="42"/>
      <c r="D19" s="42"/>
      <c r="E19" s="42"/>
      <c r="F19" s="42"/>
      <c r="G19" s="42"/>
      <c r="H19" s="42"/>
    </row>
    <row r="20" spans="1:8">
      <c r="A20" s="42"/>
      <c r="B20" s="42"/>
      <c r="C20" s="42"/>
      <c r="D20" s="42"/>
      <c r="E20" s="42"/>
      <c r="F20" s="42"/>
      <c r="G20" s="42"/>
      <c r="H20" s="42"/>
    </row>
    <row r="21" spans="1:8">
      <c r="A21" s="42"/>
      <c r="B21" s="42"/>
      <c r="C21" s="42"/>
      <c r="D21" s="42"/>
      <c r="E21" s="42"/>
      <c r="F21" s="42"/>
      <c r="G21" s="42"/>
      <c r="H21" s="42"/>
    </row>
    <row r="22" spans="1:8">
      <c r="A22" s="42"/>
      <c r="B22" s="42"/>
      <c r="C22" s="42"/>
      <c r="D22" s="42"/>
      <c r="E22" s="42"/>
      <c r="F22" s="42"/>
      <c r="G22" s="42"/>
      <c r="H22" s="42"/>
    </row>
    <row r="23" spans="1:8">
      <c r="A23" s="42"/>
      <c r="B23" s="42"/>
      <c r="C23" s="42"/>
      <c r="D23" s="42"/>
      <c r="E23" s="42"/>
      <c r="F23" s="42"/>
      <c r="G23" s="42"/>
      <c r="H23" s="42"/>
    </row>
    <row r="24" spans="1:8">
      <c r="A24" s="42"/>
      <c r="B24" s="42"/>
      <c r="C24" s="42"/>
      <c r="D24" s="42"/>
      <c r="E24" s="42"/>
      <c r="F24" s="42"/>
      <c r="G24" s="42"/>
      <c r="H24" s="42"/>
    </row>
    <row r="25" spans="1:8">
      <c r="A25" s="42"/>
      <c r="B25" s="42"/>
      <c r="C25" s="42"/>
      <c r="D25" s="42"/>
      <c r="E25" s="42"/>
      <c r="F25" s="42"/>
      <c r="G25" s="42"/>
      <c r="H25" s="42"/>
    </row>
    <row r="26" spans="1:8">
      <c r="A26" s="42"/>
      <c r="B26" s="42"/>
      <c r="C26" s="42"/>
      <c r="D26" s="42"/>
      <c r="E26" s="42"/>
      <c r="F26" s="42"/>
      <c r="G26" s="42"/>
      <c r="H26" s="42"/>
    </row>
    <row r="27" spans="1:8">
      <c r="A27" s="42"/>
      <c r="B27" s="42"/>
      <c r="C27" s="42"/>
      <c r="D27" s="42"/>
      <c r="E27" s="42"/>
      <c r="F27" s="42"/>
      <c r="G27" s="42"/>
      <c r="H27" s="42"/>
    </row>
    <row r="28" spans="1:8">
      <c r="A28" s="42"/>
      <c r="B28" s="42"/>
      <c r="C28" s="42"/>
      <c r="D28" s="42"/>
      <c r="E28" s="42"/>
      <c r="F28" s="42"/>
      <c r="G28" s="42"/>
      <c r="H28" s="42"/>
    </row>
    <row r="29" spans="1:8">
      <c r="A29" s="42"/>
      <c r="B29" s="42"/>
      <c r="C29" s="42"/>
      <c r="D29" s="42"/>
      <c r="E29" s="42"/>
      <c r="F29" s="42"/>
      <c r="G29" s="42"/>
      <c r="H29" s="42"/>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9B8E8-EF64-4F22-92F0-C400D61D688B}">
  <dimension ref="A1:M499"/>
  <sheetViews>
    <sheetView tabSelected="1" zoomScale="85" zoomScaleNormal="85" workbookViewId="0">
      <pane ySplit="2" topLeftCell="A11" activePane="bottomLeft" state="frozen"/>
      <selection pane="bottomLeft" activeCell="J56" sqref="J56"/>
    </sheetView>
  </sheetViews>
  <sheetFormatPr defaultRowHeight="15"/>
  <cols>
    <col min="1" max="1" width="10.42578125" customWidth="1"/>
    <col min="2" max="3" width="45.28515625" customWidth="1"/>
    <col min="4" max="4" width="21.85546875" customWidth="1"/>
    <col min="5" max="5" width="22.28515625" customWidth="1"/>
    <col min="6" max="6" width="10.140625" customWidth="1"/>
    <col min="7" max="7" width="11.85546875" customWidth="1"/>
    <col min="8" max="8" width="16.7109375" customWidth="1"/>
    <col min="9" max="9" width="16.140625" customWidth="1"/>
    <col min="10" max="10" width="14.42578125" customWidth="1"/>
    <col min="11" max="11" width="66.140625" bestFit="1" customWidth="1"/>
    <col min="12" max="12" width="13.7109375" customWidth="1"/>
    <col min="13" max="13" width="11.7109375" bestFit="1" customWidth="1"/>
    <col min="14" max="14" width="12.140625" customWidth="1"/>
  </cols>
  <sheetData>
    <row r="1" spans="1:13" ht="15.75">
      <c r="A1" s="58" t="s">
        <v>115</v>
      </c>
      <c r="B1" s="59"/>
      <c r="C1" s="59"/>
      <c r="D1" s="59"/>
      <c r="E1" s="59"/>
      <c r="F1" s="59"/>
      <c r="G1" s="59"/>
      <c r="H1" s="59"/>
      <c r="I1" s="59"/>
      <c r="J1" s="55" t="s">
        <v>234</v>
      </c>
      <c r="K1" s="56"/>
    </row>
    <row r="2" spans="1:13" ht="47.25">
      <c r="A2" s="71" t="s">
        <v>171</v>
      </c>
      <c r="B2" s="52" t="s">
        <v>0</v>
      </c>
      <c r="C2" s="52" t="s">
        <v>485</v>
      </c>
      <c r="D2" s="52" t="s">
        <v>52</v>
      </c>
      <c r="E2" s="52" t="s">
        <v>51</v>
      </c>
      <c r="F2" s="53" t="s">
        <v>157</v>
      </c>
      <c r="G2" s="53" t="s">
        <v>158</v>
      </c>
      <c r="H2" s="52" t="s">
        <v>233</v>
      </c>
      <c r="I2" s="52" t="s">
        <v>174</v>
      </c>
      <c r="J2" s="54" t="s">
        <v>54</v>
      </c>
      <c r="K2" s="54" t="s">
        <v>109</v>
      </c>
    </row>
    <row r="3" spans="1:13" hidden="1">
      <c r="A3" s="66" t="s">
        <v>325</v>
      </c>
      <c r="B3" s="4" t="s">
        <v>352</v>
      </c>
      <c r="D3" s="66" t="s">
        <v>10</v>
      </c>
      <c r="E3" s="66" t="s">
        <v>10</v>
      </c>
      <c r="F3" s="67">
        <v>44.494030000000002</v>
      </c>
      <c r="G3" s="67">
        <v>-73.106809999999996</v>
      </c>
      <c r="H3" s="4" t="s">
        <v>353</v>
      </c>
      <c r="I3" s="66" t="s">
        <v>66</v>
      </c>
      <c r="J3" s="145" t="s">
        <v>354</v>
      </c>
      <c r="K3" s="146" t="s">
        <v>355</v>
      </c>
      <c r="L3" s="39"/>
      <c r="M3" s="36"/>
    </row>
    <row r="4" spans="1:13" hidden="1">
      <c r="A4" s="66"/>
      <c r="B4" s="4" t="s">
        <v>356</v>
      </c>
      <c r="D4" s="66" t="s">
        <v>10</v>
      </c>
      <c r="E4" s="66" t="s">
        <v>10</v>
      </c>
      <c r="F4" s="67">
        <v>44.49541</v>
      </c>
      <c r="G4" s="67">
        <v>-73.097740000000002</v>
      </c>
      <c r="H4" s="4" t="s">
        <v>357</v>
      </c>
      <c r="I4" s="68" t="s">
        <v>66</v>
      </c>
      <c r="J4" s="145" t="s">
        <v>354</v>
      </c>
      <c r="K4" s="66" t="s">
        <v>358</v>
      </c>
      <c r="L4" s="36"/>
      <c r="M4" s="36"/>
    </row>
    <row r="5" spans="1:13" hidden="1">
      <c r="A5" s="66"/>
      <c r="B5" s="4" t="s">
        <v>359</v>
      </c>
      <c r="D5" s="66" t="s">
        <v>10</v>
      </c>
      <c r="E5" s="66" t="s">
        <v>10</v>
      </c>
      <c r="F5" s="67">
        <v>44.495660000000001</v>
      </c>
      <c r="G5" s="67">
        <v>-73.097773000000004</v>
      </c>
      <c r="H5" s="4" t="s">
        <v>357</v>
      </c>
      <c r="I5" s="68" t="s">
        <v>66</v>
      </c>
      <c r="J5" s="145" t="s">
        <v>354</v>
      </c>
      <c r="K5" s="66" t="s">
        <v>355</v>
      </c>
      <c r="L5" s="36"/>
      <c r="M5" s="36"/>
    </row>
    <row r="6" spans="1:13" hidden="1">
      <c r="A6" s="66"/>
      <c r="B6" t="s">
        <v>360</v>
      </c>
      <c r="D6" s="66" t="s">
        <v>10</v>
      </c>
      <c r="E6" s="66" t="s">
        <v>10</v>
      </c>
      <c r="F6" s="67">
        <v>44.487549999999999</v>
      </c>
      <c r="G6" s="67">
        <v>-73.132090000000005</v>
      </c>
      <c r="H6" s="4" t="s">
        <v>361</v>
      </c>
      <c r="I6" s="66" t="s">
        <v>66</v>
      </c>
      <c r="J6" s="145" t="s">
        <v>354</v>
      </c>
      <c r="K6" s="66" t="s">
        <v>362</v>
      </c>
      <c r="L6" s="36"/>
      <c r="M6" s="36"/>
    </row>
    <row r="7" spans="1:13" hidden="1">
      <c r="A7" s="66"/>
      <c r="B7" s="4" t="s">
        <v>363</v>
      </c>
      <c r="D7" s="66" t="s">
        <v>10</v>
      </c>
      <c r="E7" s="66" t="s">
        <v>10</v>
      </c>
      <c r="F7" s="67">
        <v>44.49521</v>
      </c>
      <c r="G7" s="67">
        <v>-73.106679999999997</v>
      </c>
      <c r="H7" s="66" t="s">
        <v>364</v>
      </c>
      <c r="I7" s="66" t="s">
        <v>66</v>
      </c>
      <c r="J7" s="145" t="s">
        <v>354</v>
      </c>
      <c r="K7" s="66" t="s">
        <v>355</v>
      </c>
      <c r="L7" s="39"/>
      <c r="M7" s="36"/>
    </row>
    <row r="8" spans="1:13" hidden="1">
      <c r="A8" s="66"/>
      <c r="B8" s="4" t="s">
        <v>365</v>
      </c>
      <c r="D8" s="66" t="s">
        <v>10</v>
      </c>
      <c r="E8" s="66" t="s">
        <v>10</v>
      </c>
      <c r="F8" s="67">
        <v>44.484589999999997</v>
      </c>
      <c r="G8" s="67">
        <v>-73.130549999999999</v>
      </c>
      <c r="H8" s="4" t="s">
        <v>361</v>
      </c>
      <c r="I8" s="66" t="s">
        <v>66</v>
      </c>
      <c r="J8" s="145" t="s">
        <v>354</v>
      </c>
      <c r="K8" s="66" t="s">
        <v>358</v>
      </c>
      <c r="L8" s="36"/>
      <c r="M8" s="36"/>
    </row>
    <row r="9" spans="1:13" hidden="1">
      <c r="A9" s="66"/>
      <c r="B9" s="4" t="s">
        <v>366</v>
      </c>
      <c r="D9" s="66" t="s">
        <v>10</v>
      </c>
      <c r="E9" s="66" t="s">
        <v>10</v>
      </c>
      <c r="F9" s="67">
        <v>44.478409999999997</v>
      </c>
      <c r="G9" s="67">
        <v>-73.127250000000004</v>
      </c>
      <c r="H9" s="4" t="s">
        <v>361</v>
      </c>
      <c r="I9" s="66" t="s">
        <v>66</v>
      </c>
      <c r="J9" s="145" t="s">
        <v>354</v>
      </c>
      <c r="K9" s="66" t="s">
        <v>358</v>
      </c>
      <c r="L9" s="36"/>
      <c r="M9" s="36"/>
    </row>
    <row r="10" spans="1:13" hidden="1">
      <c r="A10" s="66"/>
      <c r="B10" s="66"/>
      <c r="C10" s="66"/>
      <c r="D10" s="66"/>
      <c r="E10" s="66"/>
      <c r="F10" s="67"/>
      <c r="G10" s="67"/>
      <c r="H10" s="66"/>
      <c r="I10" s="66"/>
      <c r="J10" s="66"/>
      <c r="K10" s="66"/>
      <c r="L10" s="36"/>
      <c r="M10" s="36"/>
    </row>
    <row r="11" spans="1:13">
      <c r="A11" s="66" t="s">
        <v>327</v>
      </c>
      <c r="B11" s="147" t="s">
        <v>367</v>
      </c>
      <c r="C11" s="147" t="s">
        <v>368</v>
      </c>
      <c r="D11" s="148" t="s">
        <v>327</v>
      </c>
      <c r="E11" s="69" t="s">
        <v>9</v>
      </c>
      <c r="F11" s="149">
        <v>44.495162000000001</v>
      </c>
      <c r="G11" s="149">
        <v>-73.081987999999996</v>
      </c>
      <c r="H11" s="69" t="s">
        <v>369</v>
      </c>
      <c r="I11" s="70" t="s">
        <v>66</v>
      </c>
      <c r="J11" s="69" t="s">
        <v>938</v>
      </c>
      <c r="K11" s="151" t="s">
        <v>942</v>
      </c>
      <c r="L11" s="36"/>
      <c r="M11" s="36"/>
    </row>
    <row r="12" spans="1:13">
      <c r="A12" s="66"/>
      <c r="B12" s="147" t="s">
        <v>370</v>
      </c>
      <c r="C12" s="147" t="s">
        <v>371</v>
      </c>
      <c r="D12" s="147" t="s">
        <v>327</v>
      </c>
      <c r="E12" s="66" t="s">
        <v>9</v>
      </c>
      <c r="F12" s="150">
        <v>44.493454</v>
      </c>
      <c r="G12" s="150">
        <v>-73.079311000000004</v>
      </c>
      <c r="H12" s="66" t="s">
        <v>372</v>
      </c>
      <c r="I12" s="66" t="s">
        <v>66</v>
      </c>
      <c r="J12" s="69" t="s">
        <v>938</v>
      </c>
      <c r="K12" s="151" t="s">
        <v>942</v>
      </c>
      <c r="L12" s="36"/>
      <c r="M12" s="36"/>
    </row>
    <row r="13" spans="1:13" ht="30">
      <c r="A13" s="66"/>
      <c r="B13" s="147" t="s">
        <v>373</v>
      </c>
      <c r="C13" s="147" t="s">
        <v>374</v>
      </c>
      <c r="D13" s="147" t="s">
        <v>327</v>
      </c>
      <c r="E13" s="66" t="s">
        <v>9</v>
      </c>
      <c r="F13" s="150">
        <v>44.517454000000001</v>
      </c>
      <c r="G13" s="150">
        <v>-73.062109000000007</v>
      </c>
      <c r="H13" s="68" t="s">
        <v>375</v>
      </c>
      <c r="I13" s="68" t="s">
        <v>66</v>
      </c>
      <c r="J13" s="69" t="s">
        <v>938</v>
      </c>
      <c r="K13" s="151" t="s">
        <v>940</v>
      </c>
      <c r="L13" s="36"/>
      <c r="M13" s="36"/>
    </row>
    <row r="14" spans="1:13" ht="45">
      <c r="A14" s="66"/>
      <c r="B14" s="147" t="s">
        <v>376</v>
      </c>
      <c r="C14" s="147" t="s">
        <v>377</v>
      </c>
      <c r="D14" s="147" t="s">
        <v>327</v>
      </c>
      <c r="E14" s="66" t="s">
        <v>9</v>
      </c>
      <c r="F14" s="150">
        <v>44.489061</v>
      </c>
      <c r="G14" s="150">
        <v>-73.055538999999996</v>
      </c>
      <c r="H14" s="68" t="s">
        <v>378</v>
      </c>
      <c r="I14" s="68" t="s">
        <v>66</v>
      </c>
      <c r="J14" s="69" t="s">
        <v>938</v>
      </c>
      <c r="K14" s="151" t="s">
        <v>941</v>
      </c>
      <c r="L14" s="36"/>
      <c r="M14" s="36"/>
    </row>
    <row r="15" spans="1:13">
      <c r="A15" s="66"/>
      <c r="B15" s="147" t="s">
        <v>379</v>
      </c>
      <c r="C15" s="147" t="s">
        <v>380</v>
      </c>
      <c r="D15" s="147" t="s">
        <v>327</v>
      </c>
      <c r="E15" s="66" t="s">
        <v>9</v>
      </c>
      <c r="F15" s="150">
        <v>44.485388</v>
      </c>
      <c r="G15" s="150">
        <v>-73.071100000000001</v>
      </c>
      <c r="H15" s="66" t="s">
        <v>381</v>
      </c>
      <c r="I15" s="66" t="s">
        <v>66</v>
      </c>
      <c r="J15" s="69" t="s">
        <v>938</v>
      </c>
      <c r="K15" s="66" t="s">
        <v>942</v>
      </c>
      <c r="L15" s="36"/>
      <c r="M15" s="36"/>
    </row>
    <row r="16" spans="1:13">
      <c r="A16" s="66"/>
      <c r="B16" s="147" t="s">
        <v>382</v>
      </c>
      <c r="C16" s="147" t="s">
        <v>383</v>
      </c>
      <c r="D16" s="147" t="s">
        <v>327</v>
      </c>
      <c r="E16" s="66" t="s">
        <v>9</v>
      </c>
      <c r="F16" s="150">
        <v>44.487839000000001</v>
      </c>
      <c r="G16" s="150">
        <v>-73.070892999999998</v>
      </c>
      <c r="H16" s="66" t="s">
        <v>384</v>
      </c>
      <c r="I16" s="66" t="s">
        <v>66</v>
      </c>
      <c r="J16" s="69" t="s">
        <v>938</v>
      </c>
      <c r="K16" s="66" t="s">
        <v>942</v>
      </c>
      <c r="L16" s="36"/>
      <c r="M16" s="36"/>
    </row>
    <row r="17" spans="1:13">
      <c r="A17" s="66"/>
      <c r="B17" s="147" t="s">
        <v>385</v>
      </c>
      <c r="C17" s="147" t="s">
        <v>386</v>
      </c>
      <c r="D17" s="147" t="s">
        <v>327</v>
      </c>
      <c r="E17" s="66" t="s">
        <v>9</v>
      </c>
      <c r="F17" s="150">
        <v>44.511425000000003</v>
      </c>
      <c r="G17" s="67">
        <v>-73.079240999999996</v>
      </c>
      <c r="H17" s="66" t="s">
        <v>387</v>
      </c>
      <c r="I17" s="66" t="s">
        <v>66</v>
      </c>
      <c r="J17" s="69" t="s">
        <v>938</v>
      </c>
      <c r="K17" s="66" t="s">
        <v>942</v>
      </c>
      <c r="L17" s="36"/>
      <c r="M17" s="36"/>
    </row>
    <row r="18" spans="1:13">
      <c r="A18" s="66"/>
      <c r="B18" s="147" t="s">
        <v>388</v>
      </c>
      <c r="C18" s="147" t="s">
        <v>389</v>
      </c>
      <c r="D18" s="147" t="s">
        <v>327</v>
      </c>
      <c r="E18" s="66" t="s">
        <v>9</v>
      </c>
      <c r="F18" s="150">
        <v>44.513758000000003</v>
      </c>
      <c r="G18" s="150">
        <v>-73.074399999999997</v>
      </c>
      <c r="H18" s="66" t="s">
        <v>390</v>
      </c>
      <c r="I18" s="66" t="s">
        <v>66</v>
      </c>
      <c r="J18" s="69" t="s">
        <v>938</v>
      </c>
      <c r="K18" s="66" t="s">
        <v>942</v>
      </c>
      <c r="L18" s="36"/>
      <c r="M18" s="36"/>
    </row>
    <row r="19" spans="1:13">
      <c r="A19" s="66"/>
      <c r="B19" s="147" t="s">
        <v>391</v>
      </c>
      <c r="C19" s="147" t="s">
        <v>392</v>
      </c>
      <c r="D19" s="147" t="s">
        <v>327</v>
      </c>
      <c r="E19" s="66" t="s">
        <v>9</v>
      </c>
      <c r="F19" s="150">
        <v>44.483530000000002</v>
      </c>
      <c r="G19" s="150">
        <v>-73.069393000000005</v>
      </c>
      <c r="H19" s="66" t="s">
        <v>393</v>
      </c>
      <c r="I19" s="66" t="s">
        <v>66</v>
      </c>
      <c r="J19" s="69" t="s">
        <v>938</v>
      </c>
      <c r="K19" s="66" t="s">
        <v>942</v>
      </c>
      <c r="L19" s="36"/>
      <c r="M19" s="36"/>
    </row>
    <row r="20" spans="1:13">
      <c r="A20" s="66"/>
      <c r="B20" s="147" t="s">
        <v>394</v>
      </c>
      <c r="C20" s="147" t="s">
        <v>395</v>
      </c>
      <c r="D20" s="147" t="s">
        <v>327</v>
      </c>
      <c r="E20" s="66" t="s">
        <v>9</v>
      </c>
      <c r="F20" s="150">
        <v>44.489699000000002</v>
      </c>
      <c r="G20" s="150">
        <v>-73.074954000000005</v>
      </c>
      <c r="H20" s="66" t="s">
        <v>396</v>
      </c>
      <c r="I20" s="66" t="s">
        <v>66</v>
      </c>
      <c r="J20" s="69" t="s">
        <v>938</v>
      </c>
      <c r="K20" s="66" t="s">
        <v>942</v>
      </c>
      <c r="L20" s="36"/>
      <c r="M20" s="36"/>
    </row>
    <row r="21" spans="1:13">
      <c r="A21" s="66"/>
      <c r="B21" s="147" t="s">
        <v>397</v>
      </c>
      <c r="C21" s="147" t="s">
        <v>398</v>
      </c>
      <c r="D21" s="147" t="s">
        <v>327</v>
      </c>
      <c r="E21" s="66" t="s">
        <v>9</v>
      </c>
      <c r="F21" s="150">
        <v>44.506793999999999</v>
      </c>
      <c r="G21" s="150">
        <v>-73.076250999999999</v>
      </c>
      <c r="H21" s="66" t="s">
        <v>399</v>
      </c>
      <c r="I21" s="66" t="s">
        <v>66</v>
      </c>
      <c r="J21" s="69" t="s">
        <v>938</v>
      </c>
      <c r="K21" s="66" t="s">
        <v>942</v>
      </c>
      <c r="L21" s="36"/>
      <c r="M21" s="36"/>
    </row>
    <row r="22" spans="1:13">
      <c r="A22" s="66"/>
      <c r="B22" s="147" t="s">
        <v>400</v>
      </c>
      <c r="C22" s="147" t="s">
        <v>401</v>
      </c>
      <c r="D22" s="147" t="s">
        <v>327</v>
      </c>
      <c r="E22" s="66" t="s">
        <v>9</v>
      </c>
      <c r="F22" s="150">
        <v>44.511077999999998</v>
      </c>
      <c r="G22" s="150">
        <v>-73.046995999999993</v>
      </c>
      <c r="H22" s="66" t="s">
        <v>402</v>
      </c>
      <c r="I22" s="66" t="s">
        <v>66</v>
      </c>
      <c r="J22" s="69" t="s">
        <v>938</v>
      </c>
      <c r="K22" s="66" t="s">
        <v>942</v>
      </c>
      <c r="L22" s="36"/>
      <c r="M22" s="36"/>
    </row>
    <row r="23" spans="1:13">
      <c r="A23" s="66"/>
      <c r="B23" s="147" t="s">
        <v>403</v>
      </c>
      <c r="C23" s="147" t="s">
        <v>404</v>
      </c>
      <c r="D23" s="147" t="s">
        <v>327</v>
      </c>
      <c r="E23" s="66" t="s">
        <v>9</v>
      </c>
      <c r="F23" s="150">
        <v>44.507362999999998</v>
      </c>
      <c r="G23" s="150">
        <v>-73.055999</v>
      </c>
      <c r="H23" s="66" t="s">
        <v>405</v>
      </c>
      <c r="I23" s="66" t="s">
        <v>66</v>
      </c>
      <c r="J23" s="69" t="s">
        <v>938</v>
      </c>
      <c r="K23" s="66" t="s">
        <v>62</v>
      </c>
      <c r="L23" s="36"/>
      <c r="M23" s="36"/>
    </row>
    <row r="24" spans="1:13">
      <c r="A24" s="66"/>
      <c r="B24" s="147" t="s">
        <v>406</v>
      </c>
      <c r="C24" s="147" t="s">
        <v>407</v>
      </c>
      <c r="D24" s="147" t="s">
        <v>327</v>
      </c>
      <c r="E24" s="66" t="s">
        <v>9</v>
      </c>
      <c r="F24" s="150">
        <v>44.510981000000001</v>
      </c>
      <c r="G24" s="150">
        <v>-73.127807000000004</v>
      </c>
      <c r="H24" s="66" t="s">
        <v>408</v>
      </c>
      <c r="I24" s="66" t="s">
        <v>66</v>
      </c>
      <c r="J24" s="69" t="s">
        <v>938</v>
      </c>
      <c r="K24" s="66" t="s">
        <v>62</v>
      </c>
      <c r="L24" s="36"/>
      <c r="M24" s="36"/>
    </row>
    <row r="25" spans="1:13">
      <c r="A25" s="66"/>
      <c r="B25" s="147" t="s">
        <v>409</v>
      </c>
      <c r="C25" s="147" t="s">
        <v>410</v>
      </c>
      <c r="D25" s="147" t="s">
        <v>327</v>
      </c>
      <c r="E25" s="66" t="s">
        <v>9</v>
      </c>
      <c r="F25" s="150">
        <v>44.511006000000002</v>
      </c>
      <c r="G25" s="150">
        <v>-73.140399000000002</v>
      </c>
      <c r="H25" s="66" t="s">
        <v>411</v>
      </c>
      <c r="I25" s="66" t="s">
        <v>66</v>
      </c>
      <c r="J25" s="69" t="s">
        <v>938</v>
      </c>
      <c r="K25" s="66" t="s">
        <v>62</v>
      </c>
      <c r="L25" s="36"/>
      <c r="M25" s="36"/>
    </row>
    <row r="26" spans="1:13">
      <c r="A26" s="66"/>
      <c r="B26" s="147" t="s">
        <v>412</v>
      </c>
      <c r="C26" s="147" t="s">
        <v>413</v>
      </c>
      <c r="D26" s="147" t="s">
        <v>327</v>
      </c>
      <c r="E26" s="66" t="s">
        <v>9</v>
      </c>
      <c r="F26" s="150">
        <v>44.483511999999997</v>
      </c>
      <c r="G26" s="150">
        <v>-73.097150999999997</v>
      </c>
      <c r="H26" s="66" t="s">
        <v>414</v>
      </c>
      <c r="I26" s="66" t="s">
        <v>66</v>
      </c>
      <c r="J26" s="69" t="s">
        <v>938</v>
      </c>
      <c r="K26" s="66" t="s">
        <v>62</v>
      </c>
      <c r="L26" s="36"/>
      <c r="M26" s="36"/>
    </row>
    <row r="27" spans="1:13">
      <c r="A27" s="66"/>
      <c r="B27" s="147" t="s">
        <v>415</v>
      </c>
      <c r="C27" s="147" t="s">
        <v>416</v>
      </c>
      <c r="D27" s="147" t="s">
        <v>417</v>
      </c>
      <c r="E27" s="66" t="s">
        <v>9</v>
      </c>
      <c r="F27" s="150">
        <v>44.507162000000001</v>
      </c>
      <c r="G27" s="150">
        <v>-73.078575000000001</v>
      </c>
      <c r="H27" s="66" t="s">
        <v>418</v>
      </c>
      <c r="I27" s="66" t="s">
        <v>66</v>
      </c>
      <c r="J27" s="69" t="s">
        <v>938</v>
      </c>
      <c r="K27" s="66" t="s">
        <v>62</v>
      </c>
      <c r="L27" s="36"/>
      <c r="M27" s="36"/>
    </row>
    <row r="28" spans="1:13">
      <c r="A28" s="66"/>
      <c r="B28" s="147" t="s">
        <v>419</v>
      </c>
      <c r="C28" s="147" t="s">
        <v>420</v>
      </c>
      <c r="D28" s="147" t="s">
        <v>421</v>
      </c>
      <c r="E28" s="66" t="s">
        <v>9</v>
      </c>
      <c r="F28" s="150">
        <v>44.507187000000002</v>
      </c>
      <c r="G28" s="150">
        <v>-73.137332999999998</v>
      </c>
      <c r="H28" s="66" t="s">
        <v>422</v>
      </c>
      <c r="I28" s="66" t="s">
        <v>66</v>
      </c>
      <c r="J28" s="69" t="s">
        <v>938</v>
      </c>
      <c r="K28" s="151" t="s">
        <v>936</v>
      </c>
      <c r="L28" s="36"/>
      <c r="M28" s="36"/>
    </row>
    <row r="29" spans="1:13" ht="30">
      <c r="A29" s="66"/>
      <c r="B29" s="147" t="s">
        <v>423</v>
      </c>
      <c r="C29" s="147" t="s">
        <v>424</v>
      </c>
      <c r="D29" s="147" t="s">
        <v>421</v>
      </c>
      <c r="E29" s="66" t="s">
        <v>9</v>
      </c>
      <c r="F29" s="150">
        <v>44.507044</v>
      </c>
      <c r="G29" s="150">
        <v>-73.136201999999997</v>
      </c>
      <c r="H29" s="151" t="s">
        <v>425</v>
      </c>
      <c r="I29" s="66" t="s">
        <v>66</v>
      </c>
      <c r="J29" s="69" t="s">
        <v>938</v>
      </c>
      <c r="K29" s="151" t="s">
        <v>936</v>
      </c>
      <c r="L29" s="36"/>
      <c r="M29" s="36"/>
    </row>
    <row r="30" spans="1:13">
      <c r="A30" s="66"/>
      <c r="B30" s="147" t="s">
        <v>426</v>
      </c>
      <c r="C30" s="147" t="s">
        <v>427</v>
      </c>
      <c r="D30" s="147" t="s">
        <v>421</v>
      </c>
      <c r="E30" s="66" t="s">
        <v>9</v>
      </c>
      <c r="F30" s="150">
        <v>44.507041999999998</v>
      </c>
      <c r="G30" s="150">
        <v>-73.136612999999997</v>
      </c>
      <c r="H30" s="66" t="s">
        <v>428</v>
      </c>
      <c r="I30" s="66" t="s">
        <v>66</v>
      </c>
      <c r="J30" s="69" t="s">
        <v>938</v>
      </c>
      <c r="K30" s="151" t="s">
        <v>936</v>
      </c>
      <c r="L30" s="36"/>
      <c r="M30" s="36"/>
    </row>
    <row r="31" spans="1:13">
      <c r="A31" s="66"/>
      <c r="B31" s="147" t="s">
        <v>429</v>
      </c>
      <c r="C31" s="147" t="s">
        <v>420</v>
      </c>
      <c r="D31" s="147" t="s">
        <v>421</v>
      </c>
      <c r="E31" s="66" t="s">
        <v>9</v>
      </c>
      <c r="F31" s="150">
        <v>44.507437000000003</v>
      </c>
      <c r="G31" s="150">
        <v>-73.137713000000005</v>
      </c>
      <c r="H31" s="66" t="s">
        <v>430</v>
      </c>
      <c r="I31" s="66" t="s">
        <v>66</v>
      </c>
      <c r="J31" s="69" t="s">
        <v>938</v>
      </c>
      <c r="K31" s="151" t="s">
        <v>936</v>
      </c>
      <c r="L31" s="36"/>
      <c r="M31" s="36"/>
    </row>
    <row r="32" spans="1:13">
      <c r="A32" s="66"/>
      <c r="B32" s="147" t="s">
        <v>431</v>
      </c>
      <c r="C32" s="147" t="s">
        <v>432</v>
      </c>
      <c r="D32" s="147" t="s">
        <v>327</v>
      </c>
      <c r="E32" s="66" t="s">
        <v>9</v>
      </c>
      <c r="F32" s="150">
        <v>44.507859000000003</v>
      </c>
      <c r="G32" s="150">
        <v>-73.138283000000001</v>
      </c>
      <c r="H32" s="66" t="s">
        <v>433</v>
      </c>
      <c r="I32" s="66" t="s">
        <v>66</v>
      </c>
      <c r="J32" s="69" t="s">
        <v>938</v>
      </c>
      <c r="K32" s="66" t="s">
        <v>936</v>
      </c>
      <c r="L32" s="36"/>
      <c r="M32" s="36"/>
    </row>
    <row r="33" spans="1:13">
      <c r="A33" s="66"/>
      <c r="B33" s="147" t="s">
        <v>434</v>
      </c>
      <c r="C33" s="147" t="s">
        <v>432</v>
      </c>
      <c r="D33" s="147" t="s">
        <v>327</v>
      </c>
      <c r="E33" s="66" t="s">
        <v>9</v>
      </c>
      <c r="F33" s="150">
        <v>44.506822999999997</v>
      </c>
      <c r="G33" s="150">
        <v>-73.136234000000002</v>
      </c>
      <c r="H33" s="66" t="s">
        <v>430</v>
      </c>
      <c r="I33" s="66" t="s">
        <v>66</v>
      </c>
      <c r="J33" s="69" t="s">
        <v>938</v>
      </c>
      <c r="K33" s="66" t="s">
        <v>936</v>
      </c>
      <c r="L33" s="36"/>
      <c r="M33" s="36"/>
    </row>
    <row r="34" spans="1:13">
      <c r="A34" s="66"/>
      <c r="B34" s="147" t="s">
        <v>435</v>
      </c>
      <c r="C34" s="147" t="s">
        <v>436</v>
      </c>
      <c r="D34" s="147" t="s">
        <v>327</v>
      </c>
      <c r="E34" s="66" t="s">
        <v>9</v>
      </c>
      <c r="F34" s="150">
        <v>44.507545</v>
      </c>
      <c r="G34" s="150">
        <v>-73.133272000000005</v>
      </c>
      <c r="H34" s="66" t="s">
        <v>437</v>
      </c>
      <c r="I34" s="66" t="s">
        <v>66</v>
      </c>
      <c r="J34" s="69" t="s">
        <v>938</v>
      </c>
      <c r="K34" s="66" t="s">
        <v>936</v>
      </c>
      <c r="L34" s="36"/>
      <c r="M34" s="36"/>
    </row>
    <row r="35" spans="1:13">
      <c r="A35" s="66"/>
      <c r="B35" s="147" t="s">
        <v>435</v>
      </c>
      <c r="C35" s="147" t="s">
        <v>438</v>
      </c>
      <c r="D35" s="147" t="s">
        <v>439</v>
      </c>
      <c r="E35" s="66" t="s">
        <v>9</v>
      </c>
      <c r="F35" s="150">
        <v>44.507313000000003</v>
      </c>
      <c r="G35" s="150">
        <v>-73.133208999999994</v>
      </c>
      <c r="H35" s="66" t="s">
        <v>440</v>
      </c>
      <c r="I35" s="66" t="s">
        <v>66</v>
      </c>
      <c r="J35" s="69" t="s">
        <v>938</v>
      </c>
      <c r="K35" s="66" t="s">
        <v>936</v>
      </c>
      <c r="L35" s="36"/>
      <c r="M35" s="36"/>
    </row>
    <row r="36" spans="1:13" ht="76.5" customHeight="1">
      <c r="A36" s="66"/>
      <c r="B36" s="147" t="s">
        <v>441</v>
      </c>
      <c r="C36" s="147" t="s">
        <v>395</v>
      </c>
      <c r="D36" s="147" t="s">
        <v>442</v>
      </c>
      <c r="E36" s="66" t="s">
        <v>9</v>
      </c>
      <c r="F36" s="150">
        <v>44.505704999999999</v>
      </c>
      <c r="G36" s="150">
        <v>-73.080697000000001</v>
      </c>
      <c r="H36" s="151" t="s">
        <v>443</v>
      </c>
      <c r="I36" s="66" t="s">
        <v>66</v>
      </c>
      <c r="J36" s="69" t="s">
        <v>938</v>
      </c>
      <c r="K36" s="151" t="s">
        <v>939</v>
      </c>
      <c r="L36" s="36"/>
      <c r="M36" s="36"/>
    </row>
    <row r="37" spans="1:13" ht="76.5" customHeight="1">
      <c r="A37" s="66"/>
      <c r="B37" s="147" t="s">
        <v>441</v>
      </c>
      <c r="C37" s="147" t="s">
        <v>395</v>
      </c>
      <c r="D37" s="147" t="s">
        <v>442</v>
      </c>
      <c r="E37" s="66" t="s">
        <v>9</v>
      </c>
      <c r="F37" s="150">
        <v>44.505946999999999</v>
      </c>
      <c r="G37" s="150">
        <v>-73.083502999999993</v>
      </c>
      <c r="H37" s="151" t="s">
        <v>443</v>
      </c>
      <c r="I37" s="66" t="s">
        <v>66</v>
      </c>
      <c r="J37" s="69" t="s">
        <v>938</v>
      </c>
      <c r="K37" s="151" t="s">
        <v>939</v>
      </c>
      <c r="L37" s="36"/>
      <c r="M37" s="36"/>
    </row>
    <row r="38" spans="1:13" ht="30">
      <c r="A38" s="66"/>
      <c r="B38" s="147" t="s">
        <v>441</v>
      </c>
      <c r="C38" s="147" t="s">
        <v>395</v>
      </c>
      <c r="D38" s="147" t="s">
        <v>444</v>
      </c>
      <c r="E38" s="66" t="s">
        <v>9</v>
      </c>
      <c r="F38" s="150">
        <v>44.506363</v>
      </c>
      <c r="G38" s="150">
        <v>-73.084832000000006</v>
      </c>
      <c r="H38" s="66" t="s">
        <v>445</v>
      </c>
      <c r="I38" s="66" t="s">
        <v>66</v>
      </c>
      <c r="J38" s="69" t="s">
        <v>938</v>
      </c>
      <c r="K38" s="151" t="s">
        <v>937</v>
      </c>
      <c r="L38" s="36"/>
      <c r="M38" s="36"/>
    </row>
    <row r="39" spans="1:13">
      <c r="A39" s="66"/>
      <c r="B39" s="147" t="s">
        <v>446</v>
      </c>
      <c r="C39" s="147" t="s">
        <v>447</v>
      </c>
      <c r="D39" s="147" t="s">
        <v>327</v>
      </c>
      <c r="E39" s="66" t="s">
        <v>9</v>
      </c>
      <c r="F39" s="150">
        <v>44.500340999999999</v>
      </c>
      <c r="G39" s="150">
        <v>-73.076811000000006</v>
      </c>
      <c r="H39" s="66" t="s">
        <v>448</v>
      </c>
      <c r="I39" s="66" t="s">
        <v>66</v>
      </c>
      <c r="J39" s="69" t="s">
        <v>938</v>
      </c>
      <c r="K39" s="66" t="s">
        <v>943</v>
      </c>
      <c r="L39" s="36"/>
      <c r="M39" s="36"/>
    </row>
    <row r="40" spans="1:13">
      <c r="A40" s="66"/>
      <c r="B40" s="147" t="s">
        <v>449</v>
      </c>
      <c r="C40" s="147" t="s">
        <v>447</v>
      </c>
      <c r="D40" s="147" t="s">
        <v>327</v>
      </c>
      <c r="E40" s="66" t="s">
        <v>9</v>
      </c>
      <c r="F40" s="149">
        <v>44.495162000000001</v>
      </c>
      <c r="G40" s="149">
        <v>-73.081987999999996</v>
      </c>
      <c r="H40" s="66" t="s">
        <v>450</v>
      </c>
      <c r="I40" s="66" t="s">
        <v>66</v>
      </c>
      <c r="J40" s="69" t="s">
        <v>938</v>
      </c>
      <c r="K40" s="66" t="s">
        <v>943</v>
      </c>
      <c r="L40" s="36"/>
      <c r="M40" s="36"/>
    </row>
    <row r="41" spans="1:13">
      <c r="A41" s="66"/>
      <c r="B41" s="147" t="s">
        <v>451</v>
      </c>
      <c r="C41" s="147" t="s">
        <v>452</v>
      </c>
      <c r="D41" s="147" t="s">
        <v>327</v>
      </c>
      <c r="E41" s="66" t="s">
        <v>9</v>
      </c>
      <c r="F41" s="150">
        <v>44.503103000000003</v>
      </c>
      <c r="G41" s="150">
        <v>-73.129354000000006</v>
      </c>
      <c r="H41" s="66" t="s">
        <v>453</v>
      </c>
      <c r="I41" s="66" t="s">
        <v>66</v>
      </c>
      <c r="J41" s="69" t="s">
        <v>938</v>
      </c>
      <c r="K41" s="66" t="s">
        <v>943</v>
      </c>
      <c r="L41" s="36"/>
      <c r="M41" s="36"/>
    </row>
    <row r="42" spans="1:13" ht="30">
      <c r="A42" s="66"/>
      <c r="B42" s="147" t="s">
        <v>454</v>
      </c>
      <c r="C42" s="147" t="s">
        <v>455</v>
      </c>
      <c r="D42" s="147" t="s">
        <v>327</v>
      </c>
      <c r="E42" s="66" t="s">
        <v>9</v>
      </c>
      <c r="F42" s="150">
        <v>44.508291</v>
      </c>
      <c r="G42" s="150">
        <v>-73.135908999999998</v>
      </c>
      <c r="H42" s="66" t="s">
        <v>456</v>
      </c>
      <c r="I42" s="66" t="s">
        <v>66</v>
      </c>
      <c r="J42" s="69" t="s">
        <v>938</v>
      </c>
      <c r="K42" s="263" t="s">
        <v>944</v>
      </c>
      <c r="L42" s="36"/>
      <c r="M42" s="36"/>
    </row>
    <row r="43" spans="1:13">
      <c r="A43" s="66"/>
      <c r="B43" s="147" t="s">
        <v>457</v>
      </c>
      <c r="C43" s="147" t="s">
        <v>458</v>
      </c>
      <c r="D43" s="147" t="s">
        <v>459</v>
      </c>
      <c r="E43" s="66" t="s">
        <v>9</v>
      </c>
      <c r="F43" s="150">
        <v>44.501314000000001</v>
      </c>
      <c r="G43" s="150">
        <v>-73.081881999999993</v>
      </c>
      <c r="H43" s="66" t="s">
        <v>460</v>
      </c>
      <c r="I43" s="66" t="s">
        <v>66</v>
      </c>
      <c r="J43" s="69" t="s">
        <v>938</v>
      </c>
      <c r="K43" s="66" t="s">
        <v>945</v>
      </c>
      <c r="L43" s="36"/>
      <c r="M43" s="36"/>
    </row>
    <row r="44" spans="1:13">
      <c r="A44" s="66"/>
      <c r="B44" s="147"/>
      <c r="C44" s="147" t="s">
        <v>461</v>
      </c>
      <c r="D44" s="147" t="s">
        <v>459</v>
      </c>
      <c r="E44" s="66" t="s">
        <v>9</v>
      </c>
      <c r="F44" s="150">
        <v>44.500377999999998</v>
      </c>
      <c r="G44" s="150">
        <v>-73.082436999999999</v>
      </c>
      <c r="H44" s="66" t="s">
        <v>460</v>
      </c>
      <c r="I44" s="66" t="s">
        <v>66</v>
      </c>
      <c r="J44" s="69" t="s">
        <v>938</v>
      </c>
      <c r="K44" s="66" t="s">
        <v>945</v>
      </c>
      <c r="L44" s="36"/>
      <c r="M44" s="36"/>
    </row>
    <row r="45" spans="1:13">
      <c r="A45" s="66"/>
      <c r="B45" s="147" t="s">
        <v>462</v>
      </c>
      <c r="C45" s="147" t="s">
        <v>463</v>
      </c>
      <c r="D45" s="147" t="s">
        <v>464</v>
      </c>
      <c r="E45" s="66" t="s">
        <v>9</v>
      </c>
      <c r="F45" s="150">
        <v>44.503039999999999</v>
      </c>
      <c r="G45" s="150">
        <v>-73.082839000000007</v>
      </c>
      <c r="H45" s="66" t="s">
        <v>465</v>
      </c>
      <c r="I45" s="66" t="s">
        <v>66</v>
      </c>
      <c r="J45" s="69" t="s">
        <v>938</v>
      </c>
      <c r="K45" s="66" t="s">
        <v>935</v>
      </c>
      <c r="L45" s="36"/>
      <c r="M45" s="36"/>
    </row>
    <row r="46" spans="1:13">
      <c r="A46" s="66"/>
      <c r="B46" s="147" t="s">
        <v>466</v>
      </c>
      <c r="C46" s="147" t="s">
        <v>467</v>
      </c>
      <c r="D46" s="147" t="s">
        <v>466</v>
      </c>
      <c r="E46" s="66" t="s">
        <v>9</v>
      </c>
      <c r="F46" s="150">
        <v>44.497978000000003</v>
      </c>
      <c r="G46" s="150">
        <v>-73.083083999999999</v>
      </c>
      <c r="H46" s="66" t="s">
        <v>468</v>
      </c>
      <c r="I46" s="66" t="s">
        <v>66</v>
      </c>
      <c r="J46" s="69" t="s">
        <v>938</v>
      </c>
      <c r="K46" s="66" t="s">
        <v>62</v>
      </c>
      <c r="L46" s="36"/>
      <c r="M46" s="36"/>
    </row>
    <row r="47" spans="1:13">
      <c r="A47" s="66"/>
      <c r="B47" s="147"/>
      <c r="C47" s="147" t="s">
        <v>469</v>
      </c>
      <c r="D47" s="147" t="s">
        <v>466</v>
      </c>
      <c r="E47" s="66" t="s">
        <v>9</v>
      </c>
      <c r="F47" s="150">
        <v>44.499479999999998</v>
      </c>
      <c r="G47" s="150">
        <v>-73.082763999999997</v>
      </c>
      <c r="H47" s="66" t="s">
        <v>468</v>
      </c>
      <c r="I47" s="66" t="s">
        <v>66</v>
      </c>
      <c r="J47" s="69" t="s">
        <v>938</v>
      </c>
      <c r="K47" s="66" t="s">
        <v>946</v>
      </c>
      <c r="L47" s="36"/>
      <c r="M47" s="36"/>
    </row>
    <row r="48" spans="1:13">
      <c r="A48" s="66"/>
      <c r="B48" s="147" t="s">
        <v>470</v>
      </c>
      <c r="C48" s="147" t="s">
        <v>395</v>
      </c>
      <c r="D48" s="147" t="s">
        <v>470</v>
      </c>
      <c r="E48" s="66" t="s">
        <v>9</v>
      </c>
      <c r="F48" s="150">
        <v>44.506633000000001</v>
      </c>
      <c r="G48" s="150">
        <v>-73.131574000000001</v>
      </c>
      <c r="H48" s="66" t="s">
        <v>471</v>
      </c>
      <c r="I48" s="66" t="s">
        <v>66</v>
      </c>
      <c r="J48" s="69" t="s">
        <v>938</v>
      </c>
      <c r="K48" s="66" t="s">
        <v>947</v>
      </c>
      <c r="L48" s="36"/>
      <c r="M48" s="36"/>
    </row>
    <row r="49" spans="1:13" ht="30">
      <c r="A49" s="66"/>
      <c r="B49" s="147" t="s">
        <v>949</v>
      </c>
      <c r="C49" s="147" t="s">
        <v>473</v>
      </c>
      <c r="D49" s="147" t="s">
        <v>950</v>
      </c>
      <c r="E49" s="66" t="s">
        <v>9</v>
      </c>
      <c r="F49" s="150">
        <v>44.506183999999998</v>
      </c>
      <c r="G49" s="150">
        <v>-73.135441</v>
      </c>
      <c r="H49" s="66" t="s">
        <v>474</v>
      </c>
      <c r="I49" s="66" t="s">
        <v>66</v>
      </c>
      <c r="J49" s="69" t="s">
        <v>938</v>
      </c>
      <c r="K49" s="151" t="s">
        <v>948</v>
      </c>
      <c r="L49" s="36"/>
      <c r="M49" s="36"/>
    </row>
    <row r="50" spans="1:13" ht="30">
      <c r="A50" s="66"/>
      <c r="B50" s="147" t="s">
        <v>475</v>
      </c>
      <c r="C50" s="147" t="s">
        <v>476</v>
      </c>
      <c r="D50" s="147" t="s">
        <v>327</v>
      </c>
      <c r="E50" s="66" t="s">
        <v>9</v>
      </c>
      <c r="F50" s="150">
        <v>44.504992000000001</v>
      </c>
      <c r="G50" s="150">
        <v>-73.123547000000002</v>
      </c>
      <c r="H50" s="66" t="s">
        <v>477</v>
      </c>
      <c r="I50" s="66" t="s">
        <v>66</v>
      </c>
      <c r="J50" s="69" t="s">
        <v>938</v>
      </c>
      <c r="K50" s="151" t="s">
        <v>951</v>
      </c>
      <c r="L50" s="36"/>
      <c r="M50" s="36"/>
    </row>
    <row r="51" spans="1:13">
      <c r="A51" s="66"/>
      <c r="B51" s="147" t="s">
        <v>478</v>
      </c>
      <c r="C51" s="147" t="s">
        <v>438</v>
      </c>
      <c r="D51" s="147" t="s">
        <v>479</v>
      </c>
      <c r="E51" s="66" t="s">
        <v>9</v>
      </c>
      <c r="F51" s="150">
        <v>44.511212999999998</v>
      </c>
      <c r="G51" s="150">
        <v>-73.134696000000005</v>
      </c>
      <c r="H51" s="66" t="s">
        <v>480</v>
      </c>
      <c r="I51" s="66" t="s">
        <v>66</v>
      </c>
      <c r="J51" s="69" t="s">
        <v>938</v>
      </c>
      <c r="K51" s="66" t="s">
        <v>936</v>
      </c>
      <c r="L51" s="36"/>
      <c r="M51" s="36"/>
    </row>
    <row r="52" spans="1:13">
      <c r="A52" s="66"/>
      <c r="B52" s="147" t="s">
        <v>481</v>
      </c>
      <c r="C52" s="147" t="s">
        <v>438</v>
      </c>
      <c r="D52" s="147" t="s">
        <v>327</v>
      </c>
      <c r="E52" s="66" t="s">
        <v>9</v>
      </c>
      <c r="F52" s="150">
        <v>44.501313000000003</v>
      </c>
      <c r="G52" s="150">
        <v>-73.129451000000003</v>
      </c>
      <c r="H52" s="66" t="s">
        <v>482</v>
      </c>
      <c r="I52" s="66" t="s">
        <v>66</v>
      </c>
      <c r="J52" s="69" t="s">
        <v>938</v>
      </c>
      <c r="K52" s="66" t="s">
        <v>62</v>
      </c>
      <c r="L52" s="36"/>
      <c r="M52" s="36"/>
    </row>
    <row r="53" spans="1:13">
      <c r="A53" s="66"/>
      <c r="B53" s="147" t="s">
        <v>483</v>
      </c>
      <c r="C53" s="147" t="s">
        <v>484</v>
      </c>
      <c r="D53" s="147" t="s">
        <v>327</v>
      </c>
      <c r="E53" s="66" t="s">
        <v>9</v>
      </c>
      <c r="F53" s="150">
        <v>44.504447999999996</v>
      </c>
      <c r="G53" s="150">
        <v>-73.052791999999997</v>
      </c>
      <c r="H53" s="66"/>
      <c r="I53" s="66" t="s">
        <v>66</v>
      </c>
      <c r="J53" s="69" t="s">
        <v>938</v>
      </c>
      <c r="K53" s="66" t="s">
        <v>62</v>
      </c>
      <c r="L53" s="36"/>
      <c r="M53" s="36"/>
    </row>
    <row r="54" spans="1:13">
      <c r="A54" s="66"/>
      <c r="B54" s="66"/>
      <c r="C54" s="66"/>
      <c r="D54" s="66"/>
      <c r="E54" s="66"/>
      <c r="F54" s="67"/>
      <c r="G54" s="67"/>
      <c r="H54" s="66"/>
      <c r="I54" s="66"/>
      <c r="J54" s="66"/>
      <c r="K54" s="66"/>
      <c r="L54" s="36"/>
      <c r="M54" s="36"/>
    </row>
    <row r="55" spans="1:13">
      <c r="A55" s="66"/>
      <c r="B55" s="66"/>
      <c r="C55" s="66"/>
      <c r="D55" s="66"/>
      <c r="E55" s="66"/>
      <c r="F55" s="67"/>
      <c r="G55" s="67"/>
      <c r="H55" s="66"/>
      <c r="I55" s="66"/>
      <c r="J55" s="66"/>
      <c r="K55" s="66"/>
      <c r="L55" s="36"/>
      <c r="M55" s="36"/>
    </row>
    <row r="56" spans="1:13">
      <c r="A56" s="66"/>
      <c r="B56" s="66"/>
      <c r="C56" s="66"/>
      <c r="D56" s="66"/>
      <c r="E56" s="66"/>
      <c r="F56" s="67"/>
      <c r="G56" s="67"/>
      <c r="H56" s="66"/>
      <c r="I56" s="66"/>
      <c r="J56" s="66"/>
      <c r="K56" s="66"/>
      <c r="L56" s="36"/>
      <c r="M56" s="36"/>
    </row>
    <row r="57" spans="1:13">
      <c r="A57" s="66"/>
      <c r="B57" s="66"/>
      <c r="C57" s="66"/>
      <c r="D57" s="66"/>
      <c r="E57" s="66"/>
      <c r="F57" s="67"/>
      <c r="G57" s="67"/>
      <c r="H57" s="66"/>
      <c r="I57" s="66"/>
      <c r="J57" s="66"/>
      <c r="K57" s="66"/>
      <c r="L57" s="36"/>
      <c r="M57" s="36"/>
    </row>
    <row r="58" spans="1:13">
      <c r="A58" s="66"/>
      <c r="B58" s="66"/>
      <c r="C58" s="66"/>
      <c r="D58" s="66"/>
      <c r="E58" s="66"/>
      <c r="F58" s="67"/>
      <c r="G58" s="67"/>
      <c r="H58" s="66"/>
      <c r="I58" s="66"/>
      <c r="J58" s="66"/>
      <c r="K58" s="66"/>
      <c r="L58" s="36"/>
      <c r="M58" s="36"/>
    </row>
    <row r="59" spans="1:13">
      <c r="A59" s="66"/>
      <c r="B59" s="66"/>
      <c r="C59" s="66"/>
      <c r="D59" s="66"/>
      <c r="E59" s="66"/>
      <c r="F59" s="67"/>
      <c r="G59" s="67"/>
      <c r="H59" s="66"/>
      <c r="I59" s="66"/>
      <c r="J59" s="66"/>
      <c r="K59" s="66"/>
      <c r="L59" s="36"/>
      <c r="M59" s="36"/>
    </row>
    <row r="60" spans="1:13">
      <c r="A60" s="66"/>
      <c r="B60" s="66"/>
      <c r="C60" s="66"/>
      <c r="D60" s="66"/>
      <c r="E60" s="66"/>
      <c r="F60" s="67"/>
      <c r="G60" s="67"/>
      <c r="H60" s="66"/>
      <c r="I60" s="66"/>
      <c r="J60" s="66"/>
      <c r="K60" s="66"/>
      <c r="L60" s="36"/>
      <c r="M60" s="36"/>
    </row>
    <row r="61" spans="1:13">
      <c r="A61" s="66"/>
      <c r="B61" s="66"/>
      <c r="C61" s="66"/>
      <c r="D61" s="66"/>
      <c r="E61" s="66"/>
      <c r="F61" s="67"/>
      <c r="G61" s="67"/>
      <c r="H61" s="66"/>
      <c r="I61" s="66"/>
      <c r="J61" s="66"/>
      <c r="K61" s="66"/>
      <c r="L61" s="36"/>
      <c r="M61" s="36"/>
    </row>
    <row r="62" spans="1:13">
      <c r="A62" s="66"/>
      <c r="B62" s="66"/>
      <c r="C62" s="66"/>
      <c r="D62" s="66"/>
      <c r="E62" s="66"/>
      <c r="F62" s="67"/>
      <c r="G62" s="67"/>
      <c r="H62" s="66"/>
      <c r="I62" s="66"/>
      <c r="J62" s="66"/>
      <c r="K62" s="66"/>
      <c r="L62" s="36"/>
      <c r="M62" s="36"/>
    </row>
    <row r="63" spans="1:13">
      <c r="A63" s="66"/>
      <c r="B63" s="66"/>
      <c r="C63" s="66"/>
      <c r="D63" s="66"/>
      <c r="E63" s="66"/>
      <c r="F63" s="67"/>
      <c r="G63" s="67"/>
      <c r="H63" s="66"/>
      <c r="I63" s="66"/>
      <c r="J63" s="66"/>
      <c r="K63" s="66"/>
      <c r="L63" s="36"/>
      <c r="M63" s="36"/>
    </row>
    <row r="64" spans="1:13">
      <c r="A64" s="66"/>
      <c r="B64" s="66"/>
      <c r="C64" s="66"/>
      <c r="D64" s="66"/>
      <c r="E64" s="66"/>
      <c r="F64" s="67"/>
      <c r="G64" s="67"/>
      <c r="H64" s="66"/>
      <c r="I64" s="66"/>
      <c r="J64" s="66"/>
      <c r="K64" s="66"/>
      <c r="L64" s="36"/>
      <c r="M64" s="36"/>
    </row>
    <row r="65" spans="1:13">
      <c r="A65" s="66"/>
      <c r="B65" s="66"/>
      <c r="C65" s="66"/>
      <c r="D65" s="66"/>
      <c r="E65" s="66"/>
      <c r="F65" s="67"/>
      <c r="G65" s="67"/>
      <c r="H65" s="66"/>
      <c r="I65" s="66"/>
      <c r="J65" s="66"/>
      <c r="K65" s="66"/>
      <c r="L65" s="36"/>
      <c r="M65" s="36"/>
    </row>
    <row r="66" spans="1:13">
      <c r="A66" s="66"/>
      <c r="B66" s="66"/>
      <c r="C66" s="66"/>
      <c r="D66" s="66"/>
      <c r="E66" s="66"/>
      <c r="F66" s="67"/>
      <c r="G66" s="67"/>
      <c r="H66" s="66"/>
      <c r="I66" s="66"/>
      <c r="J66" s="66"/>
      <c r="K66" s="66"/>
      <c r="L66" s="36"/>
      <c r="M66" s="36"/>
    </row>
    <row r="67" spans="1:13">
      <c r="A67" s="66"/>
      <c r="B67" s="66"/>
      <c r="C67" s="66"/>
      <c r="D67" s="66"/>
      <c r="E67" s="66"/>
      <c r="F67" s="67"/>
      <c r="G67" s="67"/>
      <c r="H67" s="66"/>
      <c r="I67" s="66"/>
      <c r="J67" s="66"/>
      <c r="K67" s="66"/>
      <c r="L67" s="36"/>
      <c r="M67" s="36"/>
    </row>
    <row r="68" spans="1:13">
      <c r="A68" s="66"/>
      <c r="B68" s="66"/>
      <c r="C68" s="66"/>
      <c r="D68" s="66"/>
      <c r="E68" s="66"/>
      <c r="F68" s="67"/>
      <c r="G68" s="67"/>
      <c r="H68" s="66"/>
      <c r="I68" s="66"/>
      <c r="J68" s="66"/>
      <c r="K68" s="66"/>
      <c r="L68" s="36"/>
      <c r="M68" s="36"/>
    </row>
    <row r="69" spans="1:13">
      <c r="A69" s="66"/>
      <c r="B69" s="66"/>
      <c r="C69" s="66"/>
      <c r="D69" s="66"/>
      <c r="E69" s="66"/>
      <c r="F69" s="67"/>
      <c r="G69" s="67"/>
      <c r="H69" s="66"/>
      <c r="I69" s="66"/>
      <c r="J69" s="66"/>
      <c r="K69" s="66"/>
      <c r="L69" s="36"/>
      <c r="M69" s="36"/>
    </row>
    <row r="70" spans="1:13">
      <c r="A70" s="66"/>
      <c r="B70" s="66"/>
      <c r="C70" s="66"/>
      <c r="D70" s="66"/>
      <c r="E70" s="66"/>
      <c r="F70" s="67"/>
      <c r="G70" s="67"/>
      <c r="H70" s="66"/>
      <c r="I70" s="66"/>
      <c r="J70" s="66"/>
      <c r="K70" s="66"/>
      <c r="L70" s="36"/>
      <c r="M70" s="36"/>
    </row>
    <row r="71" spans="1:13">
      <c r="A71" s="66"/>
      <c r="B71" s="66"/>
      <c r="C71" s="66"/>
      <c r="D71" s="66"/>
      <c r="E71" s="66"/>
      <c r="F71" s="67"/>
      <c r="G71" s="67"/>
      <c r="H71" s="66"/>
      <c r="I71" s="66"/>
      <c r="J71" s="66"/>
      <c r="K71" s="66"/>
      <c r="L71" s="36"/>
      <c r="M71" s="36"/>
    </row>
    <row r="72" spans="1:13">
      <c r="A72" s="66"/>
      <c r="B72" s="66"/>
      <c r="C72" s="66"/>
      <c r="D72" s="66"/>
      <c r="E72" s="66"/>
      <c r="F72" s="67"/>
      <c r="G72" s="67"/>
      <c r="H72" s="66"/>
      <c r="I72" s="66"/>
      <c r="J72" s="66"/>
      <c r="K72" s="66"/>
      <c r="L72" s="36"/>
      <c r="M72" s="36"/>
    </row>
    <row r="73" spans="1:13">
      <c r="A73" s="66"/>
      <c r="B73" s="66"/>
      <c r="C73" s="66"/>
      <c r="D73" s="66"/>
      <c r="E73" s="66"/>
      <c r="F73" s="67"/>
      <c r="G73" s="67"/>
      <c r="H73" s="66"/>
      <c r="I73" s="66"/>
      <c r="J73" s="66"/>
      <c r="K73" s="66"/>
      <c r="L73" s="36"/>
      <c r="M73" s="36"/>
    </row>
    <row r="74" spans="1:13">
      <c r="A74" s="66"/>
      <c r="B74" s="66"/>
      <c r="C74" s="66"/>
      <c r="D74" s="66"/>
      <c r="E74" s="66"/>
      <c r="F74" s="67"/>
      <c r="G74" s="67"/>
      <c r="H74" s="66"/>
      <c r="I74" s="66"/>
      <c r="J74" s="66"/>
      <c r="K74" s="66"/>
      <c r="L74" s="36"/>
      <c r="M74" s="36"/>
    </row>
    <row r="75" spans="1:13">
      <c r="A75" s="66"/>
      <c r="B75" s="66"/>
      <c r="C75" s="66"/>
      <c r="D75" s="66"/>
      <c r="E75" s="66"/>
      <c r="F75" s="67"/>
      <c r="G75" s="67"/>
      <c r="H75" s="66"/>
      <c r="I75" s="66"/>
      <c r="J75" s="66"/>
      <c r="K75" s="66"/>
      <c r="L75" s="36"/>
      <c r="M75" s="36"/>
    </row>
    <row r="76" spans="1:13">
      <c r="A76" s="66"/>
      <c r="B76" s="66"/>
      <c r="C76" s="66"/>
      <c r="D76" s="66"/>
      <c r="E76" s="66"/>
      <c r="F76" s="67"/>
      <c r="G76" s="67"/>
      <c r="H76" s="66"/>
      <c r="I76" s="66"/>
      <c r="J76" s="66"/>
      <c r="K76" s="66"/>
      <c r="L76" s="36"/>
      <c r="M76" s="36"/>
    </row>
    <row r="77" spans="1:13">
      <c r="A77" s="66"/>
      <c r="B77" s="66"/>
      <c r="C77" s="66"/>
      <c r="D77" s="66"/>
      <c r="E77" s="66"/>
      <c r="F77" s="67"/>
      <c r="G77" s="67"/>
      <c r="H77" s="66"/>
      <c r="I77" s="66"/>
      <c r="J77" s="66"/>
      <c r="K77" s="66"/>
      <c r="L77" s="36"/>
      <c r="M77" s="36"/>
    </row>
    <row r="78" spans="1:13">
      <c r="A78" s="66"/>
      <c r="B78" s="66"/>
      <c r="C78" s="66"/>
      <c r="D78" s="66"/>
      <c r="E78" s="66"/>
      <c r="F78" s="67"/>
      <c r="G78" s="67"/>
      <c r="H78" s="66"/>
      <c r="I78" s="66"/>
      <c r="J78" s="66"/>
      <c r="K78" s="66"/>
      <c r="L78" s="36"/>
      <c r="M78" s="36"/>
    </row>
    <row r="79" spans="1:13">
      <c r="A79" s="66"/>
      <c r="B79" s="66"/>
      <c r="C79" s="66"/>
      <c r="D79" s="66"/>
      <c r="E79" s="66"/>
      <c r="F79" s="67"/>
      <c r="G79" s="67"/>
      <c r="H79" s="66"/>
      <c r="I79" s="66"/>
      <c r="J79" s="66"/>
      <c r="K79" s="66"/>
      <c r="L79" s="36"/>
      <c r="M79" s="36"/>
    </row>
    <row r="80" spans="1:13">
      <c r="A80" s="66"/>
      <c r="B80" s="66"/>
      <c r="C80" s="66"/>
      <c r="D80" s="66"/>
      <c r="E80" s="66"/>
      <c r="F80" s="67"/>
      <c r="G80" s="67"/>
      <c r="H80" s="66"/>
      <c r="I80" s="66"/>
      <c r="J80" s="66"/>
      <c r="K80" s="66"/>
      <c r="L80" s="36"/>
      <c r="M80" s="36"/>
    </row>
    <row r="81" spans="1:13">
      <c r="A81" s="66"/>
      <c r="B81" s="66"/>
      <c r="C81" s="66"/>
      <c r="D81" s="66"/>
      <c r="E81" s="66"/>
      <c r="F81" s="67"/>
      <c r="G81" s="67"/>
      <c r="H81" s="66"/>
      <c r="I81" s="66"/>
      <c r="J81" s="66"/>
      <c r="K81" s="66"/>
      <c r="L81" s="36"/>
      <c r="M81" s="36"/>
    </row>
    <row r="82" spans="1:13">
      <c r="A82" s="66"/>
      <c r="B82" s="66"/>
      <c r="C82" s="66"/>
      <c r="D82" s="66"/>
      <c r="E82" s="66"/>
      <c r="F82" s="67"/>
      <c r="G82" s="67"/>
      <c r="H82" s="66"/>
      <c r="I82" s="66"/>
      <c r="J82" s="66"/>
      <c r="K82" s="66"/>
      <c r="L82" s="36"/>
      <c r="M82" s="36"/>
    </row>
    <row r="83" spans="1:13">
      <c r="A83" s="66"/>
      <c r="B83" s="66"/>
      <c r="C83" s="66"/>
      <c r="D83" s="66"/>
      <c r="E83" s="66"/>
      <c r="F83" s="67"/>
      <c r="G83" s="67"/>
      <c r="H83" s="66"/>
      <c r="I83" s="66"/>
      <c r="J83" s="66"/>
      <c r="K83" s="66"/>
      <c r="L83" s="36"/>
      <c r="M83" s="36"/>
    </row>
    <row r="84" spans="1:13">
      <c r="A84" s="66"/>
      <c r="B84" s="66"/>
      <c r="C84" s="66"/>
      <c r="D84" s="66"/>
      <c r="E84" s="66"/>
      <c r="F84" s="67"/>
      <c r="G84" s="67"/>
      <c r="H84" s="66"/>
      <c r="I84" s="66"/>
      <c r="J84" s="66"/>
      <c r="K84" s="66"/>
      <c r="L84" s="36"/>
      <c r="M84" s="36"/>
    </row>
    <row r="85" spans="1:13">
      <c r="A85" s="66"/>
      <c r="B85" s="66"/>
      <c r="C85" s="66"/>
      <c r="D85" s="66"/>
      <c r="E85" s="66"/>
      <c r="F85" s="67"/>
      <c r="G85" s="67"/>
      <c r="H85" s="66"/>
      <c r="I85" s="66"/>
      <c r="J85" s="66"/>
      <c r="K85" s="66"/>
      <c r="L85" s="36"/>
      <c r="M85" s="36"/>
    </row>
    <row r="86" spans="1:13">
      <c r="A86" s="66"/>
      <c r="B86" s="66"/>
      <c r="C86" s="66"/>
      <c r="D86" s="66"/>
      <c r="E86" s="66"/>
      <c r="F86" s="67"/>
      <c r="G86" s="67"/>
      <c r="H86" s="66"/>
      <c r="I86" s="66"/>
      <c r="J86" s="66"/>
      <c r="K86" s="66"/>
      <c r="L86" s="36"/>
      <c r="M86" s="36"/>
    </row>
    <row r="87" spans="1:13">
      <c r="A87" s="66"/>
      <c r="B87" s="66"/>
      <c r="C87" s="66"/>
      <c r="D87" s="66"/>
      <c r="E87" s="66"/>
      <c r="F87" s="67"/>
      <c r="G87" s="67"/>
      <c r="H87" s="66"/>
      <c r="I87" s="66"/>
      <c r="J87" s="66"/>
      <c r="K87" s="66"/>
      <c r="L87" s="36"/>
      <c r="M87" s="36"/>
    </row>
    <row r="88" spans="1:13">
      <c r="A88" s="66"/>
      <c r="B88" s="66"/>
      <c r="C88" s="66"/>
      <c r="D88" s="66"/>
      <c r="E88" s="66"/>
      <c r="F88" s="67"/>
      <c r="G88" s="67"/>
      <c r="H88" s="66"/>
      <c r="I88" s="66"/>
      <c r="J88" s="66"/>
      <c r="K88" s="66"/>
      <c r="L88" s="36"/>
      <c r="M88" s="36"/>
    </row>
    <row r="89" spans="1:13">
      <c r="A89" s="66"/>
      <c r="B89" s="66"/>
      <c r="C89" s="66"/>
      <c r="D89" s="66"/>
      <c r="E89" s="66"/>
      <c r="F89" s="67"/>
      <c r="G89" s="67"/>
      <c r="H89" s="66"/>
      <c r="I89" s="66"/>
      <c r="J89" s="66"/>
      <c r="K89" s="66"/>
      <c r="L89" s="36"/>
      <c r="M89" s="36"/>
    </row>
    <row r="90" spans="1:13">
      <c r="A90" s="66"/>
      <c r="B90" s="66"/>
      <c r="C90" s="66"/>
      <c r="D90" s="66"/>
      <c r="E90" s="66"/>
      <c r="F90" s="67"/>
      <c r="G90" s="67"/>
      <c r="H90" s="66"/>
      <c r="I90" s="66"/>
      <c r="J90" s="66"/>
      <c r="K90" s="66"/>
      <c r="L90" s="36"/>
      <c r="M90" s="36"/>
    </row>
    <row r="91" spans="1:13">
      <c r="A91" s="66"/>
      <c r="B91" s="66"/>
      <c r="C91" s="66"/>
      <c r="D91" s="66"/>
      <c r="E91" s="66"/>
      <c r="F91" s="67"/>
      <c r="G91" s="67"/>
      <c r="H91" s="66"/>
      <c r="I91" s="66"/>
      <c r="J91" s="66"/>
      <c r="K91" s="66"/>
      <c r="L91" s="36"/>
      <c r="M91" s="36"/>
    </row>
    <row r="92" spans="1:13">
      <c r="A92" s="66"/>
      <c r="B92" s="66"/>
      <c r="C92" s="66"/>
      <c r="D92" s="66"/>
      <c r="E92" s="66"/>
      <c r="F92" s="67"/>
      <c r="G92" s="67"/>
      <c r="H92" s="66"/>
      <c r="I92" s="66"/>
      <c r="J92" s="66"/>
      <c r="K92" s="66"/>
      <c r="L92" s="36"/>
      <c r="M92" s="36"/>
    </row>
    <row r="93" spans="1:13">
      <c r="A93" s="66"/>
      <c r="B93" s="66"/>
      <c r="C93" s="66"/>
      <c r="D93" s="66"/>
      <c r="E93" s="66"/>
      <c r="F93" s="67"/>
      <c r="G93" s="67"/>
      <c r="H93" s="66"/>
      <c r="I93" s="66"/>
      <c r="J93" s="66"/>
      <c r="K93" s="66"/>
      <c r="L93" s="36"/>
      <c r="M93" s="36"/>
    </row>
    <row r="94" spans="1:13">
      <c r="A94" s="66"/>
      <c r="B94" s="66"/>
      <c r="C94" s="66"/>
      <c r="D94" s="66"/>
      <c r="E94" s="66"/>
      <c r="F94" s="67"/>
      <c r="G94" s="67"/>
      <c r="H94" s="66"/>
      <c r="I94" s="66"/>
      <c r="J94" s="66"/>
      <c r="K94" s="66"/>
      <c r="L94" s="36"/>
      <c r="M94" s="36"/>
    </row>
    <row r="95" spans="1:13">
      <c r="A95" s="66"/>
      <c r="B95" s="66"/>
      <c r="C95" s="66"/>
      <c r="D95" s="66"/>
      <c r="E95" s="66"/>
      <c r="F95" s="67"/>
      <c r="G95" s="67"/>
      <c r="H95" s="66"/>
      <c r="I95" s="66"/>
      <c r="J95" s="66"/>
      <c r="K95" s="66"/>
      <c r="L95" s="36"/>
      <c r="M95" s="36"/>
    </row>
    <row r="96" spans="1:13">
      <c r="A96" s="66"/>
      <c r="B96" s="66"/>
      <c r="C96" s="66"/>
      <c r="D96" s="66"/>
      <c r="E96" s="66"/>
      <c r="F96" s="67"/>
      <c r="G96" s="67"/>
      <c r="H96" s="66"/>
      <c r="I96" s="66"/>
      <c r="J96" s="66"/>
      <c r="K96" s="66"/>
      <c r="L96" s="36"/>
      <c r="M96" s="36"/>
    </row>
    <row r="97" spans="1:13">
      <c r="A97" s="66"/>
      <c r="B97" s="66"/>
      <c r="C97" s="66"/>
      <c r="D97" s="66"/>
      <c r="E97" s="66"/>
      <c r="F97" s="67"/>
      <c r="G97" s="67"/>
      <c r="H97" s="66"/>
      <c r="I97" s="66"/>
      <c r="J97" s="66"/>
      <c r="K97" s="66"/>
      <c r="L97" s="36"/>
      <c r="M97" s="36"/>
    </row>
    <row r="98" spans="1:13">
      <c r="A98" s="66"/>
      <c r="B98" s="66"/>
      <c r="C98" s="66"/>
      <c r="D98" s="66"/>
      <c r="E98" s="66"/>
      <c r="F98" s="67"/>
      <c r="G98" s="67"/>
      <c r="H98" s="66"/>
      <c r="I98" s="66"/>
      <c r="J98" s="66"/>
      <c r="K98" s="66"/>
      <c r="L98" s="36"/>
      <c r="M98" s="36"/>
    </row>
    <row r="99" spans="1:13">
      <c r="A99" s="66"/>
      <c r="B99" s="66"/>
      <c r="C99" s="66"/>
      <c r="D99" s="66"/>
      <c r="E99" s="66"/>
      <c r="F99" s="67"/>
      <c r="G99" s="67"/>
      <c r="H99" s="66"/>
      <c r="I99" s="66"/>
      <c r="J99" s="66"/>
      <c r="K99" s="66"/>
      <c r="L99" s="36"/>
      <c r="M99" s="36"/>
    </row>
    <row r="100" spans="1:13">
      <c r="A100" s="66"/>
      <c r="B100" s="66"/>
      <c r="C100" s="66"/>
      <c r="D100" s="66"/>
      <c r="E100" s="66"/>
      <c r="F100" s="67"/>
      <c r="G100" s="67"/>
      <c r="H100" s="66"/>
      <c r="I100" s="66"/>
      <c r="J100" s="66"/>
      <c r="K100" s="66"/>
      <c r="L100" s="36"/>
      <c r="M100" s="36"/>
    </row>
    <row r="101" spans="1:13">
      <c r="A101" s="66"/>
      <c r="B101" s="66"/>
      <c r="C101" s="66"/>
      <c r="D101" s="66"/>
      <c r="E101" s="66"/>
      <c r="F101" s="67"/>
      <c r="G101" s="67"/>
      <c r="H101" s="66"/>
      <c r="I101" s="66"/>
      <c r="J101" s="66"/>
      <c r="K101" s="66"/>
      <c r="L101" s="36"/>
      <c r="M101" s="36"/>
    </row>
    <row r="102" spans="1:13">
      <c r="A102" s="66"/>
      <c r="B102" s="66"/>
      <c r="C102" s="66"/>
      <c r="D102" s="66"/>
      <c r="E102" s="66"/>
      <c r="F102" s="67"/>
      <c r="G102" s="67"/>
      <c r="H102" s="66"/>
      <c r="I102" s="66"/>
      <c r="J102" s="66"/>
      <c r="K102" s="66"/>
      <c r="L102" s="36"/>
      <c r="M102" s="36"/>
    </row>
    <row r="103" spans="1:13">
      <c r="A103" s="66"/>
      <c r="B103" s="66"/>
      <c r="C103" s="66"/>
      <c r="D103" s="66"/>
      <c r="E103" s="66"/>
      <c r="F103" s="67"/>
      <c r="G103" s="67"/>
      <c r="H103" s="66"/>
      <c r="I103" s="66"/>
      <c r="J103" s="66"/>
      <c r="K103" s="66"/>
      <c r="L103" s="36"/>
      <c r="M103" s="36"/>
    </row>
    <row r="104" spans="1:13">
      <c r="A104" s="66"/>
      <c r="B104" s="66"/>
      <c r="C104" s="66"/>
      <c r="D104" s="66"/>
      <c r="E104" s="66"/>
      <c r="F104" s="67"/>
      <c r="G104" s="67"/>
      <c r="H104" s="66"/>
      <c r="I104" s="66"/>
      <c r="J104" s="66"/>
      <c r="K104" s="66"/>
      <c r="L104" s="36"/>
      <c r="M104" s="36"/>
    </row>
    <row r="105" spans="1:13">
      <c r="A105" s="66"/>
      <c r="B105" s="66"/>
      <c r="C105" s="66"/>
      <c r="D105" s="66"/>
      <c r="E105" s="66"/>
      <c r="F105" s="67"/>
      <c r="G105" s="67"/>
      <c r="H105" s="66"/>
      <c r="I105" s="66"/>
      <c r="J105" s="66"/>
      <c r="K105" s="66"/>
      <c r="L105" s="36"/>
      <c r="M105" s="36"/>
    </row>
    <row r="106" spans="1:13">
      <c r="A106" s="66"/>
      <c r="B106" s="66"/>
      <c r="C106" s="66"/>
      <c r="D106" s="66"/>
      <c r="E106" s="66"/>
      <c r="F106" s="67"/>
      <c r="G106" s="67"/>
      <c r="H106" s="66"/>
      <c r="I106" s="66"/>
      <c r="J106" s="66"/>
      <c r="K106" s="66"/>
      <c r="L106" s="36"/>
      <c r="M106" s="36"/>
    </row>
    <row r="107" spans="1:13">
      <c r="A107" s="66"/>
      <c r="B107" s="66"/>
      <c r="C107" s="66"/>
      <c r="D107" s="66"/>
      <c r="E107" s="66"/>
      <c r="F107" s="67"/>
      <c r="G107" s="67"/>
      <c r="H107" s="66"/>
      <c r="I107" s="66"/>
      <c r="J107" s="66"/>
      <c r="K107" s="66"/>
      <c r="L107" s="36"/>
      <c r="M107" s="36"/>
    </row>
    <row r="108" spans="1:13">
      <c r="A108" s="66"/>
      <c r="B108" s="66"/>
      <c r="C108" s="66"/>
      <c r="D108" s="66"/>
      <c r="E108" s="66"/>
      <c r="F108" s="67"/>
      <c r="G108" s="67"/>
      <c r="H108" s="66"/>
      <c r="I108" s="66"/>
      <c r="J108" s="66"/>
      <c r="K108" s="66"/>
      <c r="L108" s="36"/>
      <c r="M108" s="36"/>
    </row>
    <row r="109" spans="1:13">
      <c r="A109" s="66"/>
      <c r="B109" s="66"/>
      <c r="C109" s="66"/>
      <c r="D109" s="66"/>
      <c r="E109" s="66"/>
      <c r="F109" s="67"/>
      <c r="G109" s="67"/>
      <c r="H109" s="66"/>
      <c r="I109" s="66"/>
      <c r="J109" s="66"/>
      <c r="K109" s="66"/>
      <c r="L109" s="36"/>
      <c r="M109" s="36"/>
    </row>
    <row r="110" spans="1:13">
      <c r="A110" s="66"/>
      <c r="B110" s="66"/>
      <c r="C110" s="66"/>
      <c r="D110" s="66"/>
      <c r="E110" s="66"/>
      <c r="F110" s="67"/>
      <c r="G110" s="67"/>
      <c r="H110" s="66"/>
      <c r="I110" s="66"/>
      <c r="J110" s="66"/>
      <c r="K110" s="66"/>
      <c r="L110" s="36"/>
      <c r="M110" s="36"/>
    </row>
    <row r="111" spans="1:13">
      <c r="A111" s="66"/>
      <c r="B111" s="66"/>
      <c r="C111" s="66"/>
      <c r="D111" s="66"/>
      <c r="E111" s="66"/>
      <c r="F111" s="67"/>
      <c r="G111" s="67"/>
      <c r="H111" s="66"/>
      <c r="I111" s="66"/>
      <c r="J111" s="66"/>
      <c r="K111" s="66"/>
      <c r="L111" s="36"/>
      <c r="M111" s="36"/>
    </row>
    <row r="112" spans="1:13">
      <c r="A112" s="66"/>
      <c r="B112" s="66"/>
      <c r="C112" s="66"/>
      <c r="D112" s="66"/>
      <c r="E112" s="66"/>
      <c r="F112" s="67"/>
      <c r="G112" s="67"/>
      <c r="H112" s="66"/>
      <c r="I112" s="66"/>
      <c r="J112" s="66"/>
      <c r="K112" s="66"/>
      <c r="L112" s="36"/>
      <c r="M112" s="36"/>
    </row>
    <row r="113" spans="1:13">
      <c r="A113" s="66"/>
      <c r="B113" s="66"/>
      <c r="C113" s="66"/>
      <c r="D113" s="66"/>
      <c r="E113" s="66"/>
      <c r="F113" s="67"/>
      <c r="G113" s="67"/>
      <c r="H113" s="66"/>
      <c r="I113" s="66"/>
      <c r="J113" s="66"/>
      <c r="K113" s="66"/>
      <c r="L113" s="36"/>
      <c r="M113" s="36"/>
    </row>
    <row r="114" spans="1:13">
      <c r="A114" s="66"/>
      <c r="B114" s="66"/>
      <c r="C114" s="66"/>
      <c r="D114" s="66"/>
      <c r="E114" s="66"/>
      <c r="F114" s="67"/>
      <c r="G114" s="67"/>
      <c r="H114" s="66"/>
      <c r="I114" s="66"/>
      <c r="J114" s="66"/>
      <c r="K114" s="66"/>
      <c r="L114" s="36"/>
      <c r="M114" s="36"/>
    </row>
    <row r="115" spans="1:13">
      <c r="A115" s="66"/>
      <c r="B115" s="66"/>
      <c r="C115" s="66"/>
      <c r="D115" s="66"/>
      <c r="E115" s="66"/>
      <c r="F115" s="67"/>
      <c r="G115" s="67"/>
      <c r="H115" s="66"/>
      <c r="I115" s="66"/>
      <c r="J115" s="66"/>
      <c r="K115" s="66"/>
      <c r="L115" s="36"/>
      <c r="M115" s="36"/>
    </row>
    <row r="116" spans="1:13">
      <c r="A116" s="66"/>
      <c r="B116" s="66"/>
      <c r="C116" s="66"/>
      <c r="D116" s="66"/>
      <c r="E116" s="66"/>
      <c r="F116" s="67"/>
      <c r="G116" s="67"/>
      <c r="H116" s="66"/>
      <c r="I116" s="66"/>
      <c r="J116" s="66"/>
      <c r="K116" s="66"/>
      <c r="L116" s="36"/>
      <c r="M116" s="36"/>
    </row>
    <row r="117" spans="1:13">
      <c r="A117" s="66"/>
      <c r="B117" s="66"/>
      <c r="C117" s="66"/>
      <c r="D117" s="66"/>
      <c r="E117" s="66"/>
      <c r="F117" s="67"/>
      <c r="G117" s="67"/>
      <c r="H117" s="66"/>
      <c r="I117" s="66"/>
      <c r="J117" s="66"/>
      <c r="K117" s="66"/>
      <c r="L117" s="36"/>
      <c r="M117" s="36"/>
    </row>
    <row r="118" spans="1:13">
      <c r="A118" s="66"/>
      <c r="B118" s="66"/>
      <c r="C118" s="66"/>
      <c r="D118" s="66"/>
      <c r="E118" s="66"/>
      <c r="F118" s="67"/>
      <c r="G118" s="67"/>
      <c r="H118" s="66"/>
      <c r="I118" s="66"/>
      <c r="J118" s="66"/>
      <c r="K118" s="66"/>
      <c r="L118" s="36"/>
      <c r="M118" s="36"/>
    </row>
    <row r="119" spans="1:13">
      <c r="A119" s="66"/>
      <c r="B119" s="66"/>
      <c r="C119" s="66"/>
      <c r="D119" s="66"/>
      <c r="E119" s="66"/>
      <c r="F119" s="67"/>
      <c r="G119" s="67"/>
      <c r="H119" s="66"/>
      <c r="I119" s="66"/>
      <c r="J119" s="66"/>
      <c r="K119" s="66"/>
      <c r="L119" s="36"/>
      <c r="M119" s="36"/>
    </row>
    <row r="120" spans="1:13">
      <c r="A120" s="66"/>
      <c r="B120" s="66"/>
      <c r="C120" s="66"/>
      <c r="D120" s="66"/>
      <c r="E120" s="66"/>
      <c r="F120" s="67"/>
      <c r="G120" s="67"/>
      <c r="H120" s="66"/>
      <c r="I120" s="66"/>
      <c r="J120" s="66"/>
      <c r="K120" s="66"/>
      <c r="L120" s="36"/>
      <c r="M120" s="36"/>
    </row>
    <row r="121" spans="1:13">
      <c r="A121" s="66"/>
      <c r="B121" s="66"/>
      <c r="C121" s="66"/>
      <c r="D121" s="66"/>
      <c r="E121" s="66"/>
      <c r="F121" s="67"/>
      <c r="G121" s="67"/>
      <c r="H121" s="66"/>
      <c r="I121" s="66"/>
      <c r="J121" s="66"/>
      <c r="K121" s="66"/>
      <c r="L121" s="36"/>
      <c r="M121" s="36"/>
    </row>
    <row r="122" spans="1:13">
      <c r="A122" s="66"/>
      <c r="B122" s="66"/>
      <c r="C122" s="66"/>
      <c r="D122" s="66"/>
      <c r="E122" s="66"/>
      <c r="F122" s="67"/>
      <c r="G122" s="67"/>
      <c r="H122" s="66"/>
      <c r="I122" s="66"/>
      <c r="J122" s="66"/>
      <c r="K122" s="66"/>
      <c r="L122" s="36"/>
      <c r="M122" s="36"/>
    </row>
    <row r="123" spans="1:13">
      <c r="A123" s="66"/>
      <c r="B123" s="66"/>
      <c r="C123" s="66"/>
      <c r="D123" s="66"/>
      <c r="E123" s="66"/>
      <c r="F123" s="67"/>
      <c r="G123" s="67"/>
      <c r="H123" s="66"/>
      <c r="I123" s="66"/>
      <c r="J123" s="66"/>
      <c r="K123" s="66"/>
      <c r="L123" s="36"/>
      <c r="M123" s="36"/>
    </row>
    <row r="124" spans="1:13">
      <c r="A124" s="66"/>
      <c r="B124" s="66"/>
      <c r="C124" s="66"/>
      <c r="D124" s="66"/>
      <c r="E124" s="66"/>
      <c r="F124" s="67"/>
      <c r="G124" s="67"/>
      <c r="H124" s="66"/>
      <c r="I124" s="66"/>
      <c r="J124" s="66"/>
      <c r="K124" s="66"/>
      <c r="L124" s="36"/>
      <c r="M124" s="36"/>
    </row>
    <row r="125" spans="1:13">
      <c r="A125" s="66"/>
      <c r="B125" s="66"/>
      <c r="C125" s="66"/>
      <c r="D125" s="66"/>
      <c r="E125" s="66"/>
      <c r="F125" s="67"/>
      <c r="G125" s="67"/>
      <c r="H125" s="66"/>
      <c r="I125" s="66"/>
      <c r="J125" s="66"/>
      <c r="K125" s="66"/>
      <c r="L125" s="36"/>
      <c r="M125" s="36"/>
    </row>
    <row r="126" spans="1:13">
      <c r="A126" s="66"/>
      <c r="B126" s="66"/>
      <c r="C126" s="66"/>
      <c r="D126" s="66"/>
      <c r="E126" s="66"/>
      <c r="F126" s="67"/>
      <c r="G126" s="67"/>
      <c r="H126" s="66"/>
      <c r="I126" s="66"/>
      <c r="J126" s="66"/>
      <c r="K126" s="66"/>
      <c r="L126" s="36"/>
      <c r="M126" s="36"/>
    </row>
    <row r="127" spans="1:13">
      <c r="A127" s="66"/>
      <c r="B127" s="66"/>
      <c r="C127" s="66"/>
      <c r="D127" s="66"/>
      <c r="E127" s="66"/>
      <c r="F127" s="67"/>
      <c r="G127" s="67"/>
      <c r="H127" s="66"/>
      <c r="I127" s="66"/>
      <c r="J127" s="66"/>
      <c r="K127" s="66"/>
      <c r="L127" s="36"/>
      <c r="M127" s="36"/>
    </row>
    <row r="128" spans="1:13">
      <c r="A128" s="66"/>
      <c r="B128" s="66"/>
      <c r="C128" s="66"/>
      <c r="D128" s="66"/>
      <c r="E128" s="66"/>
      <c r="F128" s="67"/>
      <c r="G128" s="67"/>
      <c r="H128" s="66"/>
      <c r="I128" s="66"/>
      <c r="J128" s="66"/>
      <c r="K128" s="66"/>
      <c r="L128" s="36"/>
      <c r="M128" s="36"/>
    </row>
    <row r="129" spans="1:13">
      <c r="A129" s="66"/>
      <c r="B129" s="66"/>
      <c r="C129" s="66"/>
      <c r="D129" s="66"/>
      <c r="E129" s="66"/>
      <c r="F129" s="67"/>
      <c r="G129" s="67"/>
      <c r="H129" s="66"/>
      <c r="I129" s="66"/>
      <c r="J129" s="66"/>
      <c r="K129" s="66"/>
      <c r="L129" s="36"/>
      <c r="M129" s="36"/>
    </row>
    <row r="130" spans="1:13">
      <c r="A130" s="66"/>
      <c r="B130" s="66"/>
      <c r="C130" s="66"/>
      <c r="D130" s="66"/>
      <c r="E130" s="66"/>
      <c r="F130" s="67"/>
      <c r="G130" s="67"/>
      <c r="H130" s="66"/>
      <c r="I130" s="66"/>
      <c r="J130" s="66"/>
      <c r="K130" s="66"/>
      <c r="L130" s="36"/>
      <c r="M130" s="36"/>
    </row>
    <row r="131" spans="1:13">
      <c r="A131" s="66"/>
      <c r="B131" s="66"/>
      <c r="C131" s="66"/>
      <c r="D131" s="66"/>
      <c r="E131" s="66"/>
      <c r="F131" s="67"/>
      <c r="G131" s="67"/>
      <c r="H131" s="66"/>
      <c r="I131" s="66"/>
      <c r="J131" s="66"/>
      <c r="K131" s="66"/>
      <c r="L131" s="36"/>
      <c r="M131" s="36"/>
    </row>
    <row r="132" spans="1:13">
      <c r="A132" s="66"/>
      <c r="B132" s="66"/>
      <c r="C132" s="66"/>
      <c r="D132" s="66"/>
      <c r="E132" s="66"/>
      <c r="F132" s="67"/>
      <c r="G132" s="67"/>
      <c r="H132" s="66"/>
      <c r="I132" s="66"/>
      <c r="J132" s="66"/>
      <c r="K132" s="66"/>
      <c r="L132" s="36"/>
      <c r="M132" s="36"/>
    </row>
    <row r="133" spans="1:13">
      <c r="A133" s="66"/>
      <c r="B133" s="66"/>
      <c r="C133" s="66"/>
      <c r="D133" s="66"/>
      <c r="E133" s="66"/>
      <c r="F133" s="67"/>
      <c r="G133" s="67"/>
      <c r="H133" s="66"/>
      <c r="I133" s="66"/>
      <c r="J133" s="66"/>
      <c r="K133" s="66"/>
      <c r="L133" s="36"/>
      <c r="M133" s="36"/>
    </row>
    <row r="134" spans="1:13">
      <c r="A134" s="66"/>
      <c r="B134" s="66"/>
      <c r="C134" s="66"/>
      <c r="D134" s="66"/>
      <c r="E134" s="66"/>
      <c r="F134" s="67"/>
      <c r="G134" s="67"/>
      <c r="H134" s="66"/>
      <c r="I134" s="66"/>
      <c r="J134" s="66"/>
      <c r="K134" s="66"/>
      <c r="L134" s="36"/>
      <c r="M134" s="36"/>
    </row>
    <row r="135" spans="1:13">
      <c r="A135" s="66"/>
      <c r="B135" s="66"/>
      <c r="C135" s="66"/>
      <c r="D135" s="66"/>
      <c r="E135" s="66"/>
      <c r="F135" s="67"/>
      <c r="G135" s="67"/>
      <c r="H135" s="66"/>
      <c r="I135" s="66"/>
      <c r="J135" s="66"/>
      <c r="K135" s="66"/>
      <c r="L135" s="36"/>
      <c r="M135" s="36"/>
    </row>
    <row r="136" spans="1:13">
      <c r="A136" s="66"/>
      <c r="B136" s="66"/>
      <c r="C136" s="66"/>
      <c r="D136" s="66"/>
      <c r="E136" s="66"/>
      <c r="F136" s="67"/>
      <c r="G136" s="67"/>
      <c r="H136" s="66"/>
      <c r="I136" s="66"/>
      <c r="J136" s="66"/>
      <c r="K136" s="66"/>
      <c r="L136" s="36"/>
      <c r="M136" s="36"/>
    </row>
    <row r="137" spans="1:13">
      <c r="A137" s="66"/>
      <c r="B137" s="66"/>
      <c r="C137" s="66"/>
      <c r="D137" s="66"/>
      <c r="E137" s="66"/>
      <c r="F137" s="67"/>
      <c r="G137" s="67"/>
      <c r="H137" s="66"/>
      <c r="I137" s="66"/>
      <c r="J137" s="66"/>
      <c r="K137" s="66"/>
      <c r="L137" s="36"/>
      <c r="M137" s="36"/>
    </row>
    <row r="138" spans="1:13">
      <c r="A138" s="66"/>
      <c r="B138" s="66"/>
      <c r="C138" s="66"/>
      <c r="D138" s="66"/>
      <c r="E138" s="66"/>
      <c r="F138" s="67"/>
      <c r="G138" s="67"/>
      <c r="H138" s="66"/>
      <c r="I138" s="66"/>
      <c r="J138" s="66"/>
      <c r="K138" s="66"/>
      <c r="L138" s="36"/>
      <c r="M138" s="36"/>
    </row>
    <row r="139" spans="1:13">
      <c r="A139" s="66"/>
      <c r="B139" s="66"/>
      <c r="C139" s="66"/>
      <c r="D139" s="66"/>
      <c r="E139" s="66"/>
      <c r="F139" s="67"/>
      <c r="G139" s="67"/>
      <c r="H139" s="66"/>
      <c r="I139" s="66"/>
      <c r="J139" s="66"/>
      <c r="K139" s="66"/>
      <c r="L139" s="36"/>
      <c r="M139" s="36"/>
    </row>
    <row r="140" spans="1:13">
      <c r="A140" s="66"/>
      <c r="B140" s="66"/>
      <c r="C140" s="66"/>
      <c r="D140" s="66"/>
      <c r="E140" s="66"/>
      <c r="F140" s="67"/>
      <c r="G140" s="67"/>
      <c r="H140" s="66"/>
      <c r="I140" s="66"/>
      <c r="J140" s="66"/>
      <c r="K140" s="66"/>
      <c r="L140" s="36"/>
      <c r="M140" s="36"/>
    </row>
    <row r="141" spans="1:13">
      <c r="A141" s="66"/>
      <c r="B141" s="66"/>
      <c r="C141" s="66"/>
      <c r="D141" s="66"/>
      <c r="E141" s="66"/>
      <c r="F141" s="67"/>
      <c r="G141" s="67"/>
      <c r="H141" s="66"/>
      <c r="I141" s="66"/>
      <c r="J141" s="66"/>
      <c r="K141" s="66"/>
      <c r="L141" s="36"/>
      <c r="M141" s="36"/>
    </row>
    <row r="142" spans="1:13">
      <c r="A142" s="66"/>
      <c r="B142" s="66"/>
      <c r="C142" s="66"/>
      <c r="D142" s="66"/>
      <c r="E142" s="66"/>
      <c r="F142" s="67"/>
      <c r="G142" s="67"/>
      <c r="H142" s="66"/>
      <c r="I142" s="66"/>
      <c r="J142" s="66"/>
      <c r="K142" s="66"/>
      <c r="L142" s="36"/>
      <c r="M142" s="36"/>
    </row>
    <row r="143" spans="1:13">
      <c r="A143" s="66"/>
      <c r="B143" s="66"/>
      <c r="C143" s="66"/>
      <c r="D143" s="66"/>
      <c r="E143" s="66"/>
      <c r="F143" s="67"/>
      <c r="G143" s="67"/>
      <c r="H143" s="66"/>
      <c r="I143" s="66"/>
      <c r="J143" s="66"/>
      <c r="K143" s="66"/>
      <c r="L143" s="36"/>
      <c r="M143" s="36"/>
    </row>
    <row r="144" spans="1:13">
      <c r="A144" s="66"/>
      <c r="B144" s="66"/>
      <c r="C144" s="66"/>
      <c r="D144" s="66"/>
      <c r="E144" s="66"/>
      <c r="F144" s="67"/>
      <c r="G144" s="67"/>
      <c r="H144" s="66"/>
      <c r="I144" s="66"/>
      <c r="J144" s="66"/>
      <c r="K144" s="66"/>
      <c r="L144" s="36"/>
      <c r="M144" s="36"/>
    </row>
    <row r="145" spans="1:13">
      <c r="A145" s="66"/>
      <c r="B145" s="66"/>
      <c r="C145" s="66"/>
      <c r="D145" s="66"/>
      <c r="E145" s="66"/>
      <c r="F145" s="67"/>
      <c r="G145" s="67"/>
      <c r="H145" s="66"/>
      <c r="I145" s="66"/>
      <c r="J145" s="66"/>
      <c r="K145" s="66"/>
      <c r="L145" s="36"/>
      <c r="M145" s="36"/>
    </row>
    <row r="146" spans="1:13">
      <c r="A146" s="66"/>
      <c r="B146" s="66"/>
      <c r="C146" s="66"/>
      <c r="D146" s="66"/>
      <c r="E146" s="66"/>
      <c r="F146" s="67"/>
      <c r="G146" s="67"/>
      <c r="H146" s="66"/>
      <c r="I146" s="66"/>
      <c r="J146" s="66"/>
      <c r="K146" s="66"/>
      <c r="L146" s="36"/>
      <c r="M146" s="36"/>
    </row>
    <row r="147" spans="1:13">
      <c r="A147" s="66"/>
      <c r="B147" s="66"/>
      <c r="C147" s="66"/>
      <c r="D147" s="66"/>
      <c r="E147" s="66"/>
      <c r="F147" s="67"/>
      <c r="G147" s="67"/>
      <c r="H147" s="66"/>
      <c r="I147" s="66"/>
      <c r="J147" s="66"/>
      <c r="K147" s="66"/>
      <c r="L147" s="36"/>
      <c r="M147" s="36"/>
    </row>
    <row r="148" spans="1:13">
      <c r="A148" s="66"/>
      <c r="B148" s="66"/>
      <c r="C148" s="66"/>
      <c r="D148" s="66"/>
      <c r="E148" s="66"/>
      <c r="F148" s="67"/>
      <c r="G148" s="67"/>
      <c r="H148" s="66"/>
      <c r="I148" s="66"/>
      <c r="J148" s="66"/>
      <c r="K148" s="66"/>
      <c r="L148" s="36"/>
      <c r="M148" s="36"/>
    </row>
    <row r="149" spans="1:13">
      <c r="A149" s="66"/>
      <c r="B149" s="66"/>
      <c r="C149" s="66"/>
      <c r="D149" s="66"/>
      <c r="E149" s="66"/>
      <c r="F149" s="67"/>
      <c r="G149" s="67"/>
      <c r="H149" s="66"/>
      <c r="I149" s="66"/>
      <c r="J149" s="66"/>
      <c r="K149" s="66"/>
      <c r="L149" s="36"/>
      <c r="M149" s="36"/>
    </row>
    <row r="150" spans="1:13">
      <c r="A150" s="66"/>
      <c r="B150" s="66"/>
      <c r="C150" s="66"/>
      <c r="D150" s="66"/>
      <c r="E150" s="66"/>
      <c r="F150" s="67"/>
      <c r="G150" s="67"/>
      <c r="H150" s="66"/>
      <c r="I150" s="66"/>
      <c r="J150" s="66"/>
      <c r="K150" s="66"/>
      <c r="L150" s="36"/>
      <c r="M150" s="36"/>
    </row>
    <row r="151" spans="1:13">
      <c r="A151" s="66"/>
      <c r="B151" s="66"/>
      <c r="C151" s="66"/>
      <c r="D151" s="66"/>
      <c r="E151" s="66"/>
      <c r="F151" s="67"/>
      <c r="G151" s="67"/>
      <c r="H151" s="66"/>
      <c r="I151" s="66"/>
      <c r="J151" s="66"/>
      <c r="K151" s="66"/>
      <c r="L151" s="36"/>
      <c r="M151" s="36"/>
    </row>
    <row r="152" spans="1:13">
      <c r="A152" s="66"/>
      <c r="B152" s="66"/>
      <c r="C152" s="66"/>
      <c r="D152" s="66"/>
      <c r="E152" s="66"/>
      <c r="F152" s="67"/>
      <c r="G152" s="67"/>
      <c r="H152" s="66"/>
      <c r="I152" s="66"/>
      <c r="J152" s="66"/>
      <c r="K152" s="66"/>
      <c r="L152" s="36"/>
      <c r="M152" s="36"/>
    </row>
    <row r="153" spans="1:13">
      <c r="A153" s="66"/>
      <c r="B153" s="66"/>
      <c r="C153" s="66"/>
      <c r="D153" s="66"/>
      <c r="E153" s="66"/>
      <c r="F153" s="67"/>
      <c r="G153" s="67"/>
      <c r="H153" s="66"/>
      <c r="I153" s="66"/>
      <c r="J153" s="66"/>
      <c r="K153" s="66"/>
      <c r="L153" s="36"/>
      <c r="M153" s="36"/>
    </row>
    <row r="154" spans="1:13">
      <c r="A154" s="66"/>
      <c r="B154" s="66"/>
      <c r="C154" s="66"/>
      <c r="D154" s="66"/>
      <c r="E154" s="66"/>
      <c r="F154" s="67"/>
      <c r="G154" s="67"/>
      <c r="H154" s="66"/>
      <c r="I154" s="66"/>
      <c r="J154" s="66"/>
      <c r="K154" s="66"/>
      <c r="L154" s="36"/>
      <c r="M154" s="36"/>
    </row>
    <row r="155" spans="1:13">
      <c r="A155" s="66"/>
      <c r="B155" s="66"/>
      <c r="C155" s="66"/>
      <c r="D155" s="66"/>
      <c r="E155" s="66"/>
      <c r="F155" s="67"/>
      <c r="G155" s="67"/>
      <c r="H155" s="66"/>
      <c r="I155" s="66"/>
      <c r="J155" s="66"/>
      <c r="K155" s="66"/>
      <c r="L155" s="36"/>
      <c r="M155" s="36"/>
    </row>
    <row r="156" spans="1:13">
      <c r="A156" s="66"/>
      <c r="B156" s="66"/>
      <c r="C156" s="66"/>
      <c r="D156" s="66"/>
      <c r="E156" s="66"/>
      <c r="F156" s="67"/>
      <c r="G156" s="67"/>
      <c r="H156" s="66"/>
      <c r="I156" s="66"/>
      <c r="J156" s="66"/>
      <c r="K156" s="66"/>
      <c r="L156" s="36"/>
      <c r="M156" s="36"/>
    </row>
    <row r="157" spans="1:13">
      <c r="A157" s="66"/>
      <c r="B157" s="66"/>
      <c r="C157" s="66"/>
      <c r="D157" s="66"/>
      <c r="E157" s="66"/>
      <c r="F157" s="67"/>
      <c r="G157" s="67"/>
      <c r="H157" s="66"/>
      <c r="I157" s="66"/>
      <c r="J157" s="66"/>
      <c r="K157" s="66"/>
      <c r="L157" s="36"/>
      <c r="M157" s="36"/>
    </row>
    <row r="158" spans="1:13">
      <c r="A158" s="66"/>
      <c r="B158" s="66"/>
      <c r="C158" s="66"/>
      <c r="D158" s="66"/>
      <c r="E158" s="66"/>
      <c r="F158" s="67"/>
      <c r="G158" s="67"/>
      <c r="H158" s="66"/>
      <c r="I158" s="66"/>
      <c r="J158" s="66"/>
      <c r="K158" s="66"/>
      <c r="L158" s="36"/>
      <c r="M158" s="36"/>
    </row>
    <row r="159" spans="1:13">
      <c r="A159" s="66"/>
      <c r="B159" s="66"/>
      <c r="C159" s="66"/>
      <c r="D159" s="66"/>
      <c r="E159" s="66"/>
      <c r="F159" s="67"/>
      <c r="G159" s="67"/>
      <c r="H159" s="66"/>
      <c r="I159" s="66"/>
      <c r="J159" s="66"/>
      <c r="K159" s="66"/>
      <c r="L159" s="36"/>
      <c r="M159" s="36"/>
    </row>
    <row r="160" spans="1:13">
      <c r="A160" s="66"/>
      <c r="B160" s="66"/>
      <c r="C160" s="66"/>
      <c r="D160" s="66"/>
      <c r="E160" s="66"/>
      <c r="F160" s="67"/>
      <c r="G160" s="67"/>
      <c r="H160" s="66"/>
      <c r="I160" s="66"/>
      <c r="J160" s="66"/>
      <c r="K160" s="66"/>
      <c r="L160" s="36"/>
      <c r="M160" s="36"/>
    </row>
    <row r="161" spans="1:13">
      <c r="A161" s="66"/>
      <c r="B161" s="66"/>
      <c r="C161" s="66"/>
      <c r="D161" s="66"/>
      <c r="E161" s="66"/>
      <c r="F161" s="67"/>
      <c r="G161" s="67"/>
      <c r="H161" s="66"/>
      <c r="I161" s="66"/>
      <c r="J161" s="66"/>
      <c r="K161" s="66"/>
      <c r="L161" s="36"/>
      <c r="M161" s="36"/>
    </row>
    <row r="162" spans="1:13">
      <c r="A162" s="66"/>
      <c r="B162" s="66"/>
      <c r="C162" s="66"/>
      <c r="D162" s="66"/>
      <c r="E162" s="66"/>
      <c r="F162" s="67"/>
      <c r="G162" s="67"/>
      <c r="H162" s="66"/>
      <c r="I162" s="66"/>
      <c r="J162" s="66"/>
      <c r="K162" s="66"/>
      <c r="L162" s="36"/>
      <c r="M162" s="36"/>
    </row>
    <row r="163" spans="1:13">
      <c r="A163" s="66"/>
      <c r="B163" s="66"/>
      <c r="C163" s="66"/>
      <c r="D163" s="66"/>
      <c r="E163" s="66"/>
      <c r="F163" s="67"/>
      <c r="G163" s="67"/>
      <c r="H163" s="66"/>
      <c r="I163" s="66"/>
      <c r="J163" s="66"/>
      <c r="K163" s="66"/>
      <c r="L163" s="36"/>
      <c r="M163" s="36"/>
    </row>
    <row r="164" spans="1:13">
      <c r="A164" s="66"/>
      <c r="B164" s="66"/>
      <c r="C164" s="66"/>
      <c r="D164" s="66"/>
      <c r="E164" s="66"/>
      <c r="F164" s="67"/>
      <c r="G164" s="67"/>
      <c r="H164" s="66"/>
      <c r="I164" s="66"/>
      <c r="J164" s="66"/>
      <c r="K164" s="66"/>
      <c r="L164" s="36"/>
      <c r="M164" s="36"/>
    </row>
    <row r="165" spans="1:13">
      <c r="A165" s="66"/>
      <c r="B165" s="66"/>
      <c r="C165" s="66"/>
      <c r="D165" s="66"/>
      <c r="E165" s="66"/>
      <c r="F165" s="67"/>
      <c r="G165" s="67"/>
      <c r="H165" s="66"/>
      <c r="I165" s="66"/>
      <c r="J165" s="66"/>
      <c r="K165" s="66"/>
      <c r="L165" s="36"/>
      <c r="M165" s="36"/>
    </row>
    <row r="166" spans="1:13">
      <c r="A166" s="66"/>
      <c r="B166" s="66"/>
      <c r="C166" s="66"/>
      <c r="D166" s="66"/>
      <c r="E166" s="66"/>
      <c r="F166" s="67"/>
      <c r="G166" s="67"/>
      <c r="H166" s="66"/>
      <c r="I166" s="66"/>
      <c r="J166" s="66"/>
      <c r="K166" s="66"/>
      <c r="L166" s="36"/>
      <c r="M166" s="36"/>
    </row>
    <row r="167" spans="1:13">
      <c r="A167" s="66"/>
      <c r="B167" s="66"/>
      <c r="C167" s="66"/>
      <c r="D167" s="66"/>
      <c r="E167" s="66"/>
      <c r="F167" s="67"/>
      <c r="G167" s="67"/>
      <c r="H167" s="66"/>
      <c r="I167" s="66"/>
      <c r="J167" s="66"/>
      <c r="K167" s="66"/>
      <c r="L167" s="36"/>
      <c r="M167" s="36"/>
    </row>
    <row r="168" spans="1:13">
      <c r="A168" s="66"/>
      <c r="B168" s="66"/>
      <c r="C168" s="66"/>
      <c r="D168" s="66"/>
      <c r="E168" s="66"/>
      <c r="F168" s="67"/>
      <c r="G168" s="67"/>
      <c r="H168" s="66"/>
      <c r="I168" s="66"/>
      <c r="J168" s="66"/>
      <c r="K168" s="66"/>
      <c r="L168" s="36"/>
      <c r="M168" s="36"/>
    </row>
    <row r="169" spans="1:13">
      <c r="A169" s="66"/>
      <c r="B169" s="66"/>
      <c r="C169" s="66"/>
      <c r="D169" s="66"/>
      <c r="E169" s="66"/>
      <c r="F169" s="67"/>
      <c r="G169" s="67"/>
      <c r="H169" s="66"/>
      <c r="I169" s="66"/>
      <c r="J169" s="66"/>
      <c r="K169" s="66"/>
      <c r="L169" s="36"/>
      <c r="M169" s="36"/>
    </row>
    <row r="170" spans="1:13">
      <c r="A170" s="66"/>
      <c r="B170" s="66"/>
      <c r="C170" s="66"/>
      <c r="D170" s="66"/>
      <c r="E170" s="66"/>
      <c r="F170" s="67"/>
      <c r="G170" s="67"/>
      <c r="H170" s="66"/>
      <c r="I170" s="66"/>
      <c r="J170" s="66"/>
      <c r="K170" s="66"/>
      <c r="L170" s="36"/>
      <c r="M170" s="36"/>
    </row>
    <row r="171" spans="1:13">
      <c r="A171" s="66"/>
      <c r="B171" s="66"/>
      <c r="C171" s="66"/>
      <c r="D171" s="66"/>
      <c r="E171" s="66"/>
      <c r="F171" s="67"/>
      <c r="G171" s="67"/>
      <c r="H171" s="66"/>
      <c r="I171" s="66"/>
      <c r="J171" s="66"/>
      <c r="K171" s="66"/>
      <c r="L171" s="36"/>
      <c r="M171" s="36"/>
    </row>
    <row r="172" spans="1:13">
      <c r="A172" s="66"/>
      <c r="B172" s="66"/>
      <c r="C172" s="66"/>
      <c r="D172" s="66"/>
      <c r="E172" s="66"/>
      <c r="F172" s="67"/>
      <c r="G172" s="67"/>
      <c r="H172" s="66"/>
      <c r="I172" s="66"/>
      <c r="J172" s="66"/>
      <c r="K172" s="66"/>
      <c r="L172" s="36"/>
      <c r="M172" s="36"/>
    </row>
    <row r="173" spans="1:13">
      <c r="A173" s="66"/>
      <c r="B173" s="66"/>
      <c r="C173" s="66"/>
      <c r="D173" s="66"/>
      <c r="E173" s="66"/>
      <c r="F173" s="67"/>
      <c r="G173" s="67"/>
      <c r="H173" s="66"/>
      <c r="I173" s="66"/>
      <c r="J173" s="66"/>
      <c r="K173" s="66"/>
      <c r="L173" s="36"/>
      <c r="M173" s="36"/>
    </row>
    <row r="174" spans="1:13">
      <c r="A174" s="66"/>
      <c r="B174" s="66"/>
      <c r="C174" s="66"/>
      <c r="D174" s="66"/>
      <c r="E174" s="66"/>
      <c r="F174" s="67"/>
      <c r="G174" s="67"/>
      <c r="H174" s="66"/>
      <c r="I174" s="66"/>
      <c r="J174" s="66"/>
      <c r="K174" s="66"/>
      <c r="L174" s="36"/>
      <c r="M174" s="36"/>
    </row>
    <row r="175" spans="1:13">
      <c r="A175" s="66"/>
      <c r="B175" s="66"/>
      <c r="C175" s="66"/>
      <c r="D175" s="66"/>
      <c r="E175" s="66"/>
      <c r="F175" s="67"/>
      <c r="G175" s="67"/>
      <c r="H175" s="66"/>
      <c r="I175" s="66"/>
      <c r="J175" s="66"/>
      <c r="K175" s="66"/>
      <c r="L175" s="36"/>
      <c r="M175" s="36"/>
    </row>
    <row r="176" spans="1:13">
      <c r="A176" s="66"/>
      <c r="B176" s="66"/>
      <c r="C176" s="66"/>
      <c r="D176" s="66"/>
      <c r="E176" s="66"/>
      <c r="F176" s="67"/>
      <c r="G176" s="67"/>
      <c r="H176" s="66"/>
      <c r="I176" s="66"/>
      <c r="J176" s="66"/>
      <c r="K176" s="66"/>
      <c r="L176" s="36"/>
      <c r="M176" s="36"/>
    </row>
    <row r="177" spans="1:13">
      <c r="A177" s="66"/>
      <c r="B177" s="66"/>
      <c r="C177" s="66"/>
      <c r="D177" s="66"/>
      <c r="E177" s="66"/>
      <c r="F177" s="67"/>
      <c r="G177" s="67"/>
      <c r="H177" s="66"/>
      <c r="I177" s="66"/>
      <c r="J177" s="66"/>
      <c r="K177" s="66"/>
      <c r="L177" s="36"/>
      <c r="M177" s="36"/>
    </row>
    <row r="178" spans="1:13">
      <c r="A178" s="66"/>
      <c r="B178" s="66"/>
      <c r="C178" s="66"/>
      <c r="D178" s="66"/>
      <c r="E178" s="66"/>
      <c r="F178" s="67"/>
      <c r="G178" s="67"/>
      <c r="H178" s="66"/>
      <c r="I178" s="66"/>
      <c r="J178" s="66"/>
      <c r="K178" s="66"/>
      <c r="L178" s="36"/>
      <c r="M178" s="36"/>
    </row>
    <row r="179" spans="1:13">
      <c r="A179" s="66"/>
      <c r="B179" s="66"/>
      <c r="C179" s="66"/>
      <c r="D179" s="66"/>
      <c r="E179" s="66"/>
      <c r="F179" s="67"/>
      <c r="G179" s="67"/>
      <c r="H179" s="66"/>
      <c r="I179" s="66"/>
      <c r="J179" s="66"/>
      <c r="K179" s="66"/>
      <c r="L179" s="36"/>
      <c r="M179" s="36"/>
    </row>
    <row r="180" spans="1:13">
      <c r="A180" s="66"/>
      <c r="B180" s="66"/>
      <c r="C180" s="66"/>
      <c r="D180" s="66"/>
      <c r="E180" s="66"/>
      <c r="F180" s="67"/>
      <c r="G180" s="67"/>
      <c r="H180" s="66"/>
      <c r="I180" s="66"/>
      <c r="J180" s="66"/>
      <c r="K180" s="66"/>
      <c r="L180" s="36"/>
      <c r="M180" s="36"/>
    </row>
    <row r="181" spans="1:13">
      <c r="A181" s="66"/>
      <c r="B181" s="66"/>
      <c r="C181" s="66"/>
      <c r="D181" s="66"/>
      <c r="E181" s="66"/>
      <c r="F181" s="67"/>
      <c r="G181" s="67"/>
      <c r="H181" s="66"/>
      <c r="I181" s="66"/>
      <c r="J181" s="66"/>
      <c r="K181" s="66"/>
      <c r="L181" s="36"/>
      <c r="M181" s="36"/>
    </row>
    <row r="182" spans="1:13">
      <c r="A182" s="66"/>
      <c r="B182" s="66"/>
      <c r="C182" s="66"/>
      <c r="D182" s="66"/>
      <c r="E182" s="66"/>
      <c r="F182" s="67"/>
      <c r="G182" s="67"/>
      <c r="H182" s="66"/>
      <c r="I182" s="66"/>
      <c r="J182" s="66"/>
      <c r="K182" s="66"/>
      <c r="L182" s="36"/>
      <c r="M182" s="36"/>
    </row>
    <row r="183" spans="1:13">
      <c r="A183" s="66"/>
      <c r="B183" s="66"/>
      <c r="C183" s="66"/>
      <c r="D183" s="66"/>
      <c r="E183" s="66"/>
      <c r="F183" s="67"/>
      <c r="G183" s="67"/>
      <c r="H183" s="66"/>
      <c r="I183" s="66"/>
      <c r="J183" s="66"/>
      <c r="K183" s="66"/>
      <c r="L183" s="36"/>
      <c r="M183" s="36"/>
    </row>
    <row r="184" spans="1:13">
      <c r="A184" s="66"/>
      <c r="B184" s="66"/>
      <c r="C184" s="66"/>
      <c r="D184" s="66"/>
      <c r="E184" s="66"/>
      <c r="F184" s="67"/>
      <c r="G184" s="67"/>
      <c r="H184" s="66"/>
      <c r="I184" s="66"/>
      <c r="J184" s="66"/>
      <c r="K184" s="66"/>
      <c r="L184" s="36"/>
      <c r="M184" s="36"/>
    </row>
    <row r="185" spans="1:13">
      <c r="A185" s="66"/>
      <c r="B185" s="66"/>
      <c r="C185" s="66"/>
      <c r="D185" s="66"/>
      <c r="E185" s="66"/>
      <c r="F185" s="67"/>
      <c r="G185" s="67"/>
      <c r="H185" s="66"/>
      <c r="I185" s="66"/>
      <c r="J185" s="66"/>
      <c r="K185" s="66"/>
      <c r="L185" s="36"/>
      <c r="M185" s="36"/>
    </row>
    <row r="186" spans="1:13">
      <c r="A186" s="66"/>
      <c r="B186" s="66"/>
      <c r="C186" s="66"/>
      <c r="D186" s="66"/>
      <c r="E186" s="66"/>
      <c r="F186" s="67"/>
      <c r="G186" s="67"/>
      <c r="H186" s="66"/>
      <c r="I186" s="66"/>
      <c r="J186" s="66"/>
      <c r="K186" s="66"/>
      <c r="L186" s="36"/>
      <c r="M186" s="36"/>
    </row>
    <row r="187" spans="1:13">
      <c r="A187" s="66"/>
      <c r="B187" s="66"/>
      <c r="C187" s="66"/>
      <c r="D187" s="66"/>
      <c r="E187" s="66"/>
      <c r="F187" s="67"/>
      <c r="G187" s="67"/>
      <c r="H187" s="66"/>
      <c r="I187" s="66"/>
      <c r="J187" s="66"/>
      <c r="K187" s="66"/>
      <c r="L187" s="36"/>
      <c r="M187" s="36"/>
    </row>
    <row r="188" spans="1:13">
      <c r="A188" s="66"/>
      <c r="B188" s="66"/>
      <c r="C188" s="66"/>
      <c r="D188" s="66"/>
      <c r="E188" s="66"/>
      <c r="F188" s="67"/>
      <c r="G188" s="67"/>
      <c r="H188" s="66"/>
      <c r="I188" s="66"/>
      <c r="J188" s="66"/>
      <c r="K188" s="66"/>
      <c r="L188" s="36"/>
      <c r="M188" s="36"/>
    </row>
    <row r="189" spans="1:13">
      <c r="A189" s="66"/>
      <c r="B189" s="66"/>
      <c r="C189" s="66"/>
      <c r="D189" s="66"/>
      <c r="E189" s="66"/>
      <c r="F189" s="67"/>
      <c r="G189" s="67"/>
      <c r="H189" s="66"/>
      <c r="I189" s="66"/>
      <c r="J189" s="66"/>
      <c r="K189" s="66"/>
      <c r="L189" s="36"/>
      <c r="M189" s="36"/>
    </row>
    <row r="190" spans="1:13">
      <c r="A190" s="66"/>
      <c r="B190" s="66"/>
      <c r="C190" s="66"/>
      <c r="D190" s="66"/>
      <c r="E190" s="66"/>
      <c r="F190" s="67"/>
      <c r="G190" s="67"/>
      <c r="H190" s="66"/>
      <c r="I190" s="66"/>
      <c r="J190" s="66"/>
      <c r="K190" s="66"/>
      <c r="L190" s="36"/>
      <c r="M190" s="36"/>
    </row>
    <row r="191" spans="1:13">
      <c r="A191" s="66"/>
      <c r="B191" s="66"/>
      <c r="C191" s="66"/>
      <c r="D191" s="66"/>
      <c r="E191" s="66"/>
      <c r="F191" s="67"/>
      <c r="G191" s="67"/>
      <c r="H191" s="66"/>
      <c r="I191" s="66"/>
      <c r="J191" s="66"/>
      <c r="K191" s="66"/>
      <c r="L191" s="36"/>
      <c r="M191" s="36"/>
    </row>
    <row r="192" spans="1:13">
      <c r="A192" s="66"/>
      <c r="B192" s="66"/>
      <c r="C192" s="66"/>
      <c r="D192" s="66"/>
      <c r="E192" s="66"/>
      <c r="F192" s="67"/>
      <c r="G192" s="67"/>
      <c r="H192" s="66"/>
      <c r="I192" s="66"/>
      <c r="J192" s="66"/>
      <c r="K192" s="66"/>
      <c r="L192" s="36"/>
      <c r="M192" s="36"/>
    </row>
    <row r="193" spans="1:13">
      <c r="A193" s="66"/>
      <c r="B193" s="66"/>
      <c r="C193" s="66"/>
      <c r="D193" s="66"/>
      <c r="E193" s="66"/>
      <c r="F193" s="67"/>
      <c r="G193" s="67"/>
      <c r="H193" s="66"/>
      <c r="I193" s="66"/>
      <c r="J193" s="66"/>
      <c r="K193" s="66"/>
      <c r="L193" s="36"/>
      <c r="M193" s="36"/>
    </row>
    <row r="194" spans="1:13">
      <c r="A194" s="66"/>
      <c r="B194" s="66"/>
      <c r="C194" s="66"/>
      <c r="D194" s="66"/>
      <c r="E194" s="66"/>
      <c r="F194" s="67"/>
      <c r="G194" s="67"/>
      <c r="H194" s="66"/>
      <c r="I194" s="66"/>
      <c r="J194" s="66"/>
      <c r="K194" s="66"/>
      <c r="L194" s="36"/>
      <c r="M194" s="36"/>
    </row>
    <row r="195" spans="1:13">
      <c r="A195" s="66"/>
      <c r="B195" s="66"/>
      <c r="C195" s="66"/>
      <c r="D195" s="66"/>
      <c r="E195" s="66"/>
      <c r="F195" s="67"/>
      <c r="G195" s="67"/>
      <c r="H195" s="66"/>
      <c r="I195" s="66"/>
      <c r="J195" s="66"/>
      <c r="K195" s="66"/>
      <c r="L195" s="36"/>
      <c r="M195" s="36"/>
    </row>
    <row r="196" spans="1:13">
      <c r="A196" s="66"/>
      <c r="B196" s="66"/>
      <c r="C196" s="66"/>
      <c r="D196" s="66"/>
      <c r="E196" s="66"/>
      <c r="F196" s="67"/>
      <c r="G196" s="67"/>
      <c r="H196" s="66"/>
      <c r="I196" s="66"/>
      <c r="J196" s="66"/>
      <c r="K196" s="66"/>
      <c r="L196" s="36"/>
      <c r="M196" s="36"/>
    </row>
    <row r="197" spans="1:13">
      <c r="A197" s="66"/>
      <c r="B197" s="66"/>
      <c r="C197" s="66"/>
      <c r="D197" s="66"/>
      <c r="E197" s="66"/>
      <c r="F197" s="67"/>
      <c r="G197" s="67"/>
      <c r="H197" s="66"/>
      <c r="I197" s="66"/>
      <c r="J197" s="66"/>
      <c r="K197" s="66"/>
      <c r="L197" s="36"/>
      <c r="M197" s="36"/>
    </row>
    <row r="198" spans="1:13">
      <c r="A198" s="66"/>
      <c r="B198" s="66"/>
      <c r="C198" s="66"/>
      <c r="D198" s="66"/>
      <c r="E198" s="66"/>
      <c r="F198" s="67"/>
      <c r="G198" s="67"/>
      <c r="H198" s="66"/>
      <c r="I198" s="66"/>
      <c r="J198" s="66"/>
      <c r="K198" s="66"/>
      <c r="L198" s="36"/>
      <c r="M198" s="36"/>
    </row>
    <row r="199" spans="1:13">
      <c r="A199" s="66"/>
      <c r="B199" s="66"/>
      <c r="C199" s="66"/>
      <c r="D199" s="66"/>
      <c r="E199" s="66"/>
      <c r="F199" s="67"/>
      <c r="G199" s="67"/>
      <c r="H199" s="66"/>
      <c r="I199" s="66"/>
      <c r="J199" s="66"/>
      <c r="K199" s="66"/>
      <c r="L199" s="36"/>
      <c r="M199" s="36"/>
    </row>
    <row r="200" spans="1:13">
      <c r="A200" s="66"/>
      <c r="B200" s="66"/>
      <c r="C200" s="66"/>
      <c r="D200" s="66"/>
      <c r="E200" s="66"/>
      <c r="F200" s="67"/>
      <c r="G200" s="67"/>
      <c r="H200" s="66"/>
      <c r="I200" s="66"/>
      <c r="J200" s="66"/>
      <c r="K200" s="66"/>
      <c r="L200" s="36"/>
      <c r="M200" s="36"/>
    </row>
    <row r="201" spans="1:13">
      <c r="A201" s="66"/>
      <c r="B201" s="66"/>
      <c r="C201" s="66"/>
      <c r="D201" s="66"/>
      <c r="E201" s="66"/>
      <c r="F201" s="67"/>
      <c r="G201" s="67"/>
      <c r="H201" s="66"/>
      <c r="I201" s="66"/>
      <c r="J201" s="66"/>
      <c r="K201" s="66"/>
      <c r="L201" s="36"/>
      <c r="M201" s="36"/>
    </row>
    <row r="202" spans="1:13">
      <c r="A202" s="66"/>
      <c r="B202" s="66"/>
      <c r="C202" s="66"/>
      <c r="D202" s="66"/>
      <c r="E202" s="66"/>
      <c r="F202" s="67"/>
      <c r="G202" s="67"/>
      <c r="H202" s="66"/>
      <c r="I202" s="66"/>
      <c r="J202" s="66"/>
      <c r="K202" s="66"/>
      <c r="L202" s="36"/>
      <c r="M202" s="36"/>
    </row>
    <row r="203" spans="1:13">
      <c r="A203" s="66"/>
      <c r="B203" s="66"/>
      <c r="C203" s="66"/>
      <c r="D203" s="66"/>
      <c r="E203" s="66"/>
      <c r="F203" s="67"/>
      <c r="G203" s="67"/>
      <c r="H203" s="66"/>
      <c r="I203" s="66"/>
      <c r="J203" s="66"/>
      <c r="K203" s="66"/>
      <c r="L203" s="36"/>
      <c r="M203" s="36"/>
    </row>
    <row r="204" spans="1:13">
      <c r="A204" s="66"/>
      <c r="B204" s="66"/>
      <c r="C204" s="66"/>
      <c r="D204" s="66"/>
      <c r="E204" s="66"/>
      <c r="F204" s="67"/>
      <c r="G204" s="67"/>
      <c r="H204" s="66"/>
      <c r="I204" s="66"/>
      <c r="J204" s="66"/>
      <c r="K204" s="66"/>
      <c r="L204" s="36"/>
      <c r="M204" s="36"/>
    </row>
    <row r="205" spans="1:13">
      <c r="A205" s="66"/>
      <c r="B205" s="66"/>
      <c r="C205" s="66"/>
      <c r="D205" s="66"/>
      <c r="E205" s="66"/>
      <c r="F205" s="67"/>
      <c r="G205" s="67"/>
      <c r="H205" s="66"/>
      <c r="I205" s="66"/>
      <c r="J205" s="66"/>
      <c r="K205" s="66"/>
      <c r="L205" s="36"/>
      <c r="M205" s="36"/>
    </row>
    <row r="206" spans="1:13">
      <c r="A206" s="66"/>
      <c r="B206" s="66"/>
      <c r="C206" s="66"/>
      <c r="D206" s="66"/>
      <c r="E206" s="66"/>
      <c r="F206" s="67"/>
      <c r="G206" s="67"/>
      <c r="H206" s="66"/>
      <c r="I206" s="66"/>
      <c r="J206" s="66"/>
      <c r="K206" s="66"/>
      <c r="L206" s="36"/>
      <c r="M206" s="36"/>
    </row>
    <row r="207" spans="1:13">
      <c r="A207" s="66"/>
      <c r="B207" s="66"/>
      <c r="C207" s="66"/>
      <c r="D207" s="66"/>
      <c r="E207" s="66"/>
      <c r="F207" s="67"/>
      <c r="G207" s="67"/>
      <c r="H207" s="66"/>
      <c r="I207" s="66"/>
      <c r="J207" s="66"/>
      <c r="K207" s="66"/>
      <c r="L207" s="36"/>
      <c r="M207" s="36"/>
    </row>
    <row r="208" spans="1:13">
      <c r="A208" s="66"/>
      <c r="B208" s="66"/>
      <c r="C208" s="66"/>
      <c r="D208" s="66"/>
      <c r="E208" s="66"/>
      <c r="F208" s="67"/>
      <c r="G208" s="67"/>
      <c r="H208" s="66"/>
      <c r="I208" s="66"/>
      <c r="J208" s="66"/>
      <c r="K208" s="66"/>
      <c r="L208" s="36"/>
      <c r="M208" s="36"/>
    </row>
    <row r="209" spans="1:13">
      <c r="A209" s="66"/>
      <c r="B209" s="66"/>
      <c r="C209" s="66"/>
      <c r="D209" s="66"/>
      <c r="E209" s="66"/>
      <c r="F209" s="67"/>
      <c r="G209" s="67"/>
      <c r="H209" s="66"/>
      <c r="I209" s="66"/>
      <c r="J209" s="66"/>
      <c r="K209" s="66"/>
      <c r="L209" s="36"/>
      <c r="M209" s="36"/>
    </row>
    <row r="210" spans="1:13">
      <c r="A210" s="66"/>
      <c r="B210" s="66"/>
      <c r="C210" s="66"/>
      <c r="D210" s="66"/>
      <c r="E210" s="66"/>
      <c r="F210" s="67"/>
      <c r="G210" s="67"/>
      <c r="H210" s="66"/>
      <c r="I210" s="66"/>
      <c r="J210" s="66"/>
      <c r="K210" s="66"/>
      <c r="L210" s="36"/>
      <c r="M210" s="36"/>
    </row>
    <row r="211" spans="1:13">
      <c r="A211" s="66"/>
      <c r="B211" s="66"/>
      <c r="C211" s="66"/>
      <c r="D211" s="66"/>
      <c r="E211" s="66"/>
      <c r="F211" s="67"/>
      <c r="G211" s="67"/>
      <c r="H211" s="66"/>
      <c r="I211" s="66"/>
      <c r="J211" s="66"/>
      <c r="K211" s="66"/>
      <c r="L211" s="36"/>
      <c r="M211" s="36"/>
    </row>
    <row r="212" spans="1:13">
      <c r="A212" s="66"/>
      <c r="B212" s="66"/>
      <c r="C212" s="66"/>
      <c r="D212" s="66"/>
      <c r="E212" s="66"/>
      <c r="F212" s="67"/>
      <c r="G212" s="67"/>
      <c r="H212" s="66"/>
      <c r="I212" s="66"/>
      <c r="J212" s="66"/>
      <c r="K212" s="66"/>
      <c r="L212" s="36"/>
      <c r="M212" s="36"/>
    </row>
    <row r="213" spans="1:13">
      <c r="A213" s="66"/>
      <c r="B213" s="66"/>
      <c r="C213" s="66"/>
      <c r="D213" s="66"/>
      <c r="E213" s="66"/>
      <c r="F213" s="67"/>
      <c r="G213" s="67"/>
      <c r="H213" s="66"/>
      <c r="I213" s="66"/>
      <c r="J213" s="66"/>
      <c r="K213" s="66"/>
      <c r="L213" s="36"/>
      <c r="M213" s="36"/>
    </row>
    <row r="214" spans="1:13">
      <c r="A214" s="66"/>
      <c r="B214" s="66"/>
      <c r="C214" s="66"/>
      <c r="D214" s="66"/>
      <c r="E214" s="66"/>
      <c r="F214" s="67"/>
      <c r="G214" s="67"/>
      <c r="H214" s="66"/>
      <c r="I214" s="66"/>
      <c r="J214" s="66"/>
      <c r="K214" s="66"/>
      <c r="L214" s="36"/>
      <c r="M214" s="36"/>
    </row>
    <row r="215" spans="1:13">
      <c r="A215" s="66"/>
      <c r="B215" s="66"/>
      <c r="C215" s="66"/>
      <c r="D215" s="66"/>
      <c r="E215" s="66"/>
      <c r="F215" s="67"/>
      <c r="G215" s="67"/>
      <c r="H215" s="66"/>
      <c r="I215" s="66"/>
      <c r="J215" s="66"/>
      <c r="K215" s="66"/>
      <c r="L215" s="36"/>
      <c r="M215" s="36"/>
    </row>
    <row r="216" spans="1:13">
      <c r="A216" s="66"/>
      <c r="B216" s="66"/>
      <c r="C216" s="66"/>
      <c r="D216" s="66"/>
      <c r="E216" s="66"/>
      <c r="F216" s="67"/>
      <c r="G216" s="67"/>
      <c r="H216" s="66"/>
      <c r="I216" s="66"/>
      <c r="J216" s="66"/>
      <c r="K216" s="66"/>
      <c r="L216" s="36"/>
      <c r="M216" s="36"/>
    </row>
    <row r="217" spans="1:13">
      <c r="A217" s="66"/>
      <c r="B217" s="66"/>
      <c r="C217" s="66"/>
      <c r="D217" s="66"/>
      <c r="E217" s="66"/>
      <c r="F217" s="67"/>
      <c r="G217" s="67"/>
      <c r="H217" s="66"/>
      <c r="I217" s="66"/>
      <c r="J217" s="66"/>
      <c r="K217" s="66"/>
      <c r="L217" s="36"/>
      <c r="M217" s="36"/>
    </row>
    <row r="218" spans="1:13">
      <c r="A218" s="66"/>
      <c r="B218" s="66"/>
      <c r="C218" s="66"/>
      <c r="D218" s="66"/>
      <c r="E218" s="66"/>
      <c r="F218" s="67"/>
      <c r="G218" s="67"/>
      <c r="H218" s="66"/>
      <c r="I218" s="66"/>
      <c r="J218" s="66"/>
      <c r="K218" s="66"/>
      <c r="L218" s="36"/>
      <c r="M218" s="36"/>
    </row>
    <row r="219" spans="1:13">
      <c r="A219" s="66"/>
      <c r="B219" s="66"/>
      <c r="C219" s="66"/>
      <c r="D219" s="66"/>
      <c r="E219" s="66"/>
      <c r="F219" s="67"/>
      <c r="G219" s="67"/>
      <c r="H219" s="66"/>
      <c r="I219" s="66"/>
      <c r="J219" s="66"/>
      <c r="K219" s="66"/>
      <c r="L219" s="36"/>
      <c r="M219" s="36"/>
    </row>
    <row r="220" spans="1:13">
      <c r="A220" s="66"/>
      <c r="B220" s="66"/>
      <c r="C220" s="66"/>
      <c r="D220" s="66"/>
      <c r="E220" s="66"/>
      <c r="F220" s="67"/>
      <c r="G220" s="67"/>
      <c r="H220" s="66"/>
      <c r="I220" s="66"/>
      <c r="J220" s="66"/>
      <c r="K220" s="66"/>
      <c r="L220" s="36"/>
      <c r="M220" s="36"/>
    </row>
    <row r="221" spans="1:13">
      <c r="A221" s="66"/>
      <c r="B221" s="66"/>
      <c r="C221" s="66"/>
      <c r="D221" s="66"/>
      <c r="E221" s="66"/>
      <c r="F221" s="67"/>
      <c r="G221" s="67"/>
      <c r="H221" s="66"/>
      <c r="I221" s="66"/>
      <c r="J221" s="66"/>
      <c r="K221" s="66"/>
      <c r="L221" s="36"/>
      <c r="M221" s="36"/>
    </row>
    <row r="222" spans="1:13">
      <c r="A222" s="66"/>
      <c r="B222" s="66"/>
      <c r="C222" s="66"/>
      <c r="D222" s="66"/>
      <c r="E222" s="66"/>
      <c r="F222" s="67"/>
      <c r="G222" s="67"/>
      <c r="H222" s="66"/>
      <c r="I222" s="66"/>
      <c r="J222" s="66"/>
      <c r="K222" s="66"/>
      <c r="L222" s="36"/>
      <c r="M222" s="36"/>
    </row>
    <row r="223" spans="1:13">
      <c r="A223" s="66"/>
      <c r="B223" s="66"/>
      <c r="C223" s="66"/>
      <c r="D223" s="66"/>
      <c r="E223" s="66"/>
      <c r="F223" s="67"/>
      <c r="G223" s="67"/>
      <c r="H223" s="66"/>
      <c r="I223" s="66"/>
      <c r="J223" s="66"/>
      <c r="K223" s="66"/>
      <c r="L223" s="36"/>
      <c r="M223" s="36"/>
    </row>
    <row r="224" spans="1:13">
      <c r="A224" s="66"/>
      <c r="B224" s="66"/>
      <c r="C224" s="66"/>
      <c r="D224" s="66"/>
      <c r="E224" s="66"/>
      <c r="F224" s="67"/>
      <c r="G224" s="67"/>
      <c r="H224" s="66"/>
      <c r="I224" s="66"/>
      <c r="J224" s="66"/>
      <c r="K224" s="66"/>
      <c r="L224" s="36"/>
      <c r="M224" s="36"/>
    </row>
    <row r="225" spans="1:13">
      <c r="A225" s="66"/>
      <c r="B225" s="66"/>
      <c r="C225" s="66"/>
      <c r="D225" s="66"/>
      <c r="E225" s="66"/>
      <c r="F225" s="67"/>
      <c r="G225" s="67"/>
      <c r="H225" s="66"/>
      <c r="I225" s="66"/>
      <c r="J225" s="66"/>
      <c r="K225" s="66"/>
      <c r="L225" s="36"/>
      <c r="M225" s="36"/>
    </row>
    <row r="226" spans="1:13">
      <c r="A226" s="66"/>
      <c r="B226" s="66"/>
      <c r="C226" s="66"/>
      <c r="D226" s="66"/>
      <c r="E226" s="66"/>
      <c r="F226" s="67"/>
      <c r="G226" s="67"/>
      <c r="H226" s="66"/>
      <c r="I226" s="66"/>
      <c r="J226" s="66"/>
      <c r="K226" s="66"/>
      <c r="L226" s="36"/>
      <c r="M226" s="36"/>
    </row>
    <row r="227" spans="1:13">
      <c r="A227" s="66"/>
      <c r="B227" s="66"/>
      <c r="C227" s="66"/>
      <c r="D227" s="66"/>
      <c r="E227" s="66"/>
      <c r="F227" s="67"/>
      <c r="G227" s="67"/>
      <c r="H227" s="66"/>
      <c r="I227" s="66"/>
      <c r="J227" s="66"/>
      <c r="K227" s="66"/>
      <c r="L227" s="36"/>
      <c r="M227" s="36"/>
    </row>
    <row r="228" spans="1:13">
      <c r="A228" s="66"/>
      <c r="B228" s="66"/>
      <c r="C228" s="66"/>
      <c r="D228" s="66"/>
      <c r="E228" s="66"/>
      <c r="F228" s="67"/>
      <c r="G228" s="67"/>
      <c r="H228" s="66"/>
      <c r="I228" s="66"/>
      <c r="J228" s="66"/>
      <c r="K228" s="66"/>
      <c r="L228" s="36"/>
      <c r="M228" s="36"/>
    </row>
    <row r="229" spans="1:13">
      <c r="A229" s="66"/>
      <c r="B229" s="66"/>
      <c r="C229" s="66"/>
      <c r="D229" s="66"/>
      <c r="E229" s="66"/>
      <c r="F229" s="67"/>
      <c r="G229" s="67"/>
      <c r="H229" s="66"/>
      <c r="I229" s="66"/>
      <c r="J229" s="66"/>
      <c r="K229" s="66"/>
      <c r="L229" s="36"/>
      <c r="M229" s="36"/>
    </row>
    <row r="230" spans="1:13">
      <c r="A230" s="66"/>
      <c r="B230" s="66"/>
      <c r="C230" s="66"/>
      <c r="D230" s="66"/>
      <c r="E230" s="66"/>
      <c r="F230" s="67"/>
      <c r="G230" s="67"/>
      <c r="H230" s="66"/>
      <c r="I230" s="66"/>
      <c r="J230" s="66"/>
      <c r="K230" s="66"/>
      <c r="L230" s="36"/>
      <c r="M230" s="36"/>
    </row>
    <row r="231" spans="1:13">
      <c r="A231" s="66"/>
      <c r="B231" s="66"/>
      <c r="C231" s="66"/>
      <c r="D231" s="66"/>
      <c r="E231" s="66"/>
      <c r="F231" s="67"/>
      <c r="G231" s="67"/>
      <c r="H231" s="66"/>
      <c r="I231" s="66"/>
      <c r="J231" s="66"/>
      <c r="K231" s="66"/>
      <c r="L231" s="36"/>
      <c r="M231" s="36"/>
    </row>
    <row r="232" spans="1:13">
      <c r="A232" s="66"/>
      <c r="B232" s="66"/>
      <c r="C232" s="66"/>
      <c r="D232" s="66"/>
      <c r="E232" s="66"/>
      <c r="F232" s="67"/>
      <c r="G232" s="67"/>
      <c r="H232" s="66"/>
      <c r="I232" s="66"/>
      <c r="J232" s="66"/>
      <c r="K232" s="66"/>
      <c r="L232" s="36"/>
      <c r="M232" s="36"/>
    </row>
    <row r="233" spans="1:13">
      <c r="A233" s="66"/>
      <c r="B233" s="66"/>
      <c r="C233" s="66"/>
      <c r="D233" s="66"/>
      <c r="E233" s="66"/>
      <c r="F233" s="67"/>
      <c r="G233" s="67"/>
      <c r="H233" s="66"/>
      <c r="I233" s="66"/>
      <c r="J233" s="66"/>
      <c r="K233" s="66"/>
      <c r="L233" s="36"/>
      <c r="M233" s="36"/>
    </row>
    <row r="234" spans="1:13">
      <c r="A234" s="66"/>
      <c r="B234" s="66"/>
      <c r="C234" s="66"/>
      <c r="D234" s="66"/>
      <c r="E234" s="66"/>
      <c r="F234" s="67"/>
      <c r="G234" s="67"/>
      <c r="H234" s="66"/>
      <c r="I234" s="66"/>
      <c r="J234" s="66"/>
      <c r="K234" s="66"/>
      <c r="L234" s="36"/>
      <c r="M234" s="36"/>
    </row>
    <row r="235" spans="1:13">
      <c r="A235" s="66"/>
      <c r="B235" s="66"/>
      <c r="C235" s="66"/>
      <c r="D235" s="66"/>
      <c r="E235" s="66"/>
      <c r="F235" s="67"/>
      <c r="G235" s="67"/>
      <c r="H235" s="66"/>
      <c r="I235" s="66"/>
      <c r="J235" s="66"/>
      <c r="K235" s="66"/>
      <c r="L235" s="36"/>
      <c r="M235" s="36"/>
    </row>
    <row r="236" spans="1:13">
      <c r="A236" s="66"/>
      <c r="B236" s="66"/>
      <c r="C236" s="66"/>
      <c r="D236" s="66"/>
      <c r="E236" s="66"/>
      <c r="F236" s="67"/>
      <c r="G236" s="67"/>
      <c r="H236" s="66"/>
      <c r="I236" s="66"/>
      <c r="J236" s="66"/>
      <c r="K236" s="66"/>
      <c r="L236" s="36"/>
      <c r="M236" s="36"/>
    </row>
    <row r="237" spans="1:13">
      <c r="A237" s="66"/>
      <c r="B237" s="66"/>
      <c r="C237" s="66"/>
      <c r="D237" s="66"/>
      <c r="E237" s="66"/>
      <c r="F237" s="67"/>
      <c r="G237" s="67"/>
      <c r="H237" s="66"/>
      <c r="I237" s="66"/>
      <c r="J237" s="66"/>
      <c r="K237" s="66"/>
      <c r="L237" s="36"/>
      <c r="M237" s="36"/>
    </row>
    <row r="238" spans="1:13">
      <c r="A238" s="66"/>
      <c r="B238" s="66"/>
      <c r="C238" s="66"/>
      <c r="D238" s="66"/>
      <c r="E238" s="66"/>
      <c r="F238" s="67"/>
      <c r="G238" s="67"/>
      <c r="H238" s="66"/>
      <c r="I238" s="66"/>
      <c r="J238" s="66"/>
      <c r="K238" s="66"/>
      <c r="L238" s="36"/>
      <c r="M238" s="36"/>
    </row>
    <row r="239" spans="1:13">
      <c r="A239" s="66"/>
      <c r="B239" s="66"/>
      <c r="C239" s="66"/>
      <c r="D239" s="66"/>
      <c r="E239" s="66"/>
      <c r="F239" s="67"/>
      <c r="G239" s="67"/>
      <c r="H239" s="66"/>
      <c r="I239" s="66"/>
      <c r="J239" s="66"/>
      <c r="K239" s="66"/>
      <c r="L239" s="36"/>
      <c r="M239" s="36"/>
    </row>
    <row r="240" spans="1:13">
      <c r="A240" s="66"/>
      <c r="B240" s="66"/>
      <c r="C240" s="66"/>
      <c r="D240" s="66"/>
      <c r="E240" s="66"/>
      <c r="F240" s="67"/>
      <c r="G240" s="67"/>
      <c r="H240" s="66"/>
      <c r="I240" s="66"/>
      <c r="J240" s="66"/>
      <c r="K240" s="66"/>
      <c r="L240" s="36"/>
      <c r="M240" s="36"/>
    </row>
    <row r="241" spans="1:13">
      <c r="A241" s="66"/>
      <c r="B241" s="66"/>
      <c r="C241" s="66"/>
      <c r="D241" s="66"/>
      <c r="E241" s="66"/>
      <c r="F241" s="67"/>
      <c r="G241" s="67"/>
      <c r="H241" s="66"/>
      <c r="I241" s="66"/>
      <c r="J241" s="66"/>
      <c r="K241" s="66"/>
      <c r="L241" s="36"/>
      <c r="M241" s="36"/>
    </row>
    <row r="242" spans="1:13">
      <c r="A242" s="66"/>
      <c r="B242" s="66"/>
      <c r="C242" s="66"/>
      <c r="D242" s="66"/>
      <c r="E242" s="66"/>
      <c r="F242" s="67"/>
      <c r="G242" s="67"/>
      <c r="H242" s="66"/>
      <c r="I242" s="66"/>
      <c r="J242" s="66"/>
      <c r="K242" s="66"/>
      <c r="L242" s="36"/>
      <c r="M242" s="36"/>
    </row>
    <row r="243" spans="1:13">
      <c r="A243" s="66"/>
      <c r="B243" s="66"/>
      <c r="C243" s="66"/>
      <c r="D243" s="66"/>
      <c r="E243" s="66"/>
      <c r="F243" s="67"/>
      <c r="G243" s="67"/>
      <c r="H243" s="66"/>
      <c r="I243" s="66"/>
      <c r="J243" s="66"/>
      <c r="K243" s="66"/>
      <c r="L243" s="36"/>
      <c r="M243" s="36"/>
    </row>
    <row r="244" spans="1:13">
      <c r="A244" s="66"/>
      <c r="B244" s="66"/>
      <c r="C244" s="66"/>
      <c r="D244" s="66"/>
      <c r="E244" s="66"/>
      <c r="F244" s="67"/>
      <c r="G244" s="67"/>
      <c r="H244" s="66"/>
      <c r="I244" s="66"/>
      <c r="J244" s="66"/>
      <c r="K244" s="66"/>
      <c r="L244" s="36"/>
      <c r="M244" s="36"/>
    </row>
    <row r="245" spans="1:13">
      <c r="A245" s="66"/>
      <c r="B245" s="66"/>
      <c r="C245" s="66"/>
      <c r="D245" s="66"/>
      <c r="E245" s="66"/>
      <c r="F245" s="67"/>
      <c r="G245" s="67"/>
      <c r="H245" s="66"/>
      <c r="I245" s="66"/>
      <c r="J245" s="66"/>
      <c r="K245" s="66"/>
      <c r="L245" s="36"/>
      <c r="M245" s="36"/>
    </row>
    <row r="246" spans="1:13">
      <c r="A246" s="66"/>
      <c r="B246" s="66"/>
      <c r="C246" s="66"/>
      <c r="D246" s="66"/>
      <c r="E246" s="66"/>
      <c r="F246" s="67"/>
      <c r="G246" s="67"/>
      <c r="H246" s="66"/>
      <c r="I246" s="66"/>
      <c r="J246" s="66"/>
      <c r="K246" s="66"/>
      <c r="L246" s="36"/>
      <c r="M246" s="36"/>
    </row>
    <row r="247" spans="1:13">
      <c r="A247" s="66"/>
      <c r="B247" s="66"/>
      <c r="C247" s="66"/>
      <c r="D247" s="66"/>
      <c r="E247" s="66"/>
      <c r="F247" s="67"/>
      <c r="G247" s="67"/>
      <c r="H247" s="66"/>
      <c r="I247" s="66"/>
      <c r="J247" s="66"/>
      <c r="K247" s="66"/>
      <c r="L247" s="36"/>
      <c r="M247" s="36"/>
    </row>
    <row r="248" spans="1:13">
      <c r="A248" s="66"/>
      <c r="B248" s="66"/>
      <c r="C248" s="66"/>
      <c r="D248" s="66"/>
      <c r="E248" s="66"/>
      <c r="F248" s="67"/>
      <c r="G248" s="67"/>
      <c r="H248" s="66"/>
      <c r="I248" s="66"/>
      <c r="J248" s="66"/>
      <c r="K248" s="66"/>
      <c r="L248" s="36"/>
      <c r="M248" s="36"/>
    </row>
    <row r="249" spans="1:13">
      <c r="A249" s="66"/>
      <c r="B249" s="66"/>
      <c r="C249" s="66"/>
      <c r="D249" s="66"/>
      <c r="E249" s="66"/>
      <c r="F249" s="67"/>
      <c r="G249" s="67"/>
      <c r="H249" s="66"/>
      <c r="I249" s="66"/>
      <c r="J249" s="66"/>
      <c r="K249" s="66"/>
      <c r="L249" s="36"/>
      <c r="M249" s="36"/>
    </row>
    <row r="250" spans="1:13">
      <c r="A250" s="66"/>
      <c r="B250" s="66"/>
      <c r="C250" s="66"/>
      <c r="D250" s="66"/>
      <c r="E250" s="66"/>
      <c r="F250" s="67"/>
      <c r="G250" s="67"/>
      <c r="H250" s="66"/>
      <c r="I250" s="66"/>
      <c r="J250" s="66"/>
      <c r="K250" s="66"/>
      <c r="L250" s="36"/>
      <c r="M250" s="36"/>
    </row>
    <row r="251" spans="1:13">
      <c r="A251" s="66"/>
      <c r="B251" s="66"/>
      <c r="C251" s="66"/>
      <c r="D251" s="66"/>
      <c r="E251" s="66"/>
      <c r="F251" s="67"/>
      <c r="G251" s="67"/>
      <c r="H251" s="66"/>
      <c r="I251" s="66"/>
      <c r="J251" s="66"/>
      <c r="K251" s="66"/>
      <c r="L251" s="36"/>
      <c r="M251" s="36"/>
    </row>
    <row r="252" spans="1:13">
      <c r="A252" s="66"/>
      <c r="B252" s="66"/>
      <c r="C252" s="66"/>
      <c r="D252" s="66"/>
      <c r="E252" s="66"/>
      <c r="F252" s="67"/>
      <c r="G252" s="67"/>
      <c r="H252" s="66"/>
      <c r="I252" s="66"/>
      <c r="J252" s="66"/>
      <c r="K252" s="66"/>
      <c r="L252" s="36"/>
      <c r="M252" s="36"/>
    </row>
    <row r="253" spans="1:13">
      <c r="A253" s="66"/>
      <c r="B253" s="66"/>
      <c r="C253" s="66"/>
      <c r="D253" s="66"/>
      <c r="E253" s="66"/>
      <c r="F253" s="67"/>
      <c r="G253" s="67"/>
      <c r="H253" s="66"/>
      <c r="I253" s="66"/>
      <c r="J253" s="66"/>
      <c r="K253" s="66"/>
      <c r="L253" s="36"/>
      <c r="M253" s="36"/>
    </row>
    <row r="254" spans="1:13">
      <c r="A254" s="66"/>
      <c r="B254" s="66"/>
      <c r="C254" s="66"/>
      <c r="D254" s="66"/>
      <c r="E254" s="66"/>
      <c r="F254" s="67"/>
      <c r="G254" s="67"/>
      <c r="H254" s="66"/>
      <c r="I254" s="66"/>
      <c r="J254" s="66"/>
      <c r="K254" s="66"/>
      <c r="L254" s="36"/>
      <c r="M254" s="36"/>
    </row>
    <row r="255" spans="1:13">
      <c r="A255" s="66"/>
      <c r="B255" s="66"/>
      <c r="C255" s="66"/>
      <c r="D255" s="66"/>
      <c r="E255" s="66"/>
      <c r="F255" s="67"/>
      <c r="G255" s="67"/>
      <c r="H255" s="66"/>
      <c r="I255" s="66"/>
      <c r="J255" s="66"/>
      <c r="K255" s="66"/>
      <c r="L255" s="36"/>
      <c r="M255" s="36"/>
    </row>
    <row r="256" spans="1:13">
      <c r="A256" s="66"/>
      <c r="B256" s="66"/>
      <c r="C256" s="66"/>
      <c r="D256" s="66"/>
      <c r="E256" s="66"/>
      <c r="F256" s="67"/>
      <c r="G256" s="67"/>
      <c r="H256" s="66"/>
      <c r="I256" s="66"/>
      <c r="J256" s="66"/>
      <c r="K256" s="66"/>
      <c r="L256" s="36"/>
      <c r="M256" s="36"/>
    </row>
    <row r="257" spans="1:13">
      <c r="A257" s="66"/>
      <c r="B257" s="66"/>
      <c r="C257" s="66"/>
      <c r="D257" s="66"/>
      <c r="E257" s="66"/>
      <c r="F257" s="67"/>
      <c r="G257" s="67"/>
      <c r="H257" s="66"/>
      <c r="I257" s="66"/>
      <c r="J257" s="66"/>
      <c r="K257" s="66"/>
      <c r="L257" s="36"/>
      <c r="M257" s="36"/>
    </row>
    <row r="258" spans="1:13">
      <c r="A258" s="66"/>
      <c r="B258" s="66"/>
      <c r="C258" s="66"/>
      <c r="D258" s="66"/>
      <c r="E258" s="66"/>
      <c r="F258" s="67"/>
      <c r="G258" s="67"/>
      <c r="H258" s="66"/>
      <c r="I258" s="66"/>
      <c r="J258" s="66"/>
      <c r="K258" s="66"/>
      <c r="L258" s="36"/>
      <c r="M258" s="36"/>
    </row>
    <row r="259" spans="1:13">
      <c r="A259" s="66"/>
      <c r="B259" s="66"/>
      <c r="C259" s="66"/>
      <c r="D259" s="66"/>
      <c r="E259" s="66"/>
      <c r="F259" s="67"/>
      <c r="G259" s="67"/>
      <c r="H259" s="66"/>
      <c r="I259" s="66"/>
      <c r="J259" s="66"/>
      <c r="K259" s="66"/>
      <c r="L259" s="36"/>
      <c r="M259" s="36"/>
    </row>
    <row r="260" spans="1:13">
      <c r="A260" s="66"/>
      <c r="B260" s="66"/>
      <c r="C260" s="66"/>
      <c r="D260" s="66"/>
      <c r="E260" s="66"/>
      <c r="F260" s="67"/>
      <c r="G260" s="67"/>
      <c r="H260" s="66"/>
      <c r="I260" s="66"/>
      <c r="J260" s="66"/>
      <c r="K260" s="66"/>
      <c r="L260" s="36"/>
      <c r="M260" s="36"/>
    </row>
    <row r="261" spans="1:13">
      <c r="A261" s="66"/>
      <c r="B261" s="66"/>
      <c r="C261" s="66"/>
      <c r="D261" s="66"/>
      <c r="E261" s="66"/>
      <c r="F261" s="67"/>
      <c r="G261" s="67"/>
      <c r="H261" s="66"/>
      <c r="I261" s="66"/>
      <c r="J261" s="66"/>
      <c r="K261" s="66"/>
      <c r="L261" s="36"/>
      <c r="M261" s="36"/>
    </row>
    <row r="262" spans="1:13">
      <c r="A262" s="66"/>
      <c r="B262" s="66"/>
      <c r="C262" s="66"/>
      <c r="D262" s="66"/>
      <c r="E262" s="66"/>
      <c r="F262" s="67"/>
      <c r="G262" s="67"/>
      <c r="H262" s="66"/>
      <c r="I262" s="66"/>
      <c r="J262" s="66"/>
      <c r="K262" s="66"/>
      <c r="L262" s="36"/>
      <c r="M262" s="36"/>
    </row>
    <row r="263" spans="1:13">
      <c r="A263" s="66"/>
      <c r="B263" s="66"/>
      <c r="C263" s="66"/>
      <c r="D263" s="66"/>
      <c r="E263" s="66"/>
      <c r="F263" s="67"/>
      <c r="G263" s="67"/>
      <c r="H263" s="66"/>
      <c r="I263" s="66"/>
      <c r="J263" s="66"/>
      <c r="K263" s="66"/>
      <c r="L263" s="36"/>
      <c r="M263" s="36"/>
    </row>
    <row r="264" spans="1:13">
      <c r="A264" s="66"/>
      <c r="B264" s="66"/>
      <c r="C264" s="66"/>
      <c r="D264" s="66"/>
      <c r="E264" s="66"/>
      <c r="F264" s="67"/>
      <c r="G264" s="67"/>
      <c r="H264" s="66"/>
      <c r="I264" s="66"/>
      <c r="J264" s="66"/>
      <c r="K264" s="66"/>
      <c r="L264" s="36"/>
      <c r="M264" s="36"/>
    </row>
    <row r="265" spans="1:13">
      <c r="A265" s="66"/>
      <c r="B265" s="66"/>
      <c r="C265" s="66"/>
      <c r="D265" s="66"/>
      <c r="E265" s="66"/>
      <c r="F265" s="67"/>
      <c r="G265" s="67"/>
      <c r="H265" s="66"/>
      <c r="I265" s="66"/>
      <c r="J265" s="66"/>
      <c r="K265" s="66"/>
      <c r="L265" s="36"/>
      <c r="M265" s="36"/>
    </row>
    <row r="266" spans="1:13">
      <c r="A266" s="66"/>
      <c r="B266" s="66"/>
      <c r="C266" s="66"/>
      <c r="D266" s="66"/>
      <c r="E266" s="66"/>
      <c r="F266" s="67"/>
      <c r="G266" s="67"/>
      <c r="H266" s="66"/>
      <c r="I266" s="66"/>
      <c r="J266" s="66"/>
      <c r="K266" s="66"/>
      <c r="L266" s="36"/>
      <c r="M266" s="36"/>
    </row>
    <row r="267" spans="1:13">
      <c r="A267" s="66"/>
      <c r="B267" s="66"/>
      <c r="C267" s="66"/>
      <c r="D267" s="66"/>
      <c r="E267" s="66"/>
      <c r="F267" s="67"/>
      <c r="G267" s="67"/>
      <c r="H267" s="66"/>
      <c r="I267" s="66"/>
      <c r="J267" s="66"/>
      <c r="K267" s="66"/>
      <c r="L267" s="36"/>
      <c r="M267" s="36"/>
    </row>
    <row r="268" spans="1:13">
      <c r="A268" s="66"/>
      <c r="B268" s="66"/>
      <c r="C268" s="66"/>
      <c r="D268" s="66"/>
      <c r="E268" s="66"/>
      <c r="F268" s="67"/>
      <c r="G268" s="67"/>
      <c r="H268" s="66"/>
      <c r="I268" s="66"/>
      <c r="J268" s="66"/>
      <c r="K268" s="66"/>
      <c r="L268" s="36"/>
      <c r="M268" s="36"/>
    </row>
    <row r="269" spans="1:13">
      <c r="A269" s="66"/>
      <c r="B269" s="66"/>
      <c r="C269" s="66"/>
      <c r="D269" s="66"/>
      <c r="E269" s="66"/>
      <c r="F269" s="67"/>
      <c r="G269" s="67"/>
      <c r="H269" s="66"/>
      <c r="I269" s="66"/>
      <c r="J269" s="66"/>
      <c r="K269" s="66"/>
      <c r="L269" s="36"/>
      <c r="M269" s="36"/>
    </row>
    <row r="270" spans="1:13">
      <c r="A270" s="66"/>
      <c r="B270" s="66"/>
      <c r="C270" s="66"/>
      <c r="D270" s="66"/>
      <c r="E270" s="66"/>
      <c r="F270" s="67"/>
      <c r="G270" s="67"/>
      <c r="H270" s="66"/>
      <c r="I270" s="66"/>
      <c r="J270" s="66"/>
      <c r="K270" s="66"/>
      <c r="L270" s="36"/>
      <c r="M270" s="36"/>
    </row>
    <row r="271" spans="1:13">
      <c r="A271" s="66"/>
      <c r="B271" s="66"/>
      <c r="C271" s="66"/>
      <c r="D271" s="66"/>
      <c r="E271" s="66"/>
      <c r="F271" s="67"/>
      <c r="G271" s="67"/>
      <c r="H271" s="66"/>
      <c r="I271" s="66"/>
      <c r="J271" s="66"/>
      <c r="K271" s="66"/>
      <c r="L271" s="36"/>
      <c r="M271" s="36"/>
    </row>
    <row r="272" spans="1:13">
      <c r="A272" s="66"/>
      <c r="B272" s="66"/>
      <c r="C272" s="66"/>
      <c r="D272" s="66"/>
      <c r="E272" s="66"/>
      <c r="F272" s="67"/>
      <c r="G272" s="67"/>
      <c r="H272" s="66"/>
      <c r="I272" s="66"/>
      <c r="J272" s="66"/>
      <c r="K272" s="66"/>
      <c r="L272" s="36"/>
      <c r="M272" s="36"/>
    </row>
    <row r="273" spans="1:13">
      <c r="A273" s="66"/>
      <c r="B273" s="66"/>
      <c r="C273" s="66"/>
      <c r="D273" s="66"/>
      <c r="E273" s="66"/>
      <c r="F273" s="67"/>
      <c r="G273" s="67"/>
      <c r="H273" s="66"/>
      <c r="I273" s="66"/>
      <c r="J273" s="66"/>
      <c r="K273" s="66"/>
      <c r="L273" s="36"/>
      <c r="M273" s="36"/>
    </row>
    <row r="274" spans="1:13">
      <c r="A274" s="66"/>
      <c r="B274" s="66"/>
      <c r="C274" s="66"/>
      <c r="D274" s="66"/>
      <c r="E274" s="66"/>
      <c r="F274" s="67"/>
      <c r="G274" s="67"/>
      <c r="H274" s="66"/>
      <c r="I274" s="66"/>
      <c r="J274" s="66"/>
      <c r="K274" s="66"/>
      <c r="L274" s="36"/>
      <c r="M274" s="36"/>
    </row>
    <row r="275" spans="1:13">
      <c r="A275" s="66"/>
      <c r="B275" s="66"/>
      <c r="C275" s="66"/>
      <c r="D275" s="66"/>
      <c r="E275" s="66"/>
      <c r="F275" s="67"/>
      <c r="G275" s="67"/>
      <c r="H275" s="66"/>
      <c r="I275" s="66"/>
      <c r="J275" s="66"/>
      <c r="K275" s="66"/>
      <c r="L275" s="36"/>
      <c r="M275" s="36"/>
    </row>
    <row r="276" spans="1:13">
      <c r="A276" s="66"/>
      <c r="B276" s="66"/>
      <c r="C276" s="66"/>
      <c r="D276" s="66"/>
      <c r="E276" s="66"/>
      <c r="F276" s="67"/>
      <c r="G276" s="67"/>
      <c r="H276" s="66"/>
      <c r="I276" s="66"/>
      <c r="J276" s="66"/>
      <c r="K276" s="66"/>
      <c r="L276" s="36"/>
      <c r="M276" s="36"/>
    </row>
    <row r="277" spans="1:13">
      <c r="A277" s="66"/>
      <c r="B277" s="66"/>
      <c r="C277" s="66"/>
      <c r="D277" s="66"/>
      <c r="E277" s="66"/>
      <c r="F277" s="67"/>
      <c r="G277" s="67"/>
      <c r="H277" s="66"/>
      <c r="I277" s="66"/>
      <c r="J277" s="66"/>
      <c r="K277" s="66"/>
      <c r="L277" s="36"/>
      <c r="M277" s="36"/>
    </row>
    <row r="278" spans="1:13">
      <c r="A278" s="66"/>
      <c r="B278" s="66"/>
      <c r="C278" s="66"/>
      <c r="D278" s="66"/>
      <c r="E278" s="66"/>
      <c r="F278" s="67"/>
      <c r="G278" s="67"/>
      <c r="H278" s="66"/>
      <c r="I278" s="66"/>
      <c r="J278" s="66"/>
      <c r="K278" s="66"/>
      <c r="L278" s="36"/>
      <c r="M278" s="36"/>
    </row>
    <row r="279" spans="1:13">
      <c r="A279" s="66"/>
      <c r="B279" s="66"/>
      <c r="C279" s="66"/>
      <c r="D279" s="66"/>
      <c r="E279" s="66"/>
      <c r="F279" s="67"/>
      <c r="G279" s="67"/>
      <c r="H279" s="66"/>
      <c r="I279" s="66"/>
      <c r="J279" s="66"/>
      <c r="K279" s="66"/>
      <c r="L279" s="36"/>
      <c r="M279" s="36"/>
    </row>
    <row r="280" spans="1:13">
      <c r="A280" s="66"/>
      <c r="B280" s="66"/>
      <c r="C280" s="66"/>
      <c r="D280" s="66"/>
      <c r="E280" s="66"/>
      <c r="F280" s="67"/>
      <c r="G280" s="67"/>
      <c r="H280" s="66"/>
      <c r="I280" s="66"/>
      <c r="J280" s="66"/>
      <c r="K280" s="66"/>
      <c r="L280" s="36"/>
      <c r="M280" s="36"/>
    </row>
    <row r="281" spans="1:13">
      <c r="A281" s="66"/>
      <c r="B281" s="66"/>
      <c r="C281" s="66"/>
      <c r="D281" s="66"/>
      <c r="E281" s="66"/>
      <c r="F281" s="67"/>
      <c r="G281" s="67"/>
      <c r="H281" s="66"/>
      <c r="I281" s="66"/>
      <c r="J281" s="66"/>
      <c r="K281" s="66"/>
      <c r="L281" s="36"/>
      <c r="M281" s="36"/>
    </row>
    <row r="282" spans="1:13">
      <c r="A282" s="66"/>
      <c r="B282" s="66"/>
      <c r="C282" s="66"/>
      <c r="D282" s="66"/>
      <c r="E282" s="66"/>
      <c r="F282" s="67"/>
      <c r="G282" s="67"/>
      <c r="H282" s="66"/>
      <c r="I282" s="66"/>
      <c r="J282" s="66"/>
      <c r="K282" s="66"/>
      <c r="L282" s="36"/>
      <c r="M282" s="36"/>
    </row>
    <row r="283" spans="1:13">
      <c r="A283" s="66"/>
      <c r="B283" s="66"/>
      <c r="C283" s="66"/>
      <c r="D283" s="66"/>
      <c r="E283" s="66"/>
      <c r="F283" s="67"/>
      <c r="G283" s="67"/>
      <c r="H283" s="66"/>
      <c r="I283" s="66"/>
      <c r="J283" s="66"/>
      <c r="K283" s="66"/>
      <c r="L283" s="36"/>
      <c r="M283" s="36"/>
    </row>
    <row r="284" spans="1:13">
      <c r="A284" s="66"/>
      <c r="B284" s="66"/>
      <c r="C284" s="66"/>
      <c r="D284" s="66"/>
      <c r="E284" s="66"/>
      <c r="F284" s="67"/>
      <c r="G284" s="67"/>
      <c r="H284" s="66"/>
      <c r="I284" s="66"/>
      <c r="J284" s="66"/>
      <c r="K284" s="66"/>
      <c r="L284" s="36"/>
      <c r="M284" s="36"/>
    </row>
    <row r="285" spans="1:13">
      <c r="A285" s="66"/>
      <c r="B285" s="66"/>
      <c r="C285" s="66"/>
      <c r="D285" s="66"/>
      <c r="E285" s="66"/>
      <c r="F285" s="67"/>
      <c r="G285" s="67"/>
      <c r="H285" s="66"/>
      <c r="I285" s="66"/>
      <c r="J285" s="66"/>
      <c r="K285" s="66"/>
      <c r="L285" s="36"/>
      <c r="M285" s="36"/>
    </row>
    <row r="286" spans="1:13">
      <c r="A286" s="66"/>
      <c r="B286" s="66"/>
      <c r="C286" s="66"/>
      <c r="D286" s="66"/>
      <c r="E286" s="66"/>
      <c r="F286" s="67"/>
      <c r="G286" s="67"/>
      <c r="H286" s="66"/>
      <c r="I286" s="66"/>
      <c r="J286" s="66"/>
      <c r="K286" s="66"/>
      <c r="L286" s="36"/>
      <c r="M286" s="36"/>
    </row>
    <row r="287" spans="1:13">
      <c r="A287" s="66"/>
      <c r="B287" s="66"/>
      <c r="C287" s="66"/>
      <c r="D287" s="66"/>
      <c r="E287" s="66"/>
      <c r="F287" s="67"/>
      <c r="G287" s="67"/>
      <c r="H287" s="66"/>
      <c r="I287" s="66"/>
      <c r="J287" s="66"/>
      <c r="K287" s="66"/>
      <c r="L287" s="36"/>
      <c r="M287" s="36"/>
    </row>
    <row r="288" spans="1:13">
      <c r="A288" s="66"/>
      <c r="B288" s="66"/>
      <c r="C288" s="66"/>
      <c r="D288" s="66"/>
      <c r="E288" s="66"/>
      <c r="F288" s="67"/>
      <c r="G288" s="67"/>
      <c r="H288" s="66"/>
      <c r="I288" s="66"/>
      <c r="J288" s="66"/>
      <c r="K288" s="66"/>
      <c r="L288" s="36"/>
      <c r="M288" s="36"/>
    </row>
    <row r="289" spans="1:13">
      <c r="A289" s="66"/>
      <c r="B289" s="66"/>
      <c r="C289" s="66"/>
      <c r="D289" s="66"/>
      <c r="E289" s="66"/>
      <c r="F289" s="67"/>
      <c r="G289" s="67"/>
      <c r="H289" s="66"/>
      <c r="I289" s="66"/>
      <c r="J289" s="66"/>
      <c r="K289" s="66"/>
      <c r="L289" s="36"/>
      <c r="M289" s="36"/>
    </row>
    <row r="290" spans="1:13">
      <c r="A290" s="66"/>
      <c r="B290" s="66"/>
      <c r="C290" s="66"/>
      <c r="D290" s="66"/>
      <c r="E290" s="66"/>
      <c r="F290" s="67"/>
      <c r="G290" s="67"/>
      <c r="H290" s="66"/>
      <c r="I290" s="66"/>
      <c r="J290" s="66"/>
      <c r="K290" s="66"/>
      <c r="L290" s="36"/>
      <c r="M290" s="36"/>
    </row>
    <row r="291" spans="1:13">
      <c r="A291" s="66"/>
      <c r="B291" s="66"/>
      <c r="C291" s="66"/>
      <c r="D291" s="66"/>
      <c r="E291" s="66"/>
      <c r="F291" s="67"/>
      <c r="G291" s="67"/>
      <c r="H291" s="66"/>
      <c r="I291" s="66"/>
      <c r="J291" s="66"/>
      <c r="K291" s="66"/>
      <c r="L291" s="36"/>
      <c r="M291" s="36"/>
    </row>
    <row r="292" spans="1:13">
      <c r="A292" s="66"/>
      <c r="B292" s="66"/>
      <c r="C292" s="66"/>
      <c r="D292" s="66"/>
      <c r="E292" s="66"/>
      <c r="F292" s="67"/>
      <c r="G292" s="67"/>
      <c r="H292" s="66"/>
      <c r="I292" s="66"/>
      <c r="J292" s="66"/>
      <c r="K292" s="66"/>
      <c r="L292" s="36"/>
      <c r="M292" s="36"/>
    </row>
    <row r="293" spans="1:13">
      <c r="A293" s="66"/>
      <c r="B293" s="66"/>
      <c r="C293" s="66"/>
      <c r="D293" s="66"/>
      <c r="E293" s="66"/>
      <c r="F293" s="67"/>
      <c r="G293" s="67"/>
      <c r="H293" s="66"/>
      <c r="I293" s="66"/>
      <c r="J293" s="66"/>
      <c r="K293" s="66"/>
      <c r="L293" s="36"/>
      <c r="M293" s="36"/>
    </row>
    <row r="294" spans="1:13">
      <c r="A294" s="66"/>
      <c r="B294" s="66"/>
      <c r="C294" s="66"/>
      <c r="D294" s="66"/>
      <c r="E294" s="66"/>
      <c r="F294" s="67"/>
      <c r="G294" s="67"/>
      <c r="H294" s="66"/>
      <c r="I294" s="66"/>
      <c r="J294" s="66"/>
      <c r="K294" s="66"/>
      <c r="L294" s="36"/>
      <c r="M294" s="36"/>
    </row>
    <row r="295" spans="1:13">
      <c r="A295" s="66"/>
      <c r="B295" s="66"/>
      <c r="C295" s="66"/>
      <c r="D295" s="66"/>
      <c r="E295" s="66"/>
      <c r="F295" s="67"/>
      <c r="G295" s="67"/>
      <c r="H295" s="66"/>
      <c r="I295" s="66"/>
      <c r="J295" s="66"/>
      <c r="K295" s="66"/>
      <c r="L295" s="36"/>
      <c r="M295" s="36"/>
    </row>
    <row r="296" spans="1:13">
      <c r="A296" s="66"/>
      <c r="B296" s="66"/>
      <c r="C296" s="66"/>
      <c r="D296" s="66"/>
      <c r="E296" s="66"/>
      <c r="F296" s="67"/>
      <c r="G296" s="67"/>
      <c r="H296" s="66"/>
      <c r="I296" s="66"/>
      <c r="J296" s="66"/>
      <c r="K296" s="66"/>
      <c r="L296" s="36"/>
      <c r="M296" s="36"/>
    </row>
    <row r="297" spans="1:13">
      <c r="A297" s="66"/>
      <c r="B297" s="66"/>
      <c r="C297" s="66"/>
      <c r="D297" s="66"/>
      <c r="E297" s="66"/>
      <c r="F297" s="67"/>
      <c r="G297" s="67"/>
      <c r="H297" s="66"/>
      <c r="I297" s="66"/>
      <c r="J297" s="66"/>
      <c r="K297" s="66"/>
      <c r="L297" s="36"/>
      <c r="M297" s="36"/>
    </row>
    <row r="298" spans="1:13">
      <c r="A298" s="66"/>
      <c r="B298" s="66"/>
      <c r="C298" s="66"/>
      <c r="D298" s="66"/>
      <c r="E298" s="66"/>
      <c r="F298" s="67"/>
      <c r="G298" s="67"/>
      <c r="H298" s="66"/>
      <c r="I298" s="66"/>
      <c r="J298" s="66"/>
      <c r="K298" s="66"/>
      <c r="L298" s="36"/>
      <c r="M298" s="36"/>
    </row>
    <row r="299" spans="1:13">
      <c r="A299" s="66"/>
      <c r="B299" s="66"/>
      <c r="C299" s="66"/>
      <c r="D299" s="66"/>
      <c r="E299" s="66"/>
      <c r="F299" s="67"/>
      <c r="G299" s="67"/>
      <c r="H299" s="66"/>
      <c r="I299" s="66"/>
      <c r="J299" s="66"/>
      <c r="K299" s="66"/>
      <c r="L299" s="36"/>
      <c r="M299" s="36"/>
    </row>
    <row r="300" spans="1:13">
      <c r="A300" s="66"/>
      <c r="B300" s="66"/>
      <c r="C300" s="66"/>
      <c r="D300" s="66"/>
      <c r="E300" s="66"/>
      <c r="F300" s="67"/>
      <c r="G300" s="67"/>
      <c r="H300" s="66"/>
      <c r="I300" s="66"/>
      <c r="J300" s="66"/>
      <c r="K300" s="66"/>
      <c r="L300" s="36"/>
      <c r="M300" s="36"/>
    </row>
    <row r="301" spans="1:13">
      <c r="A301" s="66"/>
      <c r="B301" s="66"/>
      <c r="C301" s="66"/>
      <c r="D301" s="66"/>
      <c r="E301" s="66"/>
      <c r="F301" s="67"/>
      <c r="G301" s="67"/>
      <c r="H301" s="66"/>
      <c r="I301" s="66"/>
      <c r="J301" s="66"/>
      <c r="K301" s="66"/>
      <c r="L301" s="36"/>
      <c r="M301" s="36"/>
    </row>
    <row r="302" spans="1:13">
      <c r="A302" s="66"/>
      <c r="B302" s="66"/>
      <c r="C302" s="66"/>
      <c r="D302" s="66"/>
      <c r="E302" s="66"/>
      <c r="F302" s="67"/>
      <c r="G302" s="67"/>
      <c r="H302" s="66"/>
      <c r="I302" s="66"/>
      <c r="J302" s="66"/>
      <c r="K302" s="66"/>
      <c r="L302" s="36"/>
      <c r="M302" s="36"/>
    </row>
    <row r="303" spans="1:13">
      <c r="A303" s="66"/>
      <c r="B303" s="66"/>
      <c r="C303" s="66"/>
      <c r="D303" s="66"/>
      <c r="E303" s="66"/>
      <c r="F303" s="67"/>
      <c r="G303" s="67"/>
      <c r="H303" s="66"/>
      <c r="I303" s="66"/>
      <c r="J303" s="66"/>
      <c r="K303" s="66"/>
      <c r="L303" s="36"/>
      <c r="M303" s="36"/>
    </row>
    <row r="304" spans="1:13">
      <c r="A304" s="66"/>
      <c r="B304" s="66"/>
      <c r="C304" s="66"/>
      <c r="D304" s="66"/>
      <c r="E304" s="66"/>
      <c r="F304" s="67"/>
      <c r="G304" s="67"/>
      <c r="H304" s="66"/>
      <c r="I304" s="66"/>
      <c r="J304" s="66"/>
      <c r="K304" s="66"/>
      <c r="L304" s="36"/>
      <c r="M304" s="36"/>
    </row>
    <row r="305" spans="1:13">
      <c r="A305" s="66"/>
      <c r="B305" s="66"/>
      <c r="C305" s="66"/>
      <c r="D305" s="66"/>
      <c r="E305" s="66"/>
      <c r="F305" s="67"/>
      <c r="G305" s="67"/>
      <c r="H305" s="66"/>
      <c r="I305" s="66"/>
      <c r="J305" s="66"/>
      <c r="K305" s="66"/>
      <c r="L305" s="36"/>
      <c r="M305" s="36"/>
    </row>
    <row r="306" spans="1:13">
      <c r="A306" s="66"/>
      <c r="B306" s="66"/>
      <c r="C306" s="66"/>
      <c r="D306" s="66"/>
      <c r="E306" s="66"/>
      <c r="F306" s="67"/>
      <c r="G306" s="67"/>
      <c r="H306" s="66"/>
      <c r="I306" s="66"/>
      <c r="J306" s="66"/>
      <c r="K306" s="66"/>
      <c r="L306" s="36"/>
      <c r="M306" s="36"/>
    </row>
    <row r="307" spans="1:13">
      <c r="A307" s="66"/>
      <c r="B307" s="66"/>
      <c r="C307" s="66"/>
      <c r="D307" s="66"/>
      <c r="E307" s="66"/>
      <c r="F307" s="67"/>
      <c r="G307" s="67"/>
      <c r="H307" s="66"/>
      <c r="I307" s="66"/>
      <c r="J307" s="66"/>
      <c r="K307" s="66"/>
      <c r="L307" s="36"/>
      <c r="M307" s="36"/>
    </row>
    <row r="308" spans="1:13">
      <c r="A308" s="66"/>
      <c r="B308" s="66"/>
      <c r="C308" s="66"/>
      <c r="D308" s="66"/>
      <c r="E308" s="66"/>
      <c r="F308" s="67"/>
      <c r="G308" s="67"/>
      <c r="H308" s="66"/>
      <c r="I308" s="66"/>
      <c r="J308" s="66"/>
      <c r="K308" s="66"/>
      <c r="L308" s="36"/>
      <c r="M308" s="36"/>
    </row>
    <row r="309" spans="1:13">
      <c r="A309" s="66"/>
      <c r="B309" s="66"/>
      <c r="C309" s="66"/>
      <c r="D309" s="66"/>
      <c r="E309" s="66"/>
      <c r="F309" s="67"/>
      <c r="G309" s="67"/>
      <c r="H309" s="66"/>
      <c r="I309" s="66"/>
      <c r="J309" s="66"/>
      <c r="K309" s="66"/>
      <c r="L309" s="36"/>
      <c r="M309" s="36"/>
    </row>
    <row r="310" spans="1:13">
      <c r="A310" s="66"/>
      <c r="B310" s="66"/>
      <c r="C310" s="66"/>
      <c r="D310" s="66"/>
      <c r="E310" s="66"/>
      <c r="F310" s="67"/>
      <c r="G310" s="67"/>
      <c r="H310" s="66"/>
      <c r="I310" s="66"/>
      <c r="J310" s="66"/>
      <c r="K310" s="66"/>
      <c r="L310" s="36"/>
      <c r="M310" s="36"/>
    </row>
    <row r="311" spans="1:13">
      <c r="A311" s="66"/>
      <c r="B311" s="66"/>
      <c r="C311" s="66"/>
      <c r="D311" s="66"/>
      <c r="E311" s="66"/>
      <c r="F311" s="67"/>
      <c r="G311" s="67"/>
      <c r="H311" s="66"/>
      <c r="I311" s="66"/>
      <c r="J311" s="66"/>
      <c r="K311" s="66"/>
      <c r="L311" s="36"/>
      <c r="M311" s="36"/>
    </row>
    <row r="312" spans="1:13">
      <c r="A312" s="66"/>
      <c r="B312" s="66"/>
      <c r="C312" s="66"/>
      <c r="D312" s="66"/>
      <c r="E312" s="66"/>
      <c r="F312" s="67"/>
      <c r="G312" s="67"/>
      <c r="H312" s="66"/>
      <c r="I312" s="66"/>
      <c r="J312" s="66"/>
      <c r="K312" s="66"/>
      <c r="L312" s="36"/>
      <c r="M312" s="36"/>
    </row>
    <row r="313" spans="1:13">
      <c r="A313" s="66"/>
      <c r="B313" s="66"/>
      <c r="C313" s="66"/>
      <c r="D313" s="66"/>
      <c r="E313" s="66"/>
      <c r="F313" s="67"/>
      <c r="G313" s="67"/>
      <c r="H313" s="66"/>
      <c r="I313" s="66"/>
      <c r="J313" s="66"/>
      <c r="K313" s="66"/>
      <c r="L313" s="36"/>
      <c r="M313" s="36"/>
    </row>
    <row r="314" spans="1:13">
      <c r="A314" s="66"/>
      <c r="B314" s="66"/>
      <c r="C314" s="66"/>
      <c r="D314" s="66"/>
      <c r="E314" s="66"/>
      <c r="F314" s="67"/>
      <c r="G314" s="67"/>
      <c r="H314" s="66"/>
      <c r="I314" s="66"/>
      <c r="J314" s="66"/>
      <c r="K314" s="66"/>
      <c r="L314" s="36"/>
      <c r="M314" s="36"/>
    </row>
    <row r="315" spans="1:13">
      <c r="A315" s="66"/>
      <c r="B315" s="66"/>
      <c r="C315" s="66"/>
      <c r="D315" s="66"/>
      <c r="E315" s="66"/>
      <c r="F315" s="67"/>
      <c r="G315" s="67"/>
      <c r="H315" s="66"/>
      <c r="I315" s="66"/>
      <c r="J315" s="66"/>
      <c r="K315" s="66"/>
      <c r="L315" s="36"/>
      <c r="M315" s="36"/>
    </row>
    <row r="316" spans="1:13">
      <c r="A316" s="66"/>
      <c r="B316" s="66"/>
      <c r="C316" s="66"/>
      <c r="D316" s="66"/>
      <c r="E316" s="66"/>
      <c r="F316" s="67"/>
      <c r="G316" s="67"/>
      <c r="H316" s="66"/>
      <c r="I316" s="66"/>
      <c r="J316" s="66"/>
      <c r="K316" s="66"/>
      <c r="L316" s="36"/>
      <c r="M316" s="36"/>
    </row>
    <row r="317" spans="1:13">
      <c r="A317" s="66"/>
      <c r="B317" s="66"/>
      <c r="C317" s="66"/>
      <c r="D317" s="66"/>
      <c r="E317" s="66"/>
      <c r="F317" s="67"/>
      <c r="G317" s="67"/>
      <c r="H317" s="66"/>
      <c r="I317" s="66"/>
      <c r="J317" s="66"/>
      <c r="K317" s="66"/>
      <c r="L317" s="36"/>
      <c r="M317" s="36"/>
    </row>
    <row r="318" spans="1:13">
      <c r="A318" s="66"/>
      <c r="B318" s="66"/>
      <c r="C318" s="66"/>
      <c r="D318" s="66"/>
      <c r="E318" s="66"/>
      <c r="F318" s="67"/>
      <c r="G318" s="67"/>
      <c r="H318" s="66"/>
      <c r="I318" s="66"/>
      <c r="J318" s="66"/>
      <c r="K318" s="66"/>
      <c r="L318" s="36"/>
      <c r="M318" s="36"/>
    </row>
    <row r="319" spans="1:13">
      <c r="A319" s="66"/>
      <c r="B319" s="66"/>
      <c r="C319" s="66"/>
      <c r="D319" s="66"/>
      <c r="E319" s="66"/>
      <c r="F319" s="67"/>
      <c r="G319" s="67"/>
      <c r="H319" s="66"/>
      <c r="I319" s="66"/>
      <c r="J319" s="66"/>
      <c r="K319" s="66"/>
      <c r="L319" s="36"/>
      <c r="M319" s="36"/>
    </row>
    <row r="320" spans="1:13">
      <c r="A320" s="66"/>
      <c r="B320" s="66"/>
      <c r="C320" s="66"/>
      <c r="D320" s="66"/>
      <c r="E320" s="66"/>
      <c r="F320" s="67"/>
      <c r="G320" s="67"/>
      <c r="H320" s="66"/>
      <c r="I320" s="66"/>
      <c r="J320" s="66"/>
      <c r="K320" s="66"/>
      <c r="L320" s="36"/>
      <c r="M320" s="36"/>
    </row>
    <row r="321" spans="1:13">
      <c r="A321" s="66"/>
      <c r="B321" s="66"/>
      <c r="C321" s="66"/>
      <c r="D321" s="66"/>
      <c r="E321" s="66"/>
      <c r="F321" s="67"/>
      <c r="G321" s="67"/>
      <c r="H321" s="66"/>
      <c r="I321" s="66"/>
      <c r="J321" s="66"/>
      <c r="K321" s="66"/>
      <c r="L321" s="36"/>
      <c r="M321" s="36"/>
    </row>
    <row r="322" spans="1:13">
      <c r="A322" s="66"/>
      <c r="B322" s="66"/>
      <c r="C322" s="66"/>
      <c r="D322" s="66"/>
      <c r="E322" s="66"/>
      <c r="F322" s="67"/>
      <c r="G322" s="67"/>
      <c r="H322" s="66"/>
      <c r="I322" s="66"/>
      <c r="J322" s="66"/>
      <c r="K322" s="66"/>
      <c r="L322" s="36"/>
      <c r="M322" s="36"/>
    </row>
    <row r="323" spans="1:13">
      <c r="A323" s="66"/>
      <c r="B323" s="66"/>
      <c r="C323" s="66"/>
      <c r="D323" s="66"/>
      <c r="E323" s="66"/>
      <c r="F323" s="67"/>
      <c r="G323" s="67"/>
      <c r="H323" s="66"/>
      <c r="I323" s="66"/>
      <c r="J323" s="66"/>
      <c r="K323" s="66"/>
      <c r="L323" s="36"/>
      <c r="M323" s="36"/>
    </row>
    <row r="324" spans="1:13">
      <c r="A324" s="66"/>
      <c r="B324" s="66"/>
      <c r="C324" s="66"/>
      <c r="D324" s="66"/>
      <c r="E324" s="66"/>
      <c r="F324" s="67"/>
      <c r="G324" s="67"/>
      <c r="H324" s="66"/>
      <c r="I324" s="66"/>
      <c r="J324" s="66"/>
      <c r="K324" s="66"/>
      <c r="L324" s="36"/>
      <c r="M324" s="36"/>
    </row>
    <row r="325" spans="1:13">
      <c r="A325" s="66"/>
      <c r="B325" s="66"/>
      <c r="C325" s="66"/>
      <c r="D325" s="66"/>
      <c r="E325" s="66"/>
      <c r="F325" s="67"/>
      <c r="G325" s="67"/>
      <c r="H325" s="66"/>
      <c r="I325" s="66"/>
      <c r="J325" s="66"/>
      <c r="K325" s="66"/>
      <c r="L325" s="36"/>
      <c r="M325" s="36"/>
    </row>
    <row r="326" spans="1:13">
      <c r="A326" s="66"/>
      <c r="B326" s="66"/>
      <c r="C326" s="66"/>
      <c r="D326" s="66"/>
      <c r="E326" s="66"/>
      <c r="F326" s="67"/>
      <c r="G326" s="67"/>
      <c r="H326" s="66"/>
      <c r="I326" s="66"/>
      <c r="J326" s="66"/>
      <c r="K326" s="66"/>
      <c r="L326" s="36"/>
      <c r="M326" s="36"/>
    </row>
    <row r="327" spans="1:13">
      <c r="A327" s="66"/>
      <c r="B327" s="66"/>
      <c r="C327" s="66"/>
      <c r="D327" s="66"/>
      <c r="E327" s="66"/>
      <c r="F327" s="67"/>
      <c r="G327" s="67"/>
      <c r="H327" s="66"/>
      <c r="I327" s="66"/>
      <c r="J327" s="66"/>
      <c r="K327" s="66"/>
      <c r="L327" s="36"/>
      <c r="M327" s="36"/>
    </row>
    <row r="328" spans="1:13">
      <c r="A328" s="66"/>
      <c r="B328" s="66"/>
      <c r="C328" s="66"/>
      <c r="D328" s="66"/>
      <c r="E328" s="66"/>
      <c r="F328" s="67"/>
      <c r="G328" s="67"/>
      <c r="H328" s="66"/>
      <c r="I328" s="66"/>
      <c r="J328" s="66"/>
      <c r="K328" s="66"/>
      <c r="L328" s="36"/>
      <c r="M328" s="36"/>
    </row>
    <row r="329" spans="1:13">
      <c r="A329" s="66"/>
      <c r="B329" s="66"/>
      <c r="C329" s="66"/>
      <c r="D329" s="66"/>
      <c r="E329" s="66"/>
      <c r="F329" s="67"/>
      <c r="G329" s="67"/>
      <c r="H329" s="66"/>
      <c r="I329" s="66"/>
      <c r="J329" s="66"/>
      <c r="K329" s="66"/>
      <c r="L329" s="36"/>
      <c r="M329" s="36"/>
    </row>
    <row r="330" spans="1:13">
      <c r="A330" s="66"/>
      <c r="B330" s="66"/>
      <c r="C330" s="66"/>
      <c r="D330" s="66"/>
      <c r="E330" s="66"/>
      <c r="F330" s="67"/>
      <c r="G330" s="67"/>
      <c r="H330" s="66"/>
      <c r="I330" s="66"/>
      <c r="J330" s="66"/>
      <c r="K330" s="66"/>
      <c r="L330" s="36"/>
      <c r="M330" s="36"/>
    </row>
    <row r="331" spans="1:13">
      <c r="A331" s="66"/>
      <c r="B331" s="66"/>
      <c r="C331" s="66"/>
      <c r="D331" s="66"/>
      <c r="E331" s="66"/>
      <c r="F331" s="67"/>
      <c r="G331" s="67"/>
      <c r="H331" s="66"/>
      <c r="I331" s="66"/>
      <c r="J331" s="66"/>
      <c r="K331" s="66"/>
      <c r="L331" s="36"/>
      <c r="M331" s="36"/>
    </row>
    <row r="332" spans="1:13">
      <c r="A332" s="66"/>
      <c r="B332" s="66"/>
      <c r="C332" s="66"/>
      <c r="D332" s="66"/>
      <c r="E332" s="66"/>
      <c r="F332" s="67"/>
      <c r="G332" s="67"/>
      <c r="H332" s="66"/>
      <c r="I332" s="66"/>
      <c r="J332" s="66"/>
      <c r="K332" s="66"/>
      <c r="L332" s="36"/>
      <c r="M332" s="36"/>
    </row>
    <row r="333" spans="1:13">
      <c r="A333" s="66"/>
      <c r="B333" s="66"/>
      <c r="C333" s="66"/>
      <c r="D333" s="66"/>
      <c r="E333" s="66"/>
      <c r="F333" s="67"/>
      <c r="G333" s="67"/>
      <c r="H333" s="66"/>
      <c r="I333" s="66"/>
      <c r="J333" s="66"/>
      <c r="K333" s="66"/>
      <c r="L333" s="36"/>
      <c r="M333" s="36"/>
    </row>
    <row r="334" spans="1:13">
      <c r="A334" s="66"/>
      <c r="B334" s="66"/>
      <c r="C334" s="66"/>
      <c r="D334" s="66"/>
      <c r="E334" s="66"/>
      <c r="F334" s="67"/>
      <c r="G334" s="67"/>
      <c r="H334" s="66"/>
      <c r="I334" s="66"/>
      <c r="J334" s="66"/>
      <c r="K334" s="66"/>
      <c r="L334" s="36"/>
      <c r="M334" s="36"/>
    </row>
    <row r="335" spans="1:13">
      <c r="A335" s="66"/>
      <c r="B335" s="66"/>
      <c r="C335" s="66"/>
      <c r="D335" s="66"/>
      <c r="E335" s="66"/>
      <c r="F335" s="67"/>
      <c r="G335" s="67"/>
      <c r="H335" s="66"/>
      <c r="I335" s="66"/>
      <c r="J335" s="66"/>
      <c r="K335" s="66"/>
      <c r="L335" s="36"/>
      <c r="M335" s="36"/>
    </row>
    <row r="336" spans="1:13">
      <c r="A336" s="66"/>
      <c r="B336" s="66"/>
      <c r="C336" s="66"/>
      <c r="D336" s="66"/>
      <c r="E336" s="66"/>
      <c r="F336" s="67"/>
      <c r="G336" s="67"/>
      <c r="H336" s="66"/>
      <c r="I336" s="66"/>
      <c r="J336" s="66"/>
      <c r="K336" s="66"/>
      <c r="L336" s="36"/>
      <c r="M336" s="36"/>
    </row>
    <row r="337" spans="1:13">
      <c r="A337" s="66"/>
      <c r="B337" s="66"/>
      <c r="C337" s="66"/>
      <c r="D337" s="66"/>
      <c r="E337" s="66"/>
      <c r="F337" s="67"/>
      <c r="G337" s="67"/>
      <c r="H337" s="66"/>
      <c r="I337" s="66"/>
      <c r="J337" s="66"/>
      <c r="K337" s="66"/>
      <c r="L337" s="36"/>
      <c r="M337" s="36"/>
    </row>
    <row r="338" spans="1:13">
      <c r="A338" s="66"/>
      <c r="B338" s="66"/>
      <c r="C338" s="66"/>
      <c r="D338" s="66"/>
      <c r="E338" s="66"/>
      <c r="F338" s="67"/>
      <c r="G338" s="67"/>
      <c r="H338" s="66"/>
      <c r="I338" s="66"/>
      <c r="J338" s="66"/>
      <c r="K338" s="66"/>
      <c r="L338" s="36"/>
      <c r="M338" s="36"/>
    </row>
    <row r="339" spans="1:13">
      <c r="A339" s="66"/>
      <c r="B339" s="66"/>
      <c r="C339" s="66"/>
      <c r="D339" s="66"/>
      <c r="E339" s="66"/>
      <c r="F339" s="67"/>
      <c r="G339" s="67"/>
      <c r="H339" s="66"/>
      <c r="I339" s="66"/>
      <c r="J339" s="66"/>
      <c r="K339" s="66"/>
      <c r="L339" s="36"/>
      <c r="M339" s="36"/>
    </row>
    <row r="340" spans="1:13">
      <c r="A340" s="66"/>
      <c r="B340" s="66"/>
      <c r="C340" s="66"/>
      <c r="D340" s="66"/>
      <c r="E340" s="66"/>
      <c r="F340" s="67"/>
      <c r="G340" s="67"/>
      <c r="H340" s="66"/>
      <c r="I340" s="66"/>
      <c r="J340" s="66"/>
      <c r="K340" s="66"/>
      <c r="L340" s="36"/>
      <c r="M340" s="36"/>
    </row>
    <row r="341" spans="1:13">
      <c r="A341" s="66"/>
      <c r="B341" s="66"/>
      <c r="C341" s="66"/>
      <c r="D341" s="66"/>
      <c r="E341" s="66"/>
      <c r="F341" s="67"/>
      <c r="G341" s="67"/>
      <c r="H341" s="66"/>
      <c r="I341" s="66"/>
      <c r="J341" s="66"/>
      <c r="K341" s="66"/>
      <c r="L341" s="36"/>
      <c r="M341" s="36"/>
    </row>
    <row r="342" spans="1:13">
      <c r="A342" s="66"/>
      <c r="B342" s="66"/>
      <c r="C342" s="66"/>
      <c r="D342" s="66"/>
      <c r="E342" s="66"/>
      <c r="F342" s="67"/>
      <c r="G342" s="67"/>
      <c r="H342" s="66"/>
      <c r="I342" s="66"/>
      <c r="J342" s="66"/>
      <c r="K342" s="66"/>
      <c r="L342" s="36"/>
      <c r="M342" s="36"/>
    </row>
    <row r="343" spans="1:13">
      <c r="A343" s="66"/>
      <c r="B343" s="66"/>
      <c r="C343" s="66"/>
      <c r="D343" s="66"/>
      <c r="E343" s="66"/>
      <c r="F343" s="67"/>
      <c r="G343" s="67"/>
      <c r="H343" s="66"/>
      <c r="I343" s="66"/>
      <c r="J343" s="66"/>
      <c r="K343" s="66"/>
      <c r="L343" s="36"/>
      <c r="M343" s="36"/>
    </row>
    <row r="344" spans="1:13">
      <c r="A344" s="66"/>
      <c r="B344" s="66"/>
      <c r="C344" s="66"/>
      <c r="D344" s="66"/>
      <c r="E344" s="66"/>
      <c r="F344" s="67"/>
      <c r="G344" s="67"/>
      <c r="H344" s="66"/>
      <c r="I344" s="66"/>
      <c r="J344" s="66"/>
      <c r="K344" s="66"/>
      <c r="L344" s="36"/>
      <c r="M344" s="36"/>
    </row>
    <row r="345" spans="1:13">
      <c r="A345" s="66"/>
      <c r="B345" s="66"/>
      <c r="C345" s="66"/>
      <c r="D345" s="66"/>
      <c r="E345" s="66"/>
      <c r="F345" s="67"/>
      <c r="G345" s="67"/>
      <c r="H345" s="66"/>
      <c r="I345" s="66"/>
      <c r="J345" s="66"/>
      <c r="K345" s="66"/>
      <c r="L345" s="36"/>
      <c r="M345" s="36"/>
    </row>
    <row r="346" spans="1:13">
      <c r="A346" s="66"/>
      <c r="B346" s="66"/>
      <c r="C346" s="66"/>
      <c r="D346" s="66"/>
      <c r="E346" s="66"/>
      <c r="F346" s="67"/>
      <c r="G346" s="67"/>
      <c r="H346" s="66"/>
      <c r="I346" s="66"/>
      <c r="J346" s="66"/>
      <c r="K346" s="66"/>
      <c r="L346" s="36"/>
      <c r="M346" s="36"/>
    </row>
    <row r="347" spans="1:13">
      <c r="A347" s="66"/>
      <c r="B347" s="66"/>
      <c r="C347" s="66"/>
      <c r="D347" s="66"/>
      <c r="E347" s="66"/>
      <c r="F347" s="67"/>
      <c r="G347" s="67"/>
      <c r="H347" s="66"/>
      <c r="I347" s="66"/>
      <c r="J347" s="66"/>
      <c r="K347" s="66"/>
      <c r="L347" s="36"/>
      <c r="M347" s="36"/>
    </row>
    <row r="348" spans="1:13">
      <c r="A348" s="66"/>
      <c r="B348" s="66"/>
      <c r="C348" s="66"/>
      <c r="D348" s="66"/>
      <c r="E348" s="66"/>
      <c r="F348" s="67"/>
      <c r="G348" s="67"/>
      <c r="H348" s="66"/>
      <c r="I348" s="66"/>
      <c r="J348" s="66"/>
      <c r="K348" s="66"/>
      <c r="L348" s="36"/>
      <c r="M348" s="36"/>
    </row>
    <row r="349" spans="1:13">
      <c r="A349" s="66"/>
      <c r="B349" s="66"/>
      <c r="C349" s="66"/>
      <c r="D349" s="66"/>
      <c r="E349" s="66"/>
      <c r="F349" s="67"/>
      <c r="G349" s="67"/>
      <c r="H349" s="66"/>
      <c r="I349" s="66"/>
      <c r="J349" s="66"/>
      <c r="K349" s="66"/>
      <c r="L349" s="36"/>
      <c r="M349" s="36"/>
    </row>
    <row r="350" spans="1:13">
      <c r="A350" s="66"/>
      <c r="B350" s="66"/>
      <c r="C350" s="66"/>
      <c r="D350" s="66"/>
      <c r="E350" s="66"/>
      <c r="F350" s="67"/>
      <c r="G350" s="67"/>
      <c r="H350" s="66"/>
      <c r="I350" s="66"/>
      <c r="J350" s="66"/>
      <c r="K350" s="66"/>
      <c r="L350" s="36"/>
      <c r="M350" s="36"/>
    </row>
    <row r="351" spans="1:13">
      <c r="A351" s="66"/>
      <c r="B351" s="66"/>
      <c r="C351" s="66"/>
      <c r="D351" s="66"/>
      <c r="E351" s="66"/>
      <c r="F351" s="67"/>
      <c r="G351" s="67"/>
      <c r="H351" s="66"/>
      <c r="I351" s="66"/>
      <c r="J351" s="66"/>
      <c r="K351" s="66"/>
      <c r="L351" s="36"/>
      <c r="M351" s="36"/>
    </row>
    <row r="352" spans="1:13">
      <c r="A352" s="66"/>
      <c r="B352" s="66"/>
      <c r="C352" s="66"/>
      <c r="D352" s="66"/>
      <c r="E352" s="66"/>
      <c r="F352" s="67"/>
      <c r="G352" s="67"/>
      <c r="H352" s="66"/>
      <c r="I352" s="66"/>
      <c r="J352" s="66"/>
      <c r="K352" s="66"/>
      <c r="L352" s="36"/>
      <c r="M352" s="36"/>
    </row>
    <row r="353" spans="1:13">
      <c r="A353" s="66"/>
      <c r="B353" s="66"/>
      <c r="C353" s="66"/>
      <c r="D353" s="66"/>
      <c r="E353" s="66"/>
      <c r="F353" s="67"/>
      <c r="G353" s="67"/>
      <c r="H353" s="66"/>
      <c r="I353" s="66"/>
      <c r="J353" s="66"/>
      <c r="K353" s="66"/>
      <c r="L353" s="36"/>
      <c r="M353" s="36"/>
    </row>
    <row r="354" spans="1:13">
      <c r="A354" s="66"/>
      <c r="B354" s="66"/>
      <c r="C354" s="66"/>
      <c r="D354" s="66"/>
      <c r="E354" s="66"/>
      <c r="F354" s="67"/>
      <c r="G354" s="67"/>
      <c r="H354" s="66"/>
      <c r="I354" s="66"/>
      <c r="J354" s="66"/>
      <c r="K354" s="66"/>
      <c r="L354" s="36"/>
      <c r="M354" s="36"/>
    </row>
    <row r="355" spans="1:13">
      <c r="A355" s="66"/>
      <c r="B355" s="66"/>
      <c r="C355" s="66"/>
      <c r="D355" s="66"/>
      <c r="E355" s="66"/>
      <c r="F355" s="67"/>
      <c r="G355" s="67"/>
      <c r="H355" s="66"/>
      <c r="I355" s="66"/>
      <c r="J355" s="66"/>
      <c r="K355" s="66"/>
      <c r="L355" s="36"/>
      <c r="M355" s="36"/>
    </row>
    <row r="356" spans="1:13">
      <c r="A356" s="66"/>
      <c r="B356" s="66"/>
      <c r="C356" s="66"/>
      <c r="D356" s="66"/>
      <c r="E356" s="66"/>
      <c r="F356" s="67"/>
      <c r="G356" s="67"/>
      <c r="H356" s="66"/>
      <c r="I356" s="66"/>
      <c r="J356" s="66"/>
      <c r="K356" s="66"/>
      <c r="L356" s="36"/>
      <c r="M356" s="36"/>
    </row>
    <row r="357" spans="1:13">
      <c r="A357" s="66"/>
      <c r="B357" s="66"/>
      <c r="C357" s="66"/>
      <c r="D357" s="66"/>
      <c r="E357" s="66"/>
      <c r="F357" s="67"/>
      <c r="G357" s="67"/>
      <c r="H357" s="66"/>
      <c r="I357" s="66"/>
      <c r="J357" s="66"/>
      <c r="K357" s="66"/>
      <c r="L357" s="36"/>
      <c r="M357" s="36"/>
    </row>
    <row r="358" spans="1:13">
      <c r="A358" s="66"/>
      <c r="B358" s="66"/>
      <c r="C358" s="66"/>
      <c r="D358" s="66"/>
      <c r="E358" s="66"/>
      <c r="F358" s="67"/>
      <c r="G358" s="67"/>
      <c r="H358" s="66"/>
      <c r="I358" s="66"/>
      <c r="J358" s="66"/>
      <c r="K358" s="66"/>
      <c r="L358" s="36"/>
      <c r="M358" s="36"/>
    </row>
    <row r="359" spans="1:13">
      <c r="A359" s="66"/>
      <c r="B359" s="66"/>
      <c r="C359" s="66"/>
      <c r="D359" s="66"/>
      <c r="E359" s="66"/>
      <c r="F359" s="67"/>
      <c r="G359" s="67"/>
      <c r="H359" s="66"/>
      <c r="I359" s="66"/>
      <c r="J359" s="66"/>
      <c r="K359" s="66"/>
      <c r="L359" s="36"/>
      <c r="M359" s="36"/>
    </row>
    <row r="360" spans="1:13">
      <c r="A360" s="66"/>
      <c r="B360" s="66"/>
      <c r="C360" s="66"/>
      <c r="D360" s="66"/>
      <c r="E360" s="66"/>
      <c r="F360" s="67"/>
      <c r="G360" s="67"/>
      <c r="H360" s="66"/>
      <c r="I360" s="66"/>
      <c r="J360" s="66"/>
      <c r="K360" s="66"/>
      <c r="L360" s="36"/>
      <c r="M360" s="36"/>
    </row>
    <row r="361" spans="1:13">
      <c r="A361" s="66"/>
      <c r="B361" s="66"/>
      <c r="C361" s="66"/>
      <c r="D361" s="66"/>
      <c r="E361" s="66"/>
      <c r="F361" s="67"/>
      <c r="G361" s="67"/>
      <c r="H361" s="66"/>
      <c r="I361" s="66"/>
      <c r="J361" s="66"/>
      <c r="K361" s="66"/>
      <c r="L361" s="36"/>
      <c r="M361" s="36"/>
    </row>
    <row r="362" spans="1:13">
      <c r="A362" s="66"/>
      <c r="B362" s="66"/>
      <c r="C362" s="66"/>
      <c r="D362" s="66"/>
      <c r="E362" s="66"/>
      <c r="F362" s="67"/>
      <c r="G362" s="67"/>
      <c r="H362" s="66"/>
      <c r="I362" s="66"/>
      <c r="J362" s="66"/>
      <c r="K362" s="66"/>
      <c r="L362" s="36"/>
      <c r="M362" s="36"/>
    </row>
    <row r="363" spans="1:13">
      <c r="A363" s="66"/>
      <c r="B363" s="66"/>
      <c r="C363" s="66"/>
      <c r="D363" s="66"/>
      <c r="E363" s="66"/>
      <c r="F363" s="67"/>
      <c r="G363" s="67"/>
      <c r="H363" s="66"/>
      <c r="I363" s="66"/>
      <c r="J363" s="66"/>
      <c r="K363" s="66"/>
      <c r="L363" s="36"/>
      <c r="M363" s="36"/>
    </row>
    <row r="364" spans="1:13">
      <c r="A364" s="66"/>
      <c r="B364" s="66"/>
      <c r="C364" s="66"/>
      <c r="D364" s="66"/>
      <c r="E364" s="66"/>
      <c r="F364" s="67"/>
      <c r="G364" s="67"/>
      <c r="H364" s="66"/>
      <c r="I364" s="66"/>
      <c r="J364" s="66"/>
      <c r="K364" s="66"/>
      <c r="L364" s="36"/>
      <c r="M364" s="36"/>
    </row>
    <row r="365" spans="1:13">
      <c r="A365" s="66"/>
      <c r="B365" s="66"/>
      <c r="C365" s="66"/>
      <c r="D365" s="66"/>
      <c r="E365" s="66"/>
      <c r="F365" s="67"/>
      <c r="G365" s="67"/>
      <c r="H365" s="66"/>
      <c r="I365" s="66"/>
      <c r="J365" s="66"/>
      <c r="K365" s="66"/>
      <c r="L365" s="36"/>
      <c r="M365" s="36"/>
    </row>
    <row r="366" spans="1:13">
      <c r="A366" s="66"/>
      <c r="B366" s="66"/>
      <c r="C366" s="66"/>
      <c r="D366" s="66"/>
      <c r="E366" s="66"/>
      <c r="F366" s="67"/>
      <c r="G366" s="67"/>
      <c r="H366" s="66"/>
      <c r="I366" s="66"/>
      <c r="J366" s="66"/>
      <c r="K366" s="66"/>
      <c r="L366" s="36"/>
      <c r="M366" s="36"/>
    </row>
    <row r="367" spans="1:13">
      <c r="A367" s="66"/>
      <c r="B367" s="66"/>
      <c r="C367" s="66"/>
      <c r="D367" s="66"/>
      <c r="E367" s="66"/>
      <c r="F367" s="67"/>
      <c r="G367" s="67"/>
      <c r="H367" s="66"/>
      <c r="I367" s="66"/>
      <c r="J367" s="66"/>
      <c r="K367" s="66"/>
      <c r="L367" s="36"/>
      <c r="M367" s="36"/>
    </row>
    <row r="368" spans="1:13">
      <c r="A368" s="66"/>
      <c r="B368" s="66"/>
      <c r="C368" s="66"/>
      <c r="D368" s="66"/>
      <c r="E368" s="66"/>
      <c r="F368" s="67"/>
      <c r="G368" s="67"/>
      <c r="H368" s="66"/>
      <c r="I368" s="66"/>
      <c r="J368" s="66"/>
      <c r="K368" s="66"/>
      <c r="L368" s="36"/>
      <c r="M368" s="36"/>
    </row>
    <row r="369" spans="1:13">
      <c r="A369" s="66"/>
      <c r="B369" s="66"/>
      <c r="C369" s="66"/>
      <c r="D369" s="66"/>
      <c r="E369" s="66"/>
      <c r="F369" s="67"/>
      <c r="G369" s="67"/>
      <c r="H369" s="66"/>
      <c r="I369" s="66"/>
      <c r="J369" s="66"/>
      <c r="K369" s="66"/>
      <c r="L369" s="36"/>
      <c r="M369" s="36"/>
    </row>
    <row r="370" spans="1:13">
      <c r="A370" s="66"/>
      <c r="B370" s="66"/>
      <c r="C370" s="66"/>
      <c r="D370" s="66"/>
      <c r="E370" s="66"/>
      <c r="F370" s="67"/>
      <c r="G370" s="67"/>
      <c r="H370" s="66"/>
      <c r="I370" s="66"/>
      <c r="J370" s="66"/>
      <c r="K370" s="66"/>
      <c r="L370" s="36"/>
      <c r="M370" s="36"/>
    </row>
    <row r="371" spans="1:13">
      <c r="A371" s="66"/>
      <c r="B371" s="66"/>
      <c r="C371" s="66"/>
      <c r="D371" s="66"/>
      <c r="E371" s="66"/>
      <c r="F371" s="67"/>
      <c r="G371" s="67"/>
      <c r="H371" s="66"/>
      <c r="I371" s="66"/>
      <c r="J371" s="66"/>
      <c r="K371" s="66"/>
      <c r="L371" s="36"/>
      <c r="M371" s="36"/>
    </row>
    <row r="372" spans="1:13">
      <c r="A372" s="66"/>
      <c r="B372" s="66"/>
      <c r="C372" s="66"/>
      <c r="D372" s="66"/>
      <c r="E372" s="66"/>
      <c r="F372" s="67"/>
      <c r="G372" s="67"/>
      <c r="H372" s="66"/>
      <c r="I372" s="66"/>
      <c r="J372" s="66"/>
      <c r="K372" s="66"/>
      <c r="L372" s="36"/>
      <c r="M372" s="36"/>
    </row>
    <row r="373" spans="1:13">
      <c r="A373" s="66"/>
      <c r="B373" s="66"/>
      <c r="C373" s="66"/>
      <c r="D373" s="66"/>
      <c r="E373" s="66"/>
      <c r="F373" s="67"/>
      <c r="G373" s="67"/>
      <c r="H373" s="66"/>
      <c r="I373" s="66"/>
      <c r="J373" s="66"/>
      <c r="K373" s="66"/>
      <c r="L373" s="36"/>
      <c r="M373" s="36"/>
    </row>
    <row r="374" spans="1:13">
      <c r="A374" s="66"/>
      <c r="B374" s="66"/>
      <c r="C374" s="66"/>
      <c r="D374" s="66"/>
      <c r="E374" s="66"/>
      <c r="F374" s="67"/>
      <c r="G374" s="67"/>
      <c r="H374" s="66"/>
      <c r="I374" s="66"/>
      <c r="J374" s="66"/>
      <c r="K374" s="66"/>
      <c r="L374" s="36"/>
      <c r="M374" s="36"/>
    </row>
    <row r="375" spans="1:13">
      <c r="A375" s="66"/>
      <c r="B375" s="66"/>
      <c r="C375" s="66"/>
      <c r="D375" s="66"/>
      <c r="E375" s="66"/>
      <c r="F375" s="67"/>
      <c r="G375" s="67"/>
      <c r="H375" s="66"/>
      <c r="I375" s="66"/>
      <c r="J375" s="66"/>
      <c r="K375" s="66"/>
      <c r="L375" s="36"/>
      <c r="M375" s="36"/>
    </row>
    <row r="376" spans="1:13">
      <c r="A376" s="66"/>
      <c r="B376" s="66"/>
      <c r="C376" s="66"/>
      <c r="D376" s="66"/>
      <c r="E376" s="66"/>
      <c r="F376" s="67"/>
      <c r="G376" s="67"/>
      <c r="H376" s="66"/>
      <c r="I376" s="66"/>
      <c r="J376" s="66"/>
      <c r="K376" s="66"/>
      <c r="L376" s="36"/>
      <c r="M376" s="36"/>
    </row>
    <row r="377" spans="1:13">
      <c r="A377" s="66"/>
      <c r="B377" s="66"/>
      <c r="C377" s="66"/>
      <c r="D377" s="66"/>
      <c r="E377" s="66"/>
      <c r="F377" s="67"/>
      <c r="G377" s="67"/>
      <c r="H377" s="66"/>
      <c r="I377" s="66"/>
      <c r="J377" s="66"/>
      <c r="K377" s="66"/>
      <c r="L377" s="36"/>
      <c r="M377" s="36"/>
    </row>
    <row r="378" spans="1:13">
      <c r="A378" s="66"/>
      <c r="B378" s="66"/>
      <c r="C378" s="66"/>
      <c r="D378" s="66"/>
      <c r="E378" s="66"/>
      <c r="F378" s="67"/>
      <c r="G378" s="67"/>
      <c r="H378" s="66"/>
      <c r="I378" s="66"/>
      <c r="J378" s="66"/>
      <c r="K378" s="66"/>
      <c r="L378" s="36"/>
      <c r="M378" s="36"/>
    </row>
    <row r="379" spans="1:13">
      <c r="A379" s="66"/>
      <c r="B379" s="66"/>
      <c r="C379" s="66"/>
      <c r="D379" s="66"/>
      <c r="E379" s="66"/>
      <c r="F379" s="67"/>
      <c r="G379" s="67"/>
      <c r="H379" s="66"/>
      <c r="I379" s="66"/>
      <c r="J379" s="66"/>
      <c r="K379" s="66"/>
      <c r="L379" s="36"/>
      <c r="M379" s="36"/>
    </row>
    <row r="380" spans="1:13">
      <c r="A380" s="66"/>
      <c r="B380" s="66"/>
      <c r="C380" s="66"/>
      <c r="D380" s="66"/>
      <c r="E380" s="66"/>
      <c r="F380" s="67"/>
      <c r="G380" s="67"/>
      <c r="H380" s="66"/>
      <c r="I380" s="66"/>
      <c r="J380" s="66"/>
      <c r="K380" s="66"/>
      <c r="L380" s="36"/>
      <c r="M380" s="36"/>
    </row>
    <row r="381" spans="1:13">
      <c r="A381" s="66"/>
      <c r="B381" s="66"/>
      <c r="C381" s="66"/>
      <c r="D381" s="66"/>
      <c r="E381" s="66"/>
      <c r="F381" s="67"/>
      <c r="G381" s="67"/>
      <c r="H381" s="66"/>
      <c r="I381" s="66"/>
      <c r="J381" s="66"/>
      <c r="K381" s="66"/>
      <c r="L381" s="36"/>
      <c r="M381" s="36"/>
    </row>
    <row r="382" spans="1:13">
      <c r="A382" s="66"/>
      <c r="B382" s="66"/>
      <c r="C382" s="66"/>
      <c r="D382" s="66"/>
      <c r="E382" s="66"/>
      <c r="F382" s="67"/>
      <c r="G382" s="67"/>
      <c r="H382" s="66"/>
      <c r="I382" s="66"/>
      <c r="J382" s="66"/>
      <c r="K382" s="66"/>
      <c r="L382" s="36"/>
      <c r="M382" s="36"/>
    </row>
    <row r="383" spans="1:13">
      <c r="A383" s="66"/>
      <c r="B383" s="66"/>
      <c r="C383" s="66"/>
      <c r="D383" s="66"/>
      <c r="E383" s="66"/>
      <c r="F383" s="67"/>
      <c r="G383" s="67"/>
      <c r="H383" s="66"/>
      <c r="I383" s="66"/>
      <c r="J383" s="66"/>
      <c r="K383" s="66"/>
      <c r="L383" s="36"/>
      <c r="M383" s="36"/>
    </row>
    <row r="384" spans="1:13">
      <c r="A384" s="66"/>
      <c r="B384" s="66"/>
      <c r="C384" s="66"/>
      <c r="D384" s="66"/>
      <c r="E384" s="66"/>
      <c r="F384" s="67"/>
      <c r="G384" s="67"/>
      <c r="H384" s="66"/>
      <c r="I384" s="66"/>
      <c r="J384" s="66"/>
      <c r="K384" s="66"/>
      <c r="L384" s="36"/>
      <c r="M384" s="36"/>
    </row>
    <row r="385" spans="1:13">
      <c r="A385" s="66"/>
      <c r="B385" s="66"/>
      <c r="C385" s="66"/>
      <c r="D385" s="66"/>
      <c r="E385" s="66"/>
      <c r="F385" s="67"/>
      <c r="G385" s="67"/>
      <c r="H385" s="66"/>
      <c r="I385" s="66"/>
      <c r="J385" s="66"/>
      <c r="K385" s="66"/>
      <c r="L385" s="36"/>
      <c r="M385" s="36"/>
    </row>
    <row r="386" spans="1:13">
      <c r="A386" s="66"/>
      <c r="B386" s="66"/>
      <c r="C386" s="66"/>
      <c r="D386" s="66"/>
      <c r="E386" s="66"/>
      <c r="F386" s="67"/>
      <c r="G386" s="67"/>
      <c r="H386" s="66"/>
      <c r="I386" s="66"/>
      <c r="J386" s="66"/>
      <c r="K386" s="66"/>
      <c r="L386" s="36"/>
      <c r="M386" s="36"/>
    </row>
    <row r="387" spans="1:13">
      <c r="A387" s="66"/>
      <c r="B387" s="66"/>
      <c r="C387" s="66"/>
      <c r="D387" s="66"/>
      <c r="E387" s="66"/>
      <c r="F387" s="67"/>
      <c r="G387" s="67"/>
      <c r="H387" s="66"/>
      <c r="I387" s="66"/>
      <c r="J387" s="66"/>
      <c r="K387" s="66"/>
      <c r="L387" s="36"/>
      <c r="M387" s="36"/>
    </row>
    <row r="388" spans="1:13">
      <c r="A388" s="66"/>
      <c r="B388" s="66"/>
      <c r="C388" s="66"/>
      <c r="D388" s="66"/>
      <c r="E388" s="66"/>
      <c r="F388" s="67"/>
      <c r="G388" s="67"/>
      <c r="H388" s="66"/>
      <c r="I388" s="66"/>
      <c r="J388" s="66"/>
      <c r="K388" s="66"/>
      <c r="L388" s="36"/>
      <c r="M388" s="36"/>
    </row>
    <row r="389" spans="1:13">
      <c r="A389" s="66"/>
      <c r="B389" s="66"/>
      <c r="C389" s="66"/>
      <c r="D389" s="66"/>
      <c r="E389" s="66"/>
      <c r="F389" s="67"/>
      <c r="G389" s="67"/>
      <c r="H389" s="66"/>
      <c r="I389" s="66"/>
      <c r="J389" s="66"/>
      <c r="K389" s="66"/>
      <c r="L389" s="36"/>
      <c r="M389" s="36"/>
    </row>
    <row r="390" spans="1:13">
      <c r="A390" s="66"/>
      <c r="B390" s="66"/>
      <c r="C390" s="66"/>
      <c r="D390" s="66"/>
      <c r="E390" s="66"/>
      <c r="F390" s="67"/>
      <c r="G390" s="67"/>
      <c r="H390" s="66"/>
      <c r="I390" s="66"/>
      <c r="J390" s="66"/>
      <c r="K390" s="66"/>
      <c r="L390" s="36"/>
      <c r="M390" s="36"/>
    </row>
    <row r="391" spans="1:13">
      <c r="A391" s="66"/>
      <c r="B391" s="66"/>
      <c r="C391" s="66"/>
      <c r="D391" s="66"/>
      <c r="E391" s="66"/>
      <c r="F391" s="67"/>
      <c r="G391" s="67"/>
      <c r="H391" s="66"/>
      <c r="I391" s="66"/>
      <c r="J391" s="66"/>
      <c r="K391" s="66"/>
      <c r="L391" s="36"/>
      <c r="M391" s="36"/>
    </row>
    <row r="392" spans="1:13">
      <c r="A392" s="66"/>
      <c r="B392" s="66"/>
      <c r="C392" s="66"/>
      <c r="D392" s="66"/>
      <c r="E392" s="66"/>
      <c r="F392" s="67"/>
      <c r="G392" s="67"/>
      <c r="H392" s="66"/>
      <c r="I392" s="66"/>
      <c r="J392" s="66"/>
      <c r="K392" s="66"/>
      <c r="L392" s="36"/>
      <c r="M392" s="36"/>
    </row>
    <row r="393" spans="1:13">
      <c r="A393" s="66"/>
      <c r="B393" s="66"/>
      <c r="C393" s="66"/>
      <c r="D393" s="66"/>
      <c r="E393" s="66"/>
      <c r="F393" s="67"/>
      <c r="G393" s="67"/>
      <c r="H393" s="66"/>
      <c r="I393" s="66"/>
      <c r="J393" s="66"/>
      <c r="K393" s="66"/>
      <c r="L393" s="36"/>
      <c r="M393" s="36"/>
    </row>
    <row r="394" spans="1:13">
      <c r="A394" s="66"/>
      <c r="B394" s="66"/>
      <c r="C394" s="66"/>
      <c r="D394" s="66"/>
      <c r="E394" s="66"/>
      <c r="F394" s="67"/>
      <c r="G394" s="67"/>
      <c r="H394" s="66"/>
      <c r="I394" s="66"/>
      <c r="J394" s="66"/>
      <c r="K394" s="66"/>
      <c r="L394" s="36"/>
      <c r="M394" s="36"/>
    </row>
    <row r="395" spans="1:13">
      <c r="A395" s="66"/>
      <c r="B395" s="66"/>
      <c r="C395" s="66"/>
      <c r="D395" s="66"/>
      <c r="E395" s="66"/>
      <c r="F395" s="67"/>
      <c r="G395" s="67"/>
      <c r="H395" s="66"/>
      <c r="I395" s="66"/>
      <c r="J395" s="66"/>
      <c r="K395" s="66"/>
      <c r="L395" s="36"/>
      <c r="M395" s="36"/>
    </row>
    <row r="396" spans="1:13">
      <c r="A396" s="66"/>
      <c r="B396" s="66"/>
      <c r="C396" s="66"/>
      <c r="D396" s="66"/>
      <c r="E396" s="66"/>
      <c r="F396" s="67"/>
      <c r="G396" s="67"/>
      <c r="H396" s="66"/>
      <c r="I396" s="66"/>
      <c r="J396" s="66"/>
      <c r="K396" s="66"/>
      <c r="L396" s="36"/>
      <c r="M396" s="36"/>
    </row>
    <row r="397" spans="1:13">
      <c r="A397" s="66"/>
      <c r="B397" s="66"/>
      <c r="C397" s="66"/>
      <c r="D397" s="66"/>
      <c r="E397" s="66"/>
      <c r="F397" s="67"/>
      <c r="G397" s="67"/>
      <c r="H397" s="66"/>
      <c r="I397" s="66"/>
      <c r="J397" s="66"/>
      <c r="K397" s="66"/>
      <c r="L397" s="36"/>
      <c r="M397" s="36"/>
    </row>
    <row r="398" spans="1:13">
      <c r="A398" s="66"/>
      <c r="B398" s="66"/>
      <c r="C398" s="66"/>
      <c r="D398" s="66"/>
      <c r="E398" s="66"/>
      <c r="F398" s="67"/>
      <c r="G398" s="67"/>
      <c r="H398" s="66"/>
      <c r="I398" s="66"/>
      <c r="J398" s="66"/>
      <c r="K398" s="66"/>
      <c r="L398" s="36"/>
      <c r="M398" s="36"/>
    </row>
    <row r="399" spans="1:13">
      <c r="A399" s="66"/>
      <c r="B399" s="66"/>
      <c r="C399" s="66"/>
      <c r="D399" s="66"/>
      <c r="E399" s="66"/>
      <c r="F399" s="67"/>
      <c r="G399" s="67"/>
      <c r="H399" s="66"/>
      <c r="I399" s="66"/>
      <c r="J399" s="66"/>
      <c r="K399" s="66"/>
      <c r="L399" s="36"/>
      <c r="M399" s="36"/>
    </row>
    <row r="400" spans="1:13">
      <c r="A400" s="66"/>
      <c r="B400" s="66"/>
      <c r="C400" s="66"/>
      <c r="D400" s="66"/>
      <c r="E400" s="66"/>
      <c r="F400" s="67"/>
      <c r="G400" s="67"/>
      <c r="H400" s="66"/>
      <c r="I400" s="66"/>
      <c r="J400" s="66"/>
      <c r="K400" s="66"/>
      <c r="L400" s="36"/>
      <c r="M400" s="36"/>
    </row>
    <row r="401" spans="1:13">
      <c r="A401" s="66"/>
      <c r="B401" s="66"/>
      <c r="C401" s="66"/>
      <c r="D401" s="66"/>
      <c r="E401" s="66"/>
      <c r="F401" s="67"/>
      <c r="G401" s="67"/>
      <c r="H401" s="66"/>
      <c r="I401" s="66"/>
      <c r="J401" s="66"/>
      <c r="K401" s="66"/>
      <c r="L401" s="36"/>
      <c r="M401" s="36"/>
    </row>
    <row r="402" spans="1:13">
      <c r="A402" s="66"/>
      <c r="B402" s="66"/>
      <c r="C402" s="66"/>
      <c r="D402" s="66"/>
      <c r="E402" s="66"/>
      <c r="F402" s="67"/>
      <c r="G402" s="67"/>
      <c r="H402" s="66"/>
      <c r="I402" s="66"/>
      <c r="J402" s="66"/>
      <c r="K402" s="66"/>
      <c r="L402" s="36"/>
      <c r="M402" s="36"/>
    </row>
    <row r="403" spans="1:13">
      <c r="A403" s="66"/>
      <c r="B403" s="66"/>
      <c r="C403" s="66"/>
      <c r="D403" s="66"/>
      <c r="E403" s="66"/>
      <c r="F403" s="67"/>
      <c r="G403" s="67"/>
      <c r="H403" s="66"/>
      <c r="I403" s="66"/>
      <c r="J403" s="66"/>
      <c r="K403" s="66"/>
      <c r="L403" s="36"/>
      <c r="M403" s="36"/>
    </row>
    <row r="404" spans="1:13">
      <c r="A404" s="66"/>
      <c r="B404" s="66"/>
      <c r="C404" s="66"/>
      <c r="D404" s="66"/>
      <c r="E404" s="66"/>
      <c r="F404" s="67"/>
      <c r="G404" s="67"/>
      <c r="H404" s="66"/>
      <c r="I404" s="66"/>
      <c r="J404" s="66"/>
      <c r="K404" s="66"/>
      <c r="L404" s="36"/>
      <c r="M404" s="36"/>
    </row>
    <row r="405" spans="1:13">
      <c r="A405" s="66"/>
      <c r="B405" s="66"/>
      <c r="C405" s="66"/>
      <c r="D405" s="66"/>
      <c r="E405" s="66"/>
      <c r="F405" s="67"/>
      <c r="G405" s="67"/>
      <c r="H405" s="66"/>
      <c r="I405" s="66"/>
      <c r="J405" s="66"/>
      <c r="K405" s="66"/>
      <c r="L405" s="36"/>
      <c r="M405" s="36"/>
    </row>
    <row r="406" spans="1:13">
      <c r="A406" s="66"/>
      <c r="B406" s="66"/>
      <c r="C406" s="66"/>
      <c r="D406" s="66"/>
      <c r="E406" s="66"/>
      <c r="F406" s="67"/>
      <c r="G406" s="67"/>
      <c r="H406" s="66"/>
      <c r="I406" s="66"/>
      <c r="J406" s="66"/>
      <c r="K406" s="66"/>
      <c r="L406" s="36"/>
      <c r="M406" s="36"/>
    </row>
    <row r="407" spans="1:13">
      <c r="A407" s="66"/>
      <c r="B407" s="66"/>
      <c r="C407" s="66"/>
      <c r="D407" s="66"/>
      <c r="E407" s="66"/>
      <c r="F407" s="67"/>
      <c r="G407" s="67"/>
      <c r="H407" s="66"/>
      <c r="I407" s="66"/>
      <c r="J407" s="66"/>
      <c r="K407" s="66"/>
      <c r="L407" s="36"/>
      <c r="M407" s="36"/>
    </row>
    <row r="408" spans="1:13">
      <c r="A408" s="66"/>
      <c r="B408" s="66"/>
      <c r="C408" s="66"/>
      <c r="D408" s="66"/>
      <c r="E408" s="66"/>
      <c r="F408" s="67"/>
      <c r="G408" s="67"/>
      <c r="H408" s="66"/>
      <c r="I408" s="66"/>
      <c r="J408" s="66"/>
      <c r="K408" s="66"/>
      <c r="L408" s="36"/>
      <c r="M408" s="36"/>
    </row>
    <row r="409" spans="1:13">
      <c r="A409" s="66"/>
      <c r="B409" s="66"/>
      <c r="C409" s="66"/>
      <c r="D409" s="66"/>
      <c r="E409" s="66"/>
      <c r="F409" s="67"/>
      <c r="G409" s="67"/>
      <c r="H409" s="66"/>
      <c r="I409" s="66"/>
      <c r="J409" s="66"/>
      <c r="K409" s="66"/>
      <c r="L409" s="36"/>
      <c r="M409" s="36"/>
    </row>
    <row r="410" spans="1:13">
      <c r="A410" s="66"/>
      <c r="B410" s="66"/>
      <c r="C410" s="66"/>
      <c r="D410" s="66"/>
      <c r="E410" s="66"/>
      <c r="F410" s="67"/>
      <c r="G410" s="67"/>
      <c r="H410" s="66"/>
      <c r="I410" s="66"/>
      <c r="J410" s="66"/>
      <c r="K410" s="66"/>
      <c r="L410" s="36"/>
      <c r="M410" s="36"/>
    </row>
    <row r="411" spans="1:13">
      <c r="A411" s="66"/>
      <c r="B411" s="66"/>
      <c r="C411" s="66"/>
      <c r="D411" s="66"/>
      <c r="E411" s="66"/>
      <c r="F411" s="67"/>
      <c r="G411" s="67"/>
      <c r="H411" s="66"/>
      <c r="I411" s="66"/>
      <c r="J411" s="66"/>
      <c r="K411" s="66"/>
      <c r="L411" s="36"/>
      <c r="M411" s="36"/>
    </row>
    <row r="412" spans="1:13">
      <c r="A412" s="66"/>
      <c r="B412" s="66"/>
      <c r="C412" s="66"/>
      <c r="D412" s="66"/>
      <c r="E412" s="66"/>
      <c r="F412" s="67"/>
      <c r="G412" s="67"/>
      <c r="H412" s="66"/>
      <c r="I412" s="66"/>
      <c r="J412" s="66"/>
      <c r="K412" s="66"/>
      <c r="L412" s="36"/>
      <c r="M412" s="36"/>
    </row>
    <row r="413" spans="1:13">
      <c r="A413" s="66"/>
      <c r="B413" s="66"/>
      <c r="C413" s="66"/>
      <c r="D413" s="66"/>
      <c r="E413" s="66"/>
      <c r="F413" s="67"/>
      <c r="G413" s="67"/>
      <c r="H413" s="66"/>
      <c r="I413" s="66"/>
      <c r="J413" s="66"/>
      <c r="K413" s="66"/>
      <c r="L413" s="36"/>
      <c r="M413" s="36"/>
    </row>
    <row r="414" spans="1:13">
      <c r="A414" s="66"/>
      <c r="B414" s="66"/>
      <c r="C414" s="66"/>
      <c r="D414" s="66"/>
      <c r="E414" s="66"/>
      <c r="F414" s="67"/>
      <c r="G414" s="67"/>
      <c r="H414" s="66"/>
      <c r="I414" s="66"/>
      <c r="J414" s="66"/>
      <c r="K414" s="66"/>
      <c r="L414" s="36"/>
      <c r="M414" s="36"/>
    </row>
    <row r="415" spans="1:13">
      <c r="A415" s="66"/>
      <c r="B415" s="66"/>
      <c r="C415" s="66"/>
      <c r="D415" s="66"/>
      <c r="E415" s="66"/>
      <c r="F415" s="67"/>
      <c r="G415" s="67"/>
      <c r="H415" s="66"/>
      <c r="I415" s="66"/>
      <c r="J415" s="66"/>
      <c r="K415" s="66"/>
      <c r="L415" s="36"/>
      <c r="M415" s="36"/>
    </row>
    <row r="416" spans="1:13">
      <c r="A416" s="66"/>
      <c r="B416" s="66"/>
      <c r="C416" s="66"/>
      <c r="D416" s="66"/>
      <c r="E416" s="66"/>
      <c r="F416" s="67"/>
      <c r="G416" s="67"/>
      <c r="H416" s="66"/>
      <c r="I416" s="66"/>
      <c r="J416" s="66"/>
      <c r="K416" s="66"/>
      <c r="L416" s="36"/>
      <c r="M416" s="36"/>
    </row>
    <row r="417" spans="1:13">
      <c r="A417" s="66"/>
      <c r="B417" s="66"/>
      <c r="C417" s="66"/>
      <c r="D417" s="66"/>
      <c r="E417" s="66"/>
      <c r="F417" s="67"/>
      <c r="G417" s="67"/>
      <c r="H417" s="66"/>
      <c r="I417" s="66"/>
      <c r="J417" s="66"/>
      <c r="K417" s="66"/>
      <c r="L417" s="36"/>
      <c r="M417" s="36"/>
    </row>
    <row r="418" spans="1:13">
      <c r="A418" s="66"/>
      <c r="B418" s="66"/>
      <c r="C418" s="66"/>
      <c r="D418" s="66"/>
      <c r="E418" s="66"/>
      <c r="F418" s="67"/>
      <c r="G418" s="67"/>
      <c r="H418" s="66"/>
      <c r="I418" s="66"/>
      <c r="J418" s="66"/>
      <c r="K418" s="66"/>
      <c r="L418" s="36"/>
      <c r="M418" s="36"/>
    </row>
    <row r="419" spans="1:13">
      <c r="A419" s="66"/>
      <c r="B419" s="66"/>
      <c r="C419" s="66"/>
      <c r="D419" s="66"/>
      <c r="E419" s="66"/>
      <c r="F419" s="67"/>
      <c r="G419" s="67"/>
      <c r="H419" s="66"/>
      <c r="I419" s="66"/>
      <c r="J419" s="66"/>
      <c r="K419" s="66"/>
      <c r="L419" s="36"/>
      <c r="M419" s="36"/>
    </row>
    <row r="420" spans="1:13">
      <c r="A420" s="66"/>
      <c r="B420" s="66"/>
      <c r="C420" s="66"/>
      <c r="D420" s="66"/>
      <c r="E420" s="66"/>
      <c r="F420" s="67"/>
      <c r="G420" s="67"/>
      <c r="H420" s="66"/>
      <c r="I420" s="66"/>
      <c r="J420" s="66"/>
      <c r="K420" s="66"/>
      <c r="L420" s="36"/>
      <c r="M420" s="36"/>
    </row>
    <row r="421" spans="1:13">
      <c r="A421" s="66"/>
      <c r="B421" s="66"/>
      <c r="C421" s="66"/>
      <c r="D421" s="66"/>
      <c r="E421" s="66"/>
      <c r="F421" s="67"/>
      <c r="G421" s="67"/>
      <c r="H421" s="66"/>
      <c r="I421" s="66"/>
      <c r="J421" s="66"/>
      <c r="K421" s="66"/>
      <c r="L421" s="36"/>
      <c r="M421" s="36"/>
    </row>
    <row r="422" spans="1:13">
      <c r="A422" s="66"/>
      <c r="B422" s="66"/>
      <c r="C422" s="66"/>
      <c r="D422" s="66"/>
      <c r="E422" s="66"/>
      <c r="F422" s="67"/>
      <c r="G422" s="67"/>
      <c r="H422" s="66"/>
      <c r="I422" s="66"/>
      <c r="J422" s="66"/>
      <c r="K422" s="66"/>
      <c r="L422" s="36"/>
      <c r="M422" s="36"/>
    </row>
    <row r="423" spans="1:13">
      <c r="A423" s="66"/>
      <c r="B423" s="66"/>
      <c r="C423" s="66"/>
      <c r="D423" s="66"/>
      <c r="E423" s="66"/>
      <c r="F423" s="67"/>
      <c r="G423" s="67"/>
      <c r="H423" s="66"/>
      <c r="I423" s="66"/>
      <c r="J423" s="66"/>
      <c r="K423" s="66"/>
      <c r="L423" s="36"/>
      <c r="M423" s="36"/>
    </row>
    <row r="424" spans="1:13">
      <c r="A424" s="66"/>
      <c r="B424" s="66"/>
      <c r="C424" s="66"/>
      <c r="D424" s="66"/>
      <c r="E424" s="66"/>
      <c r="F424" s="67"/>
      <c r="G424" s="67"/>
      <c r="H424" s="66"/>
      <c r="I424" s="66"/>
      <c r="J424" s="66"/>
      <c r="K424" s="66"/>
      <c r="L424" s="36"/>
      <c r="M424" s="36"/>
    </row>
    <row r="425" spans="1:13">
      <c r="A425" s="66"/>
      <c r="B425" s="66"/>
      <c r="C425" s="66"/>
      <c r="D425" s="66"/>
      <c r="E425" s="66"/>
      <c r="F425" s="67"/>
      <c r="G425" s="67"/>
      <c r="H425" s="66"/>
      <c r="I425" s="66"/>
      <c r="J425" s="66"/>
      <c r="K425" s="66"/>
      <c r="L425" s="36"/>
      <c r="M425" s="36"/>
    </row>
    <row r="426" spans="1:13">
      <c r="A426" s="66"/>
      <c r="B426" s="66"/>
      <c r="C426" s="66"/>
      <c r="D426" s="66"/>
      <c r="E426" s="66"/>
      <c r="F426" s="67"/>
      <c r="G426" s="67"/>
      <c r="H426" s="66"/>
      <c r="I426" s="66"/>
      <c r="J426" s="66"/>
      <c r="K426" s="66"/>
      <c r="L426" s="36"/>
      <c r="M426" s="36"/>
    </row>
    <row r="427" spans="1:13">
      <c r="A427" s="66"/>
      <c r="B427" s="66"/>
      <c r="C427" s="66"/>
      <c r="D427" s="66"/>
      <c r="E427" s="66"/>
      <c r="F427" s="67"/>
      <c r="G427" s="67"/>
      <c r="H427" s="66"/>
      <c r="I427" s="66"/>
      <c r="J427" s="66"/>
      <c r="K427" s="66"/>
      <c r="L427" s="36"/>
      <c r="M427" s="36"/>
    </row>
    <row r="428" spans="1:13">
      <c r="A428" s="66"/>
      <c r="B428" s="66"/>
      <c r="C428" s="66"/>
      <c r="D428" s="66"/>
      <c r="E428" s="66"/>
      <c r="F428" s="67"/>
      <c r="G428" s="67"/>
      <c r="H428" s="66"/>
      <c r="I428" s="66"/>
      <c r="J428" s="66"/>
      <c r="K428" s="66"/>
      <c r="L428" s="36"/>
      <c r="M428" s="36"/>
    </row>
    <row r="429" spans="1:13">
      <c r="A429" s="66"/>
      <c r="B429" s="66"/>
      <c r="C429" s="66"/>
      <c r="D429" s="66"/>
      <c r="E429" s="66"/>
      <c r="F429" s="67"/>
      <c r="G429" s="67"/>
      <c r="H429" s="66"/>
      <c r="I429" s="66"/>
      <c r="J429" s="66"/>
      <c r="K429" s="66"/>
      <c r="L429" s="36"/>
      <c r="M429" s="36"/>
    </row>
    <row r="430" spans="1:13">
      <c r="A430" s="66"/>
      <c r="B430" s="66"/>
      <c r="C430" s="66"/>
      <c r="D430" s="66"/>
      <c r="E430" s="66"/>
      <c r="F430" s="67"/>
      <c r="G430" s="67"/>
      <c r="H430" s="66"/>
      <c r="I430" s="66"/>
      <c r="J430" s="66"/>
      <c r="K430" s="66"/>
      <c r="L430" s="36"/>
      <c r="M430" s="36"/>
    </row>
    <row r="431" spans="1:13">
      <c r="A431" s="66"/>
      <c r="B431" s="66"/>
      <c r="C431" s="66"/>
      <c r="D431" s="66"/>
      <c r="E431" s="66"/>
      <c r="F431" s="67"/>
      <c r="G431" s="67"/>
      <c r="H431" s="66"/>
      <c r="I431" s="66"/>
      <c r="J431" s="66"/>
      <c r="K431" s="66"/>
      <c r="L431" s="36"/>
      <c r="M431" s="36"/>
    </row>
    <row r="432" spans="1:13">
      <c r="A432" s="66"/>
      <c r="B432" s="66"/>
      <c r="C432" s="66"/>
      <c r="D432" s="66"/>
      <c r="E432" s="66"/>
      <c r="F432" s="67"/>
      <c r="G432" s="67"/>
      <c r="H432" s="66"/>
      <c r="I432" s="66"/>
      <c r="J432" s="66"/>
      <c r="K432" s="66"/>
      <c r="L432" s="36"/>
      <c r="M432" s="36"/>
    </row>
    <row r="433" spans="1:13">
      <c r="A433" s="66"/>
      <c r="B433" s="66"/>
      <c r="C433" s="66"/>
      <c r="D433" s="66"/>
      <c r="E433" s="66"/>
      <c r="F433" s="67"/>
      <c r="G433" s="67"/>
      <c r="H433" s="66"/>
      <c r="I433" s="66"/>
      <c r="J433" s="66"/>
      <c r="K433" s="66"/>
      <c r="L433" s="36"/>
      <c r="M433" s="36"/>
    </row>
    <row r="434" spans="1:13">
      <c r="A434" s="66"/>
      <c r="B434" s="66"/>
      <c r="C434" s="66"/>
      <c r="D434" s="66"/>
      <c r="E434" s="66"/>
      <c r="F434" s="67"/>
      <c r="G434" s="67"/>
      <c r="H434" s="66"/>
      <c r="I434" s="66"/>
      <c r="J434" s="66"/>
      <c r="K434" s="66"/>
      <c r="L434" s="36"/>
      <c r="M434" s="36"/>
    </row>
    <row r="435" spans="1:13">
      <c r="A435" s="66"/>
      <c r="B435" s="66"/>
      <c r="C435" s="66"/>
      <c r="D435" s="66"/>
      <c r="E435" s="66"/>
      <c r="F435" s="67"/>
      <c r="G435" s="67"/>
      <c r="H435" s="66"/>
      <c r="I435" s="66"/>
      <c r="J435" s="66"/>
      <c r="K435" s="66"/>
      <c r="L435" s="36"/>
      <c r="M435" s="36"/>
    </row>
    <row r="436" spans="1:13">
      <c r="A436" s="66"/>
      <c r="B436" s="66"/>
      <c r="C436" s="66"/>
      <c r="D436" s="66"/>
      <c r="E436" s="66"/>
      <c r="F436" s="67"/>
      <c r="G436" s="67"/>
      <c r="H436" s="66"/>
      <c r="I436" s="66"/>
      <c r="J436" s="66"/>
      <c r="K436" s="66"/>
      <c r="L436" s="36"/>
      <c r="M436" s="36"/>
    </row>
    <row r="437" spans="1:13">
      <c r="A437" s="66"/>
      <c r="B437" s="66"/>
      <c r="C437" s="66"/>
      <c r="D437" s="66"/>
      <c r="E437" s="66"/>
      <c r="F437" s="67"/>
      <c r="G437" s="67"/>
      <c r="H437" s="66"/>
      <c r="I437" s="66"/>
      <c r="J437" s="66"/>
      <c r="K437" s="66"/>
      <c r="L437" s="36"/>
      <c r="M437" s="36"/>
    </row>
    <row r="438" spans="1:13">
      <c r="A438" s="66"/>
      <c r="B438" s="66"/>
      <c r="C438" s="66"/>
      <c r="D438" s="66"/>
      <c r="E438" s="66"/>
      <c r="F438" s="67"/>
      <c r="G438" s="67"/>
      <c r="H438" s="66"/>
      <c r="I438" s="66"/>
      <c r="J438" s="66"/>
      <c r="K438" s="66"/>
      <c r="L438" s="36"/>
      <c r="M438" s="36"/>
    </row>
    <row r="439" spans="1:13">
      <c r="A439" s="66"/>
      <c r="B439" s="66"/>
      <c r="C439" s="66"/>
      <c r="D439" s="66"/>
      <c r="E439" s="66"/>
      <c r="F439" s="67"/>
      <c r="G439" s="67"/>
      <c r="H439" s="66"/>
      <c r="I439" s="66"/>
      <c r="J439" s="66"/>
      <c r="K439" s="66"/>
      <c r="L439" s="36"/>
      <c r="M439" s="36"/>
    </row>
    <row r="440" spans="1:13">
      <c r="A440" s="66"/>
      <c r="B440" s="66"/>
      <c r="C440" s="66"/>
      <c r="D440" s="66"/>
      <c r="E440" s="66"/>
      <c r="F440" s="67"/>
      <c r="G440" s="67"/>
      <c r="H440" s="66"/>
      <c r="I440" s="66"/>
      <c r="J440" s="66"/>
      <c r="K440" s="66"/>
      <c r="L440" s="36"/>
      <c r="M440" s="36"/>
    </row>
    <row r="441" spans="1:13">
      <c r="A441" s="66"/>
      <c r="B441" s="66"/>
      <c r="C441" s="66"/>
      <c r="D441" s="66"/>
      <c r="E441" s="66"/>
      <c r="F441" s="67"/>
      <c r="G441" s="67"/>
      <c r="H441" s="66"/>
      <c r="I441" s="66"/>
      <c r="J441" s="66"/>
      <c r="K441" s="66"/>
      <c r="L441" s="36"/>
      <c r="M441" s="36"/>
    </row>
    <row r="442" spans="1:13">
      <c r="A442" s="66"/>
      <c r="B442" s="66"/>
      <c r="C442" s="66"/>
      <c r="D442" s="66"/>
      <c r="E442" s="66"/>
      <c r="F442" s="67"/>
      <c r="G442" s="67"/>
      <c r="H442" s="66"/>
      <c r="I442" s="66"/>
      <c r="J442" s="66"/>
      <c r="K442" s="66"/>
      <c r="L442" s="36"/>
      <c r="M442" s="36"/>
    </row>
    <row r="443" spans="1:13">
      <c r="A443" s="66"/>
      <c r="B443" s="66"/>
      <c r="C443" s="66"/>
      <c r="D443" s="66"/>
      <c r="E443" s="66"/>
      <c r="F443" s="67"/>
      <c r="G443" s="67"/>
      <c r="H443" s="66"/>
      <c r="I443" s="66"/>
      <c r="J443" s="66"/>
      <c r="K443" s="66"/>
      <c r="L443" s="36"/>
      <c r="M443" s="36"/>
    </row>
    <row r="444" spans="1:13">
      <c r="A444" s="66"/>
      <c r="B444" s="66"/>
      <c r="C444" s="66"/>
      <c r="D444" s="66"/>
      <c r="E444" s="66"/>
      <c r="F444" s="67"/>
      <c r="G444" s="67"/>
      <c r="H444" s="66"/>
      <c r="I444" s="66"/>
      <c r="J444" s="66"/>
      <c r="K444" s="66"/>
      <c r="L444" s="36"/>
      <c r="M444" s="36"/>
    </row>
    <row r="445" spans="1:13">
      <c r="A445" s="66"/>
      <c r="B445" s="66"/>
      <c r="C445" s="66"/>
      <c r="D445" s="66"/>
      <c r="E445" s="66"/>
      <c r="F445" s="67"/>
      <c r="G445" s="67"/>
      <c r="H445" s="66"/>
      <c r="I445" s="66"/>
      <c r="J445" s="66"/>
      <c r="K445" s="66"/>
      <c r="L445" s="36"/>
      <c r="M445" s="36"/>
    </row>
    <row r="446" spans="1:13">
      <c r="A446" s="66"/>
      <c r="B446" s="66"/>
      <c r="C446" s="66"/>
      <c r="D446" s="66"/>
      <c r="E446" s="66"/>
      <c r="F446" s="67"/>
      <c r="G446" s="67"/>
      <c r="H446" s="66"/>
      <c r="I446" s="66"/>
      <c r="J446" s="66"/>
      <c r="K446" s="66"/>
      <c r="L446" s="36"/>
      <c r="M446" s="36"/>
    </row>
    <row r="447" spans="1:13">
      <c r="A447" s="66"/>
      <c r="B447" s="66"/>
      <c r="C447" s="66"/>
      <c r="D447" s="66"/>
      <c r="E447" s="66"/>
      <c r="F447" s="67"/>
      <c r="G447" s="67"/>
      <c r="H447" s="66"/>
      <c r="I447" s="66"/>
      <c r="J447" s="66"/>
      <c r="K447" s="66"/>
      <c r="L447" s="36"/>
      <c r="M447" s="36"/>
    </row>
    <row r="448" spans="1:13">
      <c r="A448" s="66"/>
      <c r="B448" s="66"/>
      <c r="C448" s="66"/>
      <c r="D448" s="66"/>
      <c r="E448" s="66"/>
      <c r="F448" s="67"/>
      <c r="G448" s="67"/>
      <c r="H448" s="66"/>
      <c r="I448" s="66"/>
      <c r="J448" s="66"/>
      <c r="K448" s="66"/>
      <c r="L448" s="36"/>
      <c r="M448" s="36"/>
    </row>
    <row r="449" spans="1:13">
      <c r="A449" s="66"/>
      <c r="B449" s="66"/>
      <c r="C449" s="66"/>
      <c r="D449" s="66"/>
      <c r="E449" s="66"/>
      <c r="F449" s="67"/>
      <c r="G449" s="67"/>
      <c r="H449" s="66"/>
      <c r="I449" s="66"/>
      <c r="J449" s="66"/>
      <c r="K449" s="66"/>
      <c r="L449" s="36"/>
      <c r="M449" s="36"/>
    </row>
    <row r="450" spans="1:13">
      <c r="A450" s="66"/>
      <c r="B450" s="66"/>
      <c r="C450" s="66"/>
      <c r="D450" s="66"/>
      <c r="E450" s="66"/>
      <c r="F450" s="67"/>
      <c r="G450" s="67"/>
      <c r="H450" s="66"/>
      <c r="I450" s="66"/>
      <c r="J450" s="66"/>
      <c r="K450" s="66"/>
      <c r="L450" s="36"/>
      <c r="M450" s="36"/>
    </row>
    <row r="451" spans="1:13">
      <c r="A451" s="66"/>
      <c r="B451" s="66"/>
      <c r="C451" s="66"/>
      <c r="D451" s="66"/>
      <c r="E451" s="66"/>
      <c r="F451" s="67"/>
      <c r="G451" s="67"/>
      <c r="H451" s="66"/>
      <c r="I451" s="66"/>
      <c r="J451" s="66"/>
      <c r="K451" s="66"/>
      <c r="L451" s="36"/>
      <c r="M451" s="36"/>
    </row>
    <row r="452" spans="1:13">
      <c r="A452" s="66"/>
      <c r="B452" s="66"/>
      <c r="C452" s="66"/>
      <c r="D452" s="66"/>
      <c r="E452" s="66"/>
      <c r="F452" s="67"/>
      <c r="G452" s="67"/>
      <c r="H452" s="66"/>
      <c r="I452" s="66"/>
      <c r="J452" s="66"/>
      <c r="K452" s="66"/>
      <c r="L452" s="36"/>
      <c r="M452" s="36"/>
    </row>
    <row r="453" spans="1:13">
      <c r="A453" s="66"/>
      <c r="B453" s="66"/>
      <c r="C453" s="66"/>
      <c r="D453" s="66"/>
      <c r="E453" s="66"/>
      <c r="F453" s="67"/>
      <c r="G453" s="67"/>
      <c r="H453" s="66"/>
      <c r="I453" s="66"/>
      <c r="J453" s="66"/>
      <c r="K453" s="66"/>
      <c r="L453" s="36"/>
      <c r="M453" s="36"/>
    </row>
    <row r="454" spans="1:13">
      <c r="A454" s="66"/>
      <c r="B454" s="66"/>
      <c r="C454" s="66"/>
      <c r="D454" s="66"/>
      <c r="E454" s="66"/>
      <c r="F454" s="67"/>
      <c r="G454" s="67"/>
      <c r="H454" s="66"/>
      <c r="I454" s="66"/>
      <c r="J454" s="66"/>
      <c r="K454" s="66"/>
      <c r="L454" s="36"/>
      <c r="M454" s="36"/>
    </row>
    <row r="455" spans="1:13">
      <c r="A455" s="66"/>
      <c r="B455" s="66"/>
      <c r="C455" s="66"/>
      <c r="D455" s="66"/>
      <c r="E455" s="66"/>
      <c r="F455" s="67"/>
      <c r="G455" s="67"/>
      <c r="H455" s="66"/>
      <c r="I455" s="66"/>
      <c r="J455" s="66"/>
      <c r="K455" s="66"/>
      <c r="L455" s="36"/>
      <c r="M455" s="36"/>
    </row>
    <row r="456" spans="1:13">
      <c r="A456" s="66"/>
      <c r="B456" s="66"/>
      <c r="C456" s="66"/>
      <c r="D456" s="66"/>
      <c r="E456" s="66"/>
      <c r="F456" s="67"/>
      <c r="G456" s="67"/>
      <c r="H456" s="66"/>
      <c r="I456" s="66"/>
      <c r="J456" s="66"/>
      <c r="K456" s="66"/>
      <c r="L456" s="36"/>
      <c r="M456" s="36"/>
    </row>
    <row r="457" spans="1:13">
      <c r="A457" s="66"/>
      <c r="B457" s="66"/>
      <c r="C457" s="66"/>
      <c r="D457" s="66"/>
      <c r="E457" s="66"/>
      <c r="F457" s="67"/>
      <c r="G457" s="67"/>
      <c r="H457" s="66"/>
      <c r="I457" s="66"/>
      <c r="J457" s="66"/>
      <c r="K457" s="66"/>
      <c r="L457" s="36"/>
      <c r="M457" s="36"/>
    </row>
    <row r="458" spans="1:13">
      <c r="A458" s="66"/>
      <c r="B458" s="66"/>
      <c r="C458" s="66"/>
      <c r="D458" s="66"/>
      <c r="E458" s="66"/>
      <c r="F458" s="67"/>
      <c r="G458" s="67"/>
      <c r="H458" s="66"/>
      <c r="I458" s="66"/>
      <c r="J458" s="66"/>
      <c r="K458" s="66"/>
      <c r="L458" s="36"/>
      <c r="M458" s="36"/>
    </row>
    <row r="459" spans="1:13">
      <c r="A459" s="66"/>
      <c r="B459" s="66"/>
      <c r="C459" s="66"/>
      <c r="D459" s="66"/>
      <c r="E459" s="66"/>
      <c r="F459" s="67"/>
      <c r="G459" s="67"/>
      <c r="H459" s="66"/>
      <c r="I459" s="66"/>
      <c r="J459" s="66"/>
      <c r="K459" s="66"/>
      <c r="L459" s="36"/>
      <c r="M459" s="36"/>
    </row>
    <row r="460" spans="1:13">
      <c r="A460" s="66"/>
      <c r="B460" s="66"/>
      <c r="C460" s="66"/>
      <c r="D460" s="66"/>
      <c r="E460" s="66"/>
      <c r="F460" s="67"/>
      <c r="G460" s="67"/>
      <c r="H460" s="66"/>
      <c r="I460" s="66"/>
      <c r="J460" s="66"/>
      <c r="K460" s="66"/>
      <c r="L460" s="36"/>
      <c r="M460" s="36"/>
    </row>
    <row r="461" spans="1:13">
      <c r="A461" s="66"/>
      <c r="B461" s="66"/>
      <c r="C461" s="66"/>
      <c r="D461" s="66"/>
      <c r="E461" s="66"/>
      <c r="F461" s="67"/>
      <c r="G461" s="67"/>
      <c r="H461" s="66"/>
      <c r="I461" s="66"/>
      <c r="J461" s="66"/>
      <c r="K461" s="66"/>
      <c r="L461" s="36"/>
      <c r="M461" s="36"/>
    </row>
    <row r="462" spans="1:13">
      <c r="A462" s="66"/>
      <c r="B462" s="66"/>
      <c r="C462" s="66"/>
      <c r="D462" s="66"/>
      <c r="E462" s="66"/>
      <c r="F462" s="67"/>
      <c r="G462" s="67"/>
      <c r="H462" s="66"/>
      <c r="I462" s="66"/>
      <c r="J462" s="66"/>
      <c r="K462" s="66"/>
      <c r="L462" s="36"/>
      <c r="M462" s="36"/>
    </row>
    <row r="463" spans="1:13">
      <c r="A463" s="66"/>
      <c r="B463" s="66"/>
      <c r="C463" s="66"/>
      <c r="D463" s="66"/>
      <c r="E463" s="66"/>
      <c r="F463" s="67"/>
      <c r="G463" s="67"/>
      <c r="H463" s="66"/>
      <c r="I463" s="66"/>
      <c r="J463" s="66"/>
      <c r="K463" s="66"/>
      <c r="L463" s="36"/>
      <c r="M463" s="36"/>
    </row>
    <row r="464" spans="1:13">
      <c r="A464" s="66"/>
      <c r="B464" s="66"/>
      <c r="C464" s="66"/>
      <c r="D464" s="66"/>
      <c r="E464" s="66"/>
      <c r="F464" s="67"/>
      <c r="G464" s="67"/>
      <c r="H464" s="66"/>
      <c r="I464" s="66"/>
      <c r="J464" s="66"/>
      <c r="K464" s="66"/>
      <c r="L464" s="36"/>
      <c r="M464" s="36"/>
    </row>
    <row r="465" spans="1:13">
      <c r="A465" s="66"/>
      <c r="B465" s="66"/>
      <c r="C465" s="66"/>
      <c r="D465" s="66"/>
      <c r="E465" s="66"/>
      <c r="F465" s="67"/>
      <c r="G465" s="67"/>
      <c r="H465" s="66"/>
      <c r="I465" s="66"/>
      <c r="J465" s="66"/>
      <c r="K465" s="66"/>
      <c r="L465" s="36"/>
      <c r="M465" s="36"/>
    </row>
    <row r="466" spans="1:13">
      <c r="A466" s="66"/>
      <c r="B466" s="66"/>
      <c r="C466" s="66"/>
      <c r="D466" s="66"/>
      <c r="E466" s="66"/>
      <c r="F466" s="67"/>
      <c r="G466" s="67"/>
      <c r="H466" s="66"/>
      <c r="I466" s="66"/>
      <c r="J466" s="66"/>
      <c r="K466" s="66"/>
      <c r="L466" s="36"/>
      <c r="M466" s="36"/>
    </row>
    <row r="467" spans="1:13">
      <c r="A467" s="66"/>
      <c r="B467" s="66"/>
      <c r="C467" s="66"/>
      <c r="D467" s="66"/>
      <c r="E467" s="66"/>
      <c r="F467" s="67"/>
      <c r="G467" s="67"/>
      <c r="H467" s="66"/>
      <c r="I467" s="66"/>
      <c r="J467" s="66"/>
      <c r="K467" s="66"/>
      <c r="L467" s="36"/>
      <c r="M467" s="36"/>
    </row>
    <row r="468" spans="1:13">
      <c r="A468" s="66"/>
      <c r="B468" s="66"/>
      <c r="C468" s="66"/>
      <c r="D468" s="66"/>
      <c r="E468" s="66"/>
      <c r="F468" s="67"/>
      <c r="G468" s="67"/>
      <c r="H468" s="66"/>
      <c r="I468" s="66"/>
      <c r="J468" s="66"/>
      <c r="K468" s="66"/>
      <c r="L468" s="36"/>
      <c r="M468" s="36"/>
    </row>
    <row r="469" spans="1:13">
      <c r="A469" s="66"/>
      <c r="B469" s="66"/>
      <c r="C469" s="66"/>
      <c r="D469" s="66"/>
      <c r="E469" s="66"/>
      <c r="F469" s="67"/>
      <c r="G469" s="67"/>
      <c r="H469" s="66"/>
      <c r="I469" s="66"/>
      <c r="J469" s="66"/>
      <c r="K469" s="66"/>
      <c r="L469" s="36"/>
      <c r="M469" s="36"/>
    </row>
    <row r="470" spans="1:13">
      <c r="A470" s="66"/>
      <c r="B470" s="66"/>
      <c r="C470" s="66"/>
      <c r="D470" s="66"/>
      <c r="E470" s="66"/>
      <c r="F470" s="67"/>
      <c r="G470" s="67"/>
      <c r="H470" s="66"/>
      <c r="I470" s="66"/>
      <c r="J470" s="66"/>
      <c r="K470" s="66"/>
      <c r="L470" s="36"/>
      <c r="M470" s="36"/>
    </row>
    <row r="471" spans="1:13">
      <c r="A471" s="66"/>
      <c r="B471" s="66"/>
      <c r="C471" s="66"/>
      <c r="D471" s="66"/>
      <c r="E471" s="66"/>
      <c r="F471" s="67"/>
      <c r="G471" s="67"/>
      <c r="H471" s="66"/>
      <c r="I471" s="66"/>
      <c r="J471" s="66"/>
      <c r="K471" s="66"/>
      <c r="L471" s="36"/>
      <c r="M471" s="36"/>
    </row>
    <row r="472" spans="1:13">
      <c r="A472" s="66"/>
      <c r="B472" s="66"/>
      <c r="C472" s="66"/>
      <c r="D472" s="66"/>
      <c r="E472" s="66"/>
      <c r="F472" s="67"/>
      <c r="G472" s="67"/>
      <c r="H472" s="66"/>
      <c r="I472" s="66"/>
      <c r="J472" s="66"/>
      <c r="K472" s="66"/>
      <c r="L472" s="36"/>
      <c r="M472" s="36"/>
    </row>
    <row r="473" spans="1:13">
      <c r="A473" s="66"/>
      <c r="B473" s="66"/>
      <c r="C473" s="66"/>
      <c r="D473" s="66"/>
      <c r="E473" s="66"/>
      <c r="F473" s="67"/>
      <c r="G473" s="67"/>
      <c r="H473" s="66"/>
      <c r="I473" s="66"/>
      <c r="J473" s="66"/>
      <c r="K473" s="66"/>
      <c r="L473" s="36"/>
      <c r="M473" s="36"/>
    </row>
    <row r="474" spans="1:13">
      <c r="A474" s="66"/>
      <c r="B474" s="66"/>
      <c r="C474" s="66"/>
      <c r="D474" s="66"/>
      <c r="E474" s="66"/>
      <c r="F474" s="67"/>
      <c r="G474" s="67"/>
      <c r="H474" s="66"/>
      <c r="I474" s="66"/>
      <c r="J474" s="66"/>
      <c r="K474" s="66"/>
      <c r="L474" s="36"/>
      <c r="M474" s="36"/>
    </row>
    <row r="475" spans="1:13">
      <c r="A475" s="66"/>
      <c r="B475" s="66"/>
      <c r="C475" s="66"/>
      <c r="D475" s="66"/>
      <c r="E475" s="66"/>
      <c r="F475" s="67"/>
      <c r="G475" s="67"/>
      <c r="H475" s="66"/>
      <c r="I475" s="66"/>
      <c r="J475" s="66"/>
      <c r="K475" s="66"/>
      <c r="L475" s="36"/>
      <c r="M475" s="36"/>
    </row>
    <row r="476" spans="1:13">
      <c r="A476" s="66"/>
      <c r="B476" s="66"/>
      <c r="C476" s="66"/>
      <c r="D476" s="66"/>
      <c r="E476" s="66"/>
      <c r="F476" s="67"/>
      <c r="G476" s="67"/>
      <c r="H476" s="66"/>
      <c r="I476" s="66"/>
      <c r="J476" s="66"/>
      <c r="K476" s="66"/>
      <c r="L476" s="36"/>
      <c r="M476" s="36"/>
    </row>
    <row r="477" spans="1:13">
      <c r="A477" s="66"/>
      <c r="B477" s="66"/>
      <c r="C477" s="66"/>
      <c r="D477" s="66"/>
      <c r="E477" s="66"/>
      <c r="F477" s="67"/>
      <c r="G477" s="67"/>
      <c r="H477" s="66"/>
      <c r="I477" s="66"/>
      <c r="J477" s="66"/>
      <c r="K477" s="66"/>
      <c r="L477" s="36"/>
      <c r="M477" s="36"/>
    </row>
    <row r="478" spans="1:13">
      <c r="A478" s="66"/>
      <c r="B478" s="66"/>
      <c r="C478" s="66"/>
      <c r="D478" s="66"/>
      <c r="E478" s="66"/>
      <c r="F478" s="67"/>
      <c r="G478" s="67"/>
      <c r="H478" s="66"/>
      <c r="I478" s="66"/>
      <c r="J478" s="66"/>
      <c r="K478" s="66"/>
      <c r="L478" s="36"/>
      <c r="M478" s="36"/>
    </row>
    <row r="479" spans="1:13">
      <c r="A479" s="66"/>
      <c r="B479" s="66"/>
      <c r="C479" s="66"/>
      <c r="D479" s="66"/>
      <c r="E479" s="66"/>
      <c r="F479" s="67"/>
      <c r="G479" s="67"/>
      <c r="H479" s="66"/>
      <c r="I479" s="66"/>
      <c r="J479" s="66"/>
      <c r="K479" s="66"/>
      <c r="L479" s="36"/>
      <c r="M479" s="36"/>
    </row>
    <row r="480" spans="1:13">
      <c r="A480" s="66"/>
      <c r="B480" s="66"/>
      <c r="C480" s="66"/>
      <c r="D480" s="66"/>
      <c r="E480" s="66"/>
      <c r="F480" s="67"/>
      <c r="G480" s="67"/>
      <c r="H480" s="66"/>
      <c r="I480" s="66"/>
      <c r="J480" s="66"/>
      <c r="K480" s="66"/>
      <c r="L480" s="36"/>
      <c r="M480" s="36"/>
    </row>
    <row r="481" spans="1:13">
      <c r="A481" s="66"/>
      <c r="B481" s="66"/>
      <c r="C481" s="66"/>
      <c r="D481" s="66"/>
      <c r="E481" s="66"/>
      <c r="F481" s="67"/>
      <c r="G481" s="67"/>
      <c r="H481" s="66"/>
      <c r="I481" s="66"/>
      <c r="J481" s="66"/>
      <c r="K481" s="66"/>
      <c r="L481" s="36"/>
      <c r="M481" s="36"/>
    </row>
    <row r="482" spans="1:13">
      <c r="A482" s="66"/>
      <c r="B482" s="66"/>
      <c r="C482" s="66"/>
      <c r="D482" s="66"/>
      <c r="E482" s="66"/>
      <c r="F482" s="67"/>
      <c r="G482" s="67"/>
      <c r="H482" s="66"/>
      <c r="I482" s="66"/>
      <c r="J482" s="66"/>
      <c r="K482" s="66"/>
      <c r="L482" s="36"/>
      <c r="M482" s="36"/>
    </row>
    <row r="483" spans="1:13">
      <c r="A483" s="66"/>
      <c r="B483" s="66"/>
      <c r="C483" s="66"/>
      <c r="D483" s="66"/>
      <c r="E483" s="66"/>
      <c r="F483" s="67"/>
      <c r="G483" s="67"/>
      <c r="H483" s="66"/>
      <c r="I483" s="66"/>
      <c r="J483" s="66"/>
      <c r="K483" s="66"/>
      <c r="L483" s="36"/>
      <c r="M483" s="36"/>
    </row>
    <row r="484" spans="1:13">
      <c r="A484" s="66"/>
      <c r="B484" s="66"/>
      <c r="C484" s="66"/>
      <c r="D484" s="66"/>
      <c r="E484" s="66"/>
      <c r="F484" s="67"/>
      <c r="G484" s="67"/>
      <c r="H484" s="66"/>
      <c r="I484" s="66"/>
      <c r="J484" s="66"/>
      <c r="K484" s="66"/>
      <c r="L484" s="36"/>
      <c r="M484" s="36"/>
    </row>
    <row r="485" spans="1:13">
      <c r="A485" s="66"/>
      <c r="B485" s="66"/>
      <c r="C485" s="66"/>
      <c r="D485" s="66"/>
      <c r="E485" s="66"/>
      <c r="F485" s="67"/>
      <c r="G485" s="67"/>
      <c r="H485" s="66"/>
      <c r="I485" s="66"/>
      <c r="J485" s="66"/>
      <c r="K485" s="66"/>
      <c r="L485" s="36"/>
      <c r="M485" s="36"/>
    </row>
    <row r="486" spans="1:13">
      <c r="A486" s="66"/>
      <c r="B486" s="66"/>
      <c r="C486" s="66"/>
      <c r="D486" s="66"/>
      <c r="E486" s="66"/>
      <c r="F486" s="67"/>
      <c r="G486" s="67"/>
      <c r="H486" s="66"/>
      <c r="I486" s="66"/>
      <c r="J486" s="66"/>
      <c r="K486" s="66"/>
      <c r="L486" s="36"/>
      <c r="M486" s="36"/>
    </row>
    <row r="487" spans="1:13">
      <c r="A487" s="66"/>
      <c r="B487" s="66"/>
      <c r="C487" s="66"/>
      <c r="D487" s="66"/>
      <c r="E487" s="66"/>
      <c r="F487" s="67"/>
      <c r="G487" s="67"/>
      <c r="H487" s="66"/>
      <c r="I487" s="66"/>
      <c r="J487" s="66"/>
      <c r="K487" s="66"/>
      <c r="L487" s="36"/>
      <c r="M487" s="36"/>
    </row>
    <row r="488" spans="1:13">
      <c r="A488" s="66"/>
      <c r="B488" s="66"/>
      <c r="C488" s="66"/>
      <c r="D488" s="66"/>
      <c r="E488" s="66"/>
      <c r="F488" s="67"/>
      <c r="G488" s="67"/>
      <c r="H488" s="66"/>
      <c r="I488" s="66"/>
      <c r="J488" s="66"/>
      <c r="K488" s="66"/>
      <c r="L488" s="36"/>
      <c r="M488" s="36"/>
    </row>
    <row r="489" spans="1:13">
      <c r="A489" s="66"/>
      <c r="B489" s="66"/>
      <c r="C489" s="66"/>
      <c r="D489" s="66"/>
      <c r="E489" s="66"/>
      <c r="F489" s="67"/>
      <c r="G489" s="67"/>
      <c r="H489" s="66"/>
      <c r="I489" s="66"/>
      <c r="J489" s="66"/>
      <c r="K489" s="66"/>
      <c r="L489" s="36"/>
      <c r="M489" s="36"/>
    </row>
    <row r="490" spans="1:13">
      <c r="A490" s="66"/>
      <c r="B490" s="66"/>
      <c r="C490" s="66"/>
      <c r="D490" s="66"/>
      <c r="E490" s="66"/>
      <c r="F490" s="67"/>
      <c r="G490" s="67"/>
      <c r="H490" s="66"/>
      <c r="I490" s="66"/>
      <c r="J490" s="66"/>
      <c r="K490" s="66"/>
      <c r="L490" s="36"/>
      <c r="M490" s="36"/>
    </row>
    <row r="491" spans="1:13">
      <c r="A491" s="66"/>
      <c r="B491" s="66"/>
      <c r="C491" s="66"/>
      <c r="D491" s="66"/>
      <c r="E491" s="66"/>
      <c r="F491" s="67"/>
      <c r="G491" s="67"/>
      <c r="H491" s="66"/>
      <c r="I491" s="66"/>
      <c r="J491" s="66"/>
      <c r="K491" s="66"/>
      <c r="L491" s="36"/>
      <c r="M491" s="36"/>
    </row>
    <row r="492" spans="1:13">
      <c r="A492" s="66"/>
      <c r="B492" s="66"/>
      <c r="C492" s="66"/>
      <c r="D492" s="66"/>
      <c r="E492" s="66"/>
      <c r="F492" s="67"/>
      <c r="G492" s="67"/>
      <c r="H492" s="66"/>
      <c r="I492" s="66"/>
      <c r="J492" s="66"/>
      <c r="K492" s="66"/>
      <c r="L492" s="36"/>
      <c r="M492" s="36"/>
    </row>
    <row r="493" spans="1:13">
      <c r="A493" s="66"/>
      <c r="B493" s="66"/>
      <c r="C493" s="66"/>
      <c r="D493" s="66"/>
      <c r="E493" s="66"/>
      <c r="F493" s="67"/>
      <c r="G493" s="67"/>
      <c r="H493" s="66"/>
      <c r="I493" s="66"/>
      <c r="J493" s="66"/>
      <c r="K493" s="66"/>
      <c r="L493" s="36"/>
      <c r="M493" s="36"/>
    </row>
    <row r="494" spans="1:13">
      <c r="A494" s="66"/>
      <c r="B494" s="66"/>
      <c r="C494" s="66"/>
      <c r="D494" s="66"/>
      <c r="E494" s="66"/>
      <c r="F494" s="67"/>
      <c r="G494" s="67"/>
      <c r="H494" s="66"/>
      <c r="I494" s="66"/>
      <c r="J494" s="66"/>
      <c r="K494" s="66"/>
      <c r="L494" s="36"/>
      <c r="M494" s="36"/>
    </row>
    <row r="495" spans="1:13">
      <c r="A495" s="66"/>
      <c r="B495" s="66"/>
      <c r="C495" s="66"/>
      <c r="D495" s="66"/>
      <c r="E495" s="66"/>
      <c r="F495" s="67"/>
      <c r="G495" s="67"/>
      <c r="H495" s="66"/>
      <c r="I495" s="66"/>
      <c r="J495" s="66"/>
      <c r="K495" s="66"/>
      <c r="L495" s="36"/>
      <c r="M495" s="36"/>
    </row>
    <row r="496" spans="1:13">
      <c r="A496" s="66"/>
      <c r="B496" s="66"/>
      <c r="C496" s="66"/>
      <c r="D496" s="66"/>
      <c r="E496" s="66"/>
      <c r="F496" s="67"/>
      <c r="G496" s="67"/>
      <c r="H496" s="66"/>
      <c r="I496" s="66"/>
      <c r="J496" s="66"/>
      <c r="K496" s="66"/>
      <c r="L496" s="36"/>
      <c r="M496" s="36"/>
    </row>
    <row r="497" spans="1:13">
      <c r="A497" s="66"/>
      <c r="B497" s="66"/>
      <c r="C497" s="66"/>
      <c r="D497" s="66"/>
      <c r="E497" s="66"/>
      <c r="F497" s="67"/>
      <c r="G497" s="67"/>
      <c r="H497" s="66"/>
      <c r="I497" s="66"/>
      <c r="J497" s="66"/>
      <c r="K497" s="66"/>
      <c r="L497" s="36"/>
      <c r="M497" s="36"/>
    </row>
    <row r="498" spans="1:13">
      <c r="A498" s="66"/>
      <c r="B498" s="66"/>
      <c r="C498" s="66"/>
      <c r="D498" s="66"/>
      <c r="E498" s="66"/>
      <c r="F498" s="67"/>
      <c r="G498" s="67"/>
      <c r="H498" s="66"/>
      <c r="I498" s="66"/>
      <c r="J498" s="66"/>
      <c r="K498" s="66"/>
      <c r="L498" s="36"/>
      <c r="M498" s="36"/>
    </row>
    <row r="499" spans="1:13">
      <c r="A499" s="66"/>
      <c r="B499" s="66"/>
      <c r="C499" s="66"/>
      <c r="D499" s="66"/>
      <c r="E499" s="66"/>
      <c r="F499" s="67"/>
      <c r="G499" s="67"/>
      <c r="H499" s="66"/>
      <c r="I499" s="66"/>
      <c r="J499" s="66"/>
      <c r="K499" s="66"/>
      <c r="L499" s="36"/>
      <c r="M499" s="36"/>
    </row>
  </sheetData>
  <conditionalFormatting sqref="A3:K499">
    <cfRule type="expression" dxfId="2" priority="1">
      <formula>MOD(ROW(),2)=0</formula>
    </cfRule>
  </conditionalFormatting>
  <pageMargins left="0.7" right="0.7" top="0.75" bottom="0.75" header="0.3" footer="0.3"/>
  <pageSetup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9" id="{58F66128-693C-42EB-AA92-7B1EDDE0A5D1}">
            <xm:f>VLOOKUP($J3,Dropdowns!$J$3:$K$7,2,FALSE)="no"</xm:f>
            <x14:dxf>
              <font>
                <color theme="6" tint="-0.24994659260841701"/>
              </font>
              <fill>
                <patternFill>
                  <bgColor theme="6"/>
                </patternFill>
              </fill>
            </x14:dxf>
          </x14:cfRule>
          <xm:sqref>K10:M10 L3:M9 L11:M53</xm:sqref>
        </x14:conditionalFormatting>
        <x14:conditionalFormatting xmlns:xm="http://schemas.microsoft.com/office/excel/2006/main">
          <x14:cfRule type="expression" priority="7" id="{B06D77B1-F3C8-45FB-AB3A-08F39EF2D870}">
            <xm:f>VLOOKUP($J54,Dropdowns!$J$3:$K$7,2,FALSE)="no"</xm:f>
            <x14:dxf>
              <font>
                <color theme="6" tint="-0.24994659260841701"/>
              </font>
              <fill>
                <patternFill>
                  <bgColor theme="6"/>
                </patternFill>
              </fill>
            </x14:dxf>
          </x14:cfRule>
          <xm:sqref>K54:M499</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ED9717D8-00CE-4EB6-8B21-A39375EB93FA}">
          <x14:formula1>
            <xm:f>Dropdowns!$M$3:$M$4</xm:f>
          </x14:formula1>
          <xm:sqref>I10 I54:I499</xm:sqref>
        </x14:dataValidation>
        <x14:dataValidation type="list" allowBlank="1" showInputMessage="1" showErrorMessage="1" xr:uid="{7B07B91E-6DF3-46EF-BD95-5F13FF481197}">
          <x14:formula1>
            <xm:f>Dropdowns!$B$3:$B$16</xm:f>
          </x14:formula1>
          <xm:sqref>E10 E54:E499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2A1260-6718-4412-AFD3-B559363DA1AC}">
  <dimension ref="A1:I46"/>
  <sheetViews>
    <sheetView topLeftCell="A16" workbookViewId="0">
      <selection activeCell="B33" sqref="A33:XFD33"/>
    </sheetView>
  </sheetViews>
  <sheetFormatPr defaultRowHeight="15"/>
  <cols>
    <col min="2" max="2" width="11.85546875" bestFit="1" customWidth="1"/>
    <col min="3" max="3" width="30" bestFit="1" customWidth="1"/>
    <col min="4" max="4" width="56.140625" bestFit="1" customWidth="1"/>
    <col min="5" max="5" width="15.140625" bestFit="1" customWidth="1"/>
    <col min="6" max="6" width="14.5703125" bestFit="1" customWidth="1"/>
    <col min="7" max="7" width="24.28515625" bestFit="1" customWidth="1"/>
    <col min="8" max="8" width="24.7109375" bestFit="1" customWidth="1"/>
    <col min="9" max="9" width="12" bestFit="1" customWidth="1"/>
  </cols>
  <sheetData>
    <row r="1" spans="1:9">
      <c r="A1" s="4"/>
      <c r="B1" s="4"/>
      <c r="C1" s="4"/>
      <c r="D1" s="4"/>
      <c r="E1" s="152"/>
      <c r="F1" s="153" t="s">
        <v>486</v>
      </c>
      <c r="G1" s="153"/>
      <c r="H1" s="153"/>
      <c r="I1" s="153"/>
    </row>
    <row r="2" spans="1:9">
      <c r="A2" s="4"/>
      <c r="B2" s="6" t="s">
        <v>487</v>
      </c>
      <c r="C2" s="6" t="s">
        <v>488</v>
      </c>
      <c r="D2" s="6" t="s">
        <v>485</v>
      </c>
      <c r="E2" s="154" t="s">
        <v>489</v>
      </c>
      <c r="F2" s="155" t="s">
        <v>485</v>
      </c>
      <c r="G2" s="155" t="s">
        <v>488</v>
      </c>
      <c r="H2" s="155" t="s">
        <v>489</v>
      </c>
      <c r="I2" s="155" t="s">
        <v>487</v>
      </c>
    </row>
    <row r="3" spans="1:9">
      <c r="A3" s="269" t="s">
        <v>490</v>
      </c>
      <c r="B3" s="156" t="s">
        <v>369</v>
      </c>
      <c r="C3" s="156" t="s">
        <v>367</v>
      </c>
      <c r="D3" s="156" t="s">
        <v>368</v>
      </c>
      <c r="E3" s="157"/>
      <c r="F3" s="158"/>
      <c r="G3" s="158"/>
      <c r="H3" s="158"/>
      <c r="I3" s="158"/>
    </row>
    <row r="4" spans="1:9">
      <c r="A4" s="270"/>
      <c r="B4" s="156" t="s">
        <v>372</v>
      </c>
      <c r="C4" s="156" t="s">
        <v>370</v>
      </c>
      <c r="D4" s="156" t="s">
        <v>371</v>
      </c>
      <c r="E4" s="157"/>
      <c r="F4" s="158"/>
      <c r="G4" s="158"/>
      <c r="H4" s="158"/>
      <c r="I4" s="158"/>
    </row>
    <row r="5" spans="1:9">
      <c r="A5" s="270"/>
      <c r="B5" s="156" t="s">
        <v>375</v>
      </c>
      <c r="C5" s="156" t="s">
        <v>373</v>
      </c>
      <c r="D5" s="156" t="s">
        <v>374</v>
      </c>
      <c r="E5" s="156"/>
      <c r="F5" s="158" t="s">
        <v>484</v>
      </c>
      <c r="G5" s="158" t="s">
        <v>491</v>
      </c>
      <c r="H5" s="158" t="s">
        <v>492</v>
      </c>
      <c r="I5" s="158" t="s">
        <v>375</v>
      </c>
    </row>
    <row r="6" spans="1:9">
      <c r="A6" s="270"/>
      <c r="B6" s="156" t="s">
        <v>378</v>
      </c>
      <c r="C6" s="156" t="s">
        <v>376</v>
      </c>
      <c r="D6" s="156" t="s">
        <v>377</v>
      </c>
      <c r="E6" s="156"/>
      <c r="F6" s="158" t="s">
        <v>484</v>
      </c>
      <c r="G6" s="158" t="s">
        <v>493</v>
      </c>
      <c r="H6" s="158" t="s">
        <v>494</v>
      </c>
      <c r="I6" s="158" t="s">
        <v>378</v>
      </c>
    </row>
    <row r="7" spans="1:9">
      <c r="A7" s="270"/>
      <c r="B7" s="272" t="s">
        <v>381</v>
      </c>
      <c r="C7" s="272" t="s">
        <v>379</v>
      </c>
      <c r="D7" s="156" t="s">
        <v>380</v>
      </c>
      <c r="E7" s="156"/>
      <c r="F7" s="158" t="s">
        <v>495</v>
      </c>
      <c r="G7" s="158" t="s">
        <v>496</v>
      </c>
      <c r="H7" s="158" t="s">
        <v>497</v>
      </c>
      <c r="I7" s="158" t="s">
        <v>381</v>
      </c>
    </row>
    <row r="8" spans="1:9">
      <c r="A8" s="270"/>
      <c r="B8" s="273"/>
      <c r="C8" s="273"/>
      <c r="D8" s="156"/>
      <c r="E8" s="156"/>
      <c r="F8" s="158" t="s">
        <v>498</v>
      </c>
      <c r="G8" s="158" t="s">
        <v>496</v>
      </c>
      <c r="H8" s="158" t="s">
        <v>497</v>
      </c>
      <c r="I8" s="158" t="s">
        <v>381</v>
      </c>
    </row>
    <row r="9" spans="1:9">
      <c r="A9" s="270"/>
      <c r="B9" s="156" t="s">
        <v>384</v>
      </c>
      <c r="C9" s="156" t="s">
        <v>382</v>
      </c>
      <c r="D9" s="156" t="s">
        <v>383</v>
      </c>
      <c r="E9" s="156"/>
      <c r="F9" s="158"/>
      <c r="G9" s="158"/>
      <c r="H9" s="158"/>
      <c r="I9" s="158"/>
    </row>
    <row r="10" spans="1:9">
      <c r="A10" s="270"/>
      <c r="B10" s="156" t="s">
        <v>387</v>
      </c>
      <c r="C10" s="156" t="s">
        <v>385</v>
      </c>
      <c r="D10" s="156" t="s">
        <v>386</v>
      </c>
      <c r="E10" s="156"/>
      <c r="F10" s="158" t="s">
        <v>484</v>
      </c>
      <c r="G10" s="158" t="s">
        <v>499</v>
      </c>
      <c r="H10" s="158" t="s">
        <v>499</v>
      </c>
      <c r="I10" s="158" t="s">
        <v>387</v>
      </c>
    </row>
    <row r="11" spans="1:9">
      <c r="A11" s="270"/>
      <c r="B11" s="156" t="s">
        <v>390</v>
      </c>
      <c r="C11" s="156" t="s">
        <v>388</v>
      </c>
      <c r="D11" s="156" t="s">
        <v>389</v>
      </c>
      <c r="E11" s="156"/>
      <c r="F11" s="158"/>
      <c r="G11" s="158"/>
      <c r="H11" s="158"/>
      <c r="I11" s="158"/>
    </row>
    <row r="12" spans="1:9">
      <c r="A12" s="270"/>
      <c r="B12" s="156" t="s">
        <v>393</v>
      </c>
      <c r="C12" s="156" t="s">
        <v>391</v>
      </c>
      <c r="D12" s="156" t="s">
        <v>392</v>
      </c>
      <c r="E12" s="156"/>
      <c r="F12" s="158"/>
      <c r="G12" s="158"/>
      <c r="H12" s="158"/>
      <c r="I12" s="158"/>
    </row>
    <row r="13" spans="1:9">
      <c r="A13" s="270"/>
      <c r="B13" s="156" t="s">
        <v>500</v>
      </c>
      <c r="C13" s="156" t="s">
        <v>394</v>
      </c>
      <c r="D13" s="156" t="s">
        <v>395</v>
      </c>
      <c r="E13" s="156"/>
      <c r="F13" s="158"/>
      <c r="G13" s="158"/>
      <c r="H13" s="158"/>
      <c r="I13" s="158"/>
    </row>
    <row r="14" spans="1:9">
      <c r="A14" s="270"/>
      <c r="B14" s="156" t="s">
        <v>501</v>
      </c>
      <c r="C14" s="156" t="s">
        <v>397</v>
      </c>
      <c r="D14" s="156" t="s">
        <v>398</v>
      </c>
      <c r="E14" s="156"/>
      <c r="F14" s="158" t="s">
        <v>498</v>
      </c>
      <c r="G14" s="158" t="s">
        <v>502</v>
      </c>
      <c r="H14" s="158" t="s">
        <v>503</v>
      </c>
      <c r="I14" s="158" t="s">
        <v>399</v>
      </c>
    </row>
    <row r="15" spans="1:9">
      <c r="A15" s="270"/>
      <c r="B15" s="156" t="s">
        <v>402</v>
      </c>
      <c r="C15" s="156" t="s">
        <v>400</v>
      </c>
      <c r="D15" s="156" t="s">
        <v>401</v>
      </c>
      <c r="E15" s="156"/>
      <c r="F15" s="158" t="s">
        <v>484</v>
      </c>
      <c r="G15" s="158" t="s">
        <v>400</v>
      </c>
      <c r="H15" s="158" t="s">
        <v>504</v>
      </c>
      <c r="I15" s="158" t="s">
        <v>402</v>
      </c>
    </row>
    <row r="16" spans="1:9">
      <c r="A16" s="270"/>
      <c r="B16" s="156" t="s">
        <v>405</v>
      </c>
      <c r="C16" s="156" t="s">
        <v>403</v>
      </c>
      <c r="D16" s="156" t="s">
        <v>404</v>
      </c>
      <c r="E16" s="156"/>
      <c r="F16" s="158"/>
      <c r="G16" s="158"/>
      <c r="H16" s="158"/>
      <c r="I16" s="158"/>
    </row>
    <row r="17" spans="1:9">
      <c r="A17" s="270"/>
      <c r="B17" s="159" t="s">
        <v>408</v>
      </c>
      <c r="C17" s="159" t="s">
        <v>406</v>
      </c>
      <c r="D17" s="159" t="s">
        <v>407</v>
      </c>
      <c r="E17" s="159"/>
      <c r="F17" s="158" t="s">
        <v>495</v>
      </c>
      <c r="G17" s="158" t="s">
        <v>505</v>
      </c>
      <c r="H17" s="158" t="s">
        <v>506</v>
      </c>
      <c r="I17" s="158" t="s">
        <v>507</v>
      </c>
    </row>
    <row r="18" spans="1:9">
      <c r="A18" s="270"/>
      <c r="B18" s="159" t="s">
        <v>411</v>
      </c>
      <c r="C18" s="159" t="s">
        <v>409</v>
      </c>
      <c r="D18" s="159" t="s">
        <v>410</v>
      </c>
      <c r="E18" s="159"/>
      <c r="F18" s="158" t="s">
        <v>484</v>
      </c>
      <c r="G18" s="158" t="s">
        <v>508</v>
      </c>
      <c r="H18" s="158" t="s">
        <v>509</v>
      </c>
      <c r="I18" s="158" t="s">
        <v>510</v>
      </c>
    </row>
    <row r="19" spans="1:9">
      <c r="A19" s="271"/>
      <c r="B19" s="159" t="s">
        <v>414</v>
      </c>
      <c r="C19" s="159" t="s">
        <v>412</v>
      </c>
      <c r="D19" s="159" t="s">
        <v>413</v>
      </c>
      <c r="E19" s="159"/>
      <c r="F19" s="158"/>
      <c r="G19" s="158"/>
      <c r="H19" s="158"/>
      <c r="I19" s="158"/>
    </row>
    <row r="20" spans="1:9">
      <c r="A20" s="274" t="s">
        <v>511</v>
      </c>
      <c r="B20" s="160" t="s">
        <v>418</v>
      </c>
      <c r="C20" s="160" t="s">
        <v>415</v>
      </c>
      <c r="D20" s="160" t="s">
        <v>416</v>
      </c>
      <c r="E20" s="160"/>
      <c r="F20" s="158"/>
      <c r="G20" s="158"/>
      <c r="H20" s="158"/>
      <c r="I20" s="158"/>
    </row>
    <row r="21" spans="1:9">
      <c r="A21" s="274"/>
      <c r="B21" s="160" t="s">
        <v>512</v>
      </c>
      <c r="C21" s="160" t="s">
        <v>419</v>
      </c>
      <c r="D21" s="161" t="s">
        <v>420</v>
      </c>
      <c r="E21" s="161" t="s">
        <v>513</v>
      </c>
      <c r="F21" s="158"/>
      <c r="G21" s="158"/>
      <c r="H21" s="158"/>
      <c r="I21" s="158"/>
    </row>
    <row r="22" spans="1:9">
      <c r="A22" s="274"/>
      <c r="B22" s="160" t="s">
        <v>514</v>
      </c>
      <c r="C22" s="160" t="s">
        <v>423</v>
      </c>
      <c r="D22" s="161" t="s">
        <v>424</v>
      </c>
      <c r="E22" s="161" t="s">
        <v>513</v>
      </c>
      <c r="F22" s="158"/>
      <c r="G22" s="158"/>
      <c r="H22" s="158"/>
      <c r="I22" s="158"/>
    </row>
    <row r="23" spans="1:9">
      <c r="A23" s="274"/>
      <c r="B23" s="161" t="s">
        <v>515</v>
      </c>
      <c r="C23" s="161" t="s">
        <v>426</v>
      </c>
      <c r="D23" s="160" t="s">
        <v>427</v>
      </c>
      <c r="E23" s="162" t="s">
        <v>513</v>
      </c>
      <c r="F23" s="158"/>
      <c r="G23" s="158"/>
      <c r="H23" s="158"/>
      <c r="I23" s="158"/>
    </row>
    <row r="24" spans="1:9">
      <c r="A24" s="274"/>
      <c r="B24" s="161" t="s">
        <v>516</v>
      </c>
      <c r="C24" s="161" t="s">
        <v>429</v>
      </c>
      <c r="D24" s="161" t="s">
        <v>420</v>
      </c>
      <c r="E24" s="162" t="s">
        <v>513</v>
      </c>
      <c r="F24" s="158"/>
      <c r="G24" s="158"/>
      <c r="H24" s="158"/>
      <c r="I24" s="158"/>
    </row>
    <row r="25" spans="1:9">
      <c r="A25" s="274"/>
      <c r="B25" s="160" t="s">
        <v>517</v>
      </c>
      <c r="C25" s="160" t="s">
        <v>513</v>
      </c>
      <c r="D25" s="161" t="s">
        <v>432</v>
      </c>
      <c r="E25" s="162" t="s">
        <v>513</v>
      </c>
      <c r="F25" s="158"/>
      <c r="G25" s="158"/>
      <c r="H25" s="158"/>
      <c r="I25" s="158"/>
    </row>
    <row r="26" spans="1:9">
      <c r="A26" s="274"/>
      <c r="B26" s="160" t="s">
        <v>518</v>
      </c>
      <c r="C26" s="160" t="s">
        <v>434</v>
      </c>
      <c r="D26" s="161" t="s">
        <v>432</v>
      </c>
      <c r="E26" s="162" t="s">
        <v>513</v>
      </c>
      <c r="F26" s="158"/>
      <c r="G26" s="158"/>
      <c r="H26" s="158"/>
      <c r="I26" s="158"/>
    </row>
    <row r="27" spans="1:9" ht="30">
      <c r="A27" s="274"/>
      <c r="B27" s="160" t="s">
        <v>519</v>
      </c>
      <c r="C27" s="160" t="s">
        <v>435</v>
      </c>
      <c r="D27" s="163" t="s">
        <v>436</v>
      </c>
      <c r="E27" s="162" t="s">
        <v>520</v>
      </c>
      <c r="F27" s="158"/>
      <c r="G27" s="158"/>
      <c r="H27" s="158"/>
      <c r="I27" s="158"/>
    </row>
    <row r="28" spans="1:9">
      <c r="A28" s="274"/>
      <c r="B28" s="160" t="s">
        <v>521</v>
      </c>
      <c r="C28" s="160" t="s">
        <v>435</v>
      </c>
      <c r="D28" s="161" t="s">
        <v>438</v>
      </c>
      <c r="E28" s="162" t="s">
        <v>522</v>
      </c>
      <c r="F28" s="158"/>
      <c r="G28" s="158"/>
      <c r="H28" s="158"/>
      <c r="I28" s="158"/>
    </row>
    <row r="29" spans="1:9">
      <c r="A29" s="274"/>
      <c r="B29" s="161" t="s">
        <v>523</v>
      </c>
      <c r="C29" s="161" t="s">
        <v>441</v>
      </c>
      <c r="D29" s="161" t="s">
        <v>395</v>
      </c>
      <c r="E29" s="162" t="s">
        <v>524</v>
      </c>
      <c r="F29" s="158" t="s">
        <v>484</v>
      </c>
      <c r="G29" s="158" t="s">
        <v>441</v>
      </c>
      <c r="H29" s="158" t="s">
        <v>525</v>
      </c>
      <c r="I29" s="158" t="s">
        <v>526</v>
      </c>
    </row>
    <row r="30" spans="1:9">
      <c r="A30" s="274"/>
      <c r="B30" s="160" t="s">
        <v>527</v>
      </c>
      <c r="C30" s="160" t="s">
        <v>441</v>
      </c>
      <c r="D30" s="161" t="s">
        <v>395</v>
      </c>
      <c r="E30" s="162" t="s">
        <v>524</v>
      </c>
      <c r="F30" s="158" t="s">
        <v>484</v>
      </c>
      <c r="G30" s="158" t="s">
        <v>441</v>
      </c>
      <c r="H30" s="158" t="s">
        <v>525</v>
      </c>
      <c r="I30" s="158" t="s">
        <v>526</v>
      </c>
    </row>
    <row r="31" spans="1:9" ht="15.75" thickBot="1">
      <c r="A31" s="274"/>
      <c r="B31" s="164" t="s">
        <v>528</v>
      </c>
      <c r="C31" s="164" t="s">
        <v>441</v>
      </c>
      <c r="D31" s="165" t="s">
        <v>395</v>
      </c>
      <c r="E31" s="166" t="s">
        <v>524</v>
      </c>
      <c r="F31" s="158" t="s">
        <v>484</v>
      </c>
      <c r="G31" s="158" t="s">
        <v>441</v>
      </c>
      <c r="H31" s="158" t="s">
        <v>525</v>
      </c>
      <c r="I31" s="158" t="s">
        <v>526</v>
      </c>
    </row>
    <row r="32" spans="1:9" ht="75">
      <c r="A32" s="274"/>
      <c r="B32" s="160" t="s">
        <v>529</v>
      </c>
      <c r="C32" s="160" t="s">
        <v>446</v>
      </c>
      <c r="D32" s="167" t="s">
        <v>447</v>
      </c>
      <c r="E32" s="168" t="s">
        <v>530</v>
      </c>
      <c r="F32" s="158"/>
      <c r="G32" s="158"/>
      <c r="H32" s="158"/>
      <c r="I32" s="158"/>
    </row>
    <row r="33" spans="1:9" ht="45">
      <c r="A33" s="274"/>
      <c r="B33" s="160" t="s">
        <v>300</v>
      </c>
      <c r="C33" s="160" t="s">
        <v>449</v>
      </c>
      <c r="D33" s="163" t="s">
        <v>447</v>
      </c>
      <c r="E33" s="169" t="s">
        <v>531</v>
      </c>
      <c r="F33" s="158"/>
      <c r="G33" s="158"/>
      <c r="H33" s="158"/>
      <c r="I33" s="158"/>
    </row>
    <row r="34" spans="1:9">
      <c r="A34" s="274"/>
      <c r="B34" s="160" t="s">
        <v>308</v>
      </c>
      <c r="C34" s="160" t="s">
        <v>451</v>
      </c>
      <c r="D34" s="161" t="s">
        <v>452</v>
      </c>
      <c r="E34" s="162" t="s">
        <v>451</v>
      </c>
      <c r="F34" s="158"/>
      <c r="G34" s="158"/>
      <c r="H34" s="158"/>
      <c r="I34" s="158"/>
    </row>
    <row r="35" spans="1:9">
      <c r="A35" s="274"/>
      <c r="B35" s="160" t="s">
        <v>532</v>
      </c>
      <c r="C35" s="160" t="s">
        <v>454</v>
      </c>
      <c r="D35" s="161" t="s">
        <v>455</v>
      </c>
      <c r="E35" s="162" t="s">
        <v>454</v>
      </c>
      <c r="F35" s="158"/>
      <c r="G35" s="158"/>
      <c r="H35" s="158"/>
      <c r="I35" s="158"/>
    </row>
    <row r="36" spans="1:9">
      <c r="A36" s="274"/>
      <c r="B36" s="164" t="s">
        <v>330</v>
      </c>
      <c r="C36" s="164" t="s">
        <v>457</v>
      </c>
      <c r="D36" s="170" t="s">
        <v>458</v>
      </c>
      <c r="E36" s="171" t="s">
        <v>533</v>
      </c>
      <c r="F36" s="158" t="s">
        <v>498</v>
      </c>
      <c r="G36" s="158" t="s">
        <v>534</v>
      </c>
      <c r="H36" s="158" t="s">
        <v>533</v>
      </c>
      <c r="I36" s="158" t="s">
        <v>526</v>
      </c>
    </row>
    <row r="37" spans="1:9">
      <c r="A37" s="274"/>
      <c r="B37" s="164"/>
      <c r="C37" s="164"/>
      <c r="D37" s="161" t="s">
        <v>461</v>
      </c>
      <c r="E37" s="162" t="s">
        <v>533</v>
      </c>
      <c r="F37" s="158" t="s">
        <v>498</v>
      </c>
      <c r="G37" s="158" t="s">
        <v>534</v>
      </c>
      <c r="H37" s="158" t="s">
        <v>533</v>
      </c>
      <c r="I37" s="158" t="s">
        <v>526</v>
      </c>
    </row>
    <row r="38" spans="1:9">
      <c r="A38" s="274"/>
      <c r="B38" s="160" t="s">
        <v>535</v>
      </c>
      <c r="C38" s="160" t="s">
        <v>462</v>
      </c>
      <c r="D38" s="161" t="s">
        <v>463</v>
      </c>
      <c r="E38" s="162" t="s">
        <v>533</v>
      </c>
      <c r="F38" s="158" t="s">
        <v>536</v>
      </c>
      <c r="G38" s="158" t="s">
        <v>537</v>
      </c>
      <c r="H38" s="158" t="s">
        <v>538</v>
      </c>
      <c r="I38" s="158" t="s">
        <v>526</v>
      </c>
    </row>
    <row r="39" spans="1:9">
      <c r="A39" s="274"/>
      <c r="B39" s="160" t="s">
        <v>331</v>
      </c>
      <c r="C39" s="160" t="s">
        <v>466</v>
      </c>
      <c r="D39" s="161" t="s">
        <v>395</v>
      </c>
      <c r="E39" s="162" t="s">
        <v>533</v>
      </c>
      <c r="F39" s="158" t="s">
        <v>498</v>
      </c>
      <c r="G39" s="158" t="s">
        <v>466</v>
      </c>
      <c r="H39" s="158" t="s">
        <v>533</v>
      </c>
      <c r="I39" s="158" t="s">
        <v>526</v>
      </c>
    </row>
    <row r="40" spans="1:9">
      <c r="A40" s="274"/>
      <c r="B40" s="160"/>
      <c r="C40" s="160"/>
      <c r="D40" s="161" t="s">
        <v>467</v>
      </c>
      <c r="E40" s="162" t="s">
        <v>533</v>
      </c>
      <c r="F40" s="158" t="s">
        <v>498</v>
      </c>
      <c r="G40" s="158" t="s">
        <v>466</v>
      </c>
      <c r="H40" s="158" t="s">
        <v>533</v>
      </c>
      <c r="I40" s="158" t="s">
        <v>526</v>
      </c>
    </row>
    <row r="41" spans="1:9">
      <c r="A41" s="274"/>
      <c r="B41" s="160" t="s">
        <v>539</v>
      </c>
      <c r="C41" s="160" t="s">
        <v>470</v>
      </c>
      <c r="D41" s="161" t="s">
        <v>469</v>
      </c>
      <c r="E41" s="162" t="s">
        <v>520</v>
      </c>
      <c r="F41" s="158" t="s">
        <v>536</v>
      </c>
      <c r="G41" s="158" t="s">
        <v>540</v>
      </c>
      <c r="H41" s="158" t="s">
        <v>541</v>
      </c>
      <c r="I41" s="158" t="s">
        <v>526</v>
      </c>
    </row>
    <row r="42" spans="1:9">
      <c r="A42" s="274"/>
      <c r="B42" s="160" t="s">
        <v>542</v>
      </c>
      <c r="C42" s="160" t="s">
        <v>472</v>
      </c>
      <c r="D42" s="161" t="s">
        <v>395</v>
      </c>
      <c r="E42" s="162" t="s">
        <v>543</v>
      </c>
      <c r="F42" s="158"/>
      <c r="G42" s="158"/>
      <c r="H42" s="158"/>
      <c r="I42" s="158"/>
    </row>
    <row r="43" spans="1:9" ht="120">
      <c r="A43" s="274"/>
      <c r="B43" s="160" t="s">
        <v>544</v>
      </c>
      <c r="C43" s="160" t="s">
        <v>475</v>
      </c>
      <c r="D43" s="163" t="s">
        <v>473</v>
      </c>
      <c r="E43" s="169" t="s">
        <v>545</v>
      </c>
      <c r="F43" s="158"/>
      <c r="G43" s="158"/>
      <c r="H43" s="158"/>
      <c r="I43" s="158"/>
    </row>
    <row r="44" spans="1:9">
      <c r="A44" s="274"/>
      <c r="B44" s="160" t="s">
        <v>307</v>
      </c>
      <c r="C44" s="160" t="s">
        <v>478</v>
      </c>
      <c r="D44" s="160" t="s">
        <v>476</v>
      </c>
      <c r="E44" s="162" t="s">
        <v>546</v>
      </c>
      <c r="F44" s="158"/>
      <c r="G44" s="158"/>
      <c r="H44" s="158"/>
      <c r="I44" s="158"/>
    </row>
    <row r="45" spans="1:9">
      <c r="A45" s="274"/>
      <c r="B45" s="160" t="s">
        <v>547</v>
      </c>
      <c r="C45" s="160" t="s">
        <v>481</v>
      </c>
      <c r="D45" s="161" t="s">
        <v>438</v>
      </c>
      <c r="E45" s="162" t="s">
        <v>522</v>
      </c>
      <c r="F45" s="158"/>
      <c r="G45" s="158"/>
      <c r="H45" s="158"/>
      <c r="I45" s="158"/>
    </row>
    <row r="46" spans="1:9">
      <c r="F46" s="172" t="s">
        <v>484</v>
      </c>
      <c r="G46" s="172" t="s">
        <v>548</v>
      </c>
      <c r="H46" s="172" t="s">
        <v>549</v>
      </c>
      <c r="I46" s="172" t="s">
        <v>526</v>
      </c>
    </row>
  </sheetData>
  <mergeCells count="4">
    <mergeCell ref="A3:A19"/>
    <mergeCell ref="B7:B8"/>
    <mergeCell ref="C7:C8"/>
    <mergeCell ref="A20:A45"/>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D0A35C-F063-40C8-9631-A61EEDA262B3}">
  <dimension ref="A1:L46"/>
  <sheetViews>
    <sheetView workbookViewId="0">
      <selection activeCell="A46" sqref="A46"/>
    </sheetView>
  </sheetViews>
  <sheetFormatPr defaultRowHeight="15"/>
  <cols>
    <col min="1" max="1" width="25.85546875" customWidth="1"/>
    <col min="2" max="2" width="15.140625" customWidth="1"/>
    <col min="3" max="3" width="30.42578125" bestFit="1" customWidth="1"/>
    <col min="4" max="4" width="5.5703125" customWidth="1"/>
    <col min="5" max="5" width="9.42578125" customWidth="1"/>
  </cols>
  <sheetData>
    <row r="1" spans="1:12" ht="33" customHeight="1">
      <c r="A1" s="4" t="s">
        <v>211</v>
      </c>
      <c r="B1" s="4" t="s">
        <v>204</v>
      </c>
      <c r="C1" s="4"/>
      <c r="D1" s="34">
        <v>0</v>
      </c>
      <c r="E1" s="34">
        <v>0.1</v>
      </c>
      <c r="F1" s="34">
        <v>0.2</v>
      </c>
      <c r="G1" s="34">
        <v>0.4</v>
      </c>
      <c r="H1" s="34">
        <v>0.6</v>
      </c>
      <c r="I1" s="34">
        <v>0.8</v>
      </c>
      <c r="J1" s="34">
        <v>1</v>
      </c>
      <c r="K1" s="34">
        <v>1.5</v>
      </c>
      <c r="L1" s="34">
        <v>2</v>
      </c>
    </row>
    <row r="2" spans="1:12" ht="14.45" customHeight="1">
      <c r="A2" s="4" t="s">
        <v>215</v>
      </c>
      <c r="B2" s="4"/>
      <c r="C2" s="4" t="str">
        <f>CONCATENATE(A2," ",B2)</f>
        <v xml:space="preserve">Extended Dry Detention Pond </v>
      </c>
      <c r="D2" s="29">
        <v>0</v>
      </c>
      <c r="E2" s="29">
        <v>0.03</v>
      </c>
      <c r="F2" s="29">
        <v>0.06</v>
      </c>
      <c r="G2" s="29">
        <v>0.08</v>
      </c>
      <c r="H2" s="29">
        <v>0.09</v>
      </c>
      <c r="I2" s="29">
        <v>0.11</v>
      </c>
      <c r="J2" s="29">
        <v>0.12</v>
      </c>
      <c r="K2" s="29">
        <v>0.13</v>
      </c>
      <c r="L2" s="29">
        <v>0.14000000000000001</v>
      </c>
    </row>
    <row r="3" spans="1:12">
      <c r="A3" s="4" t="s">
        <v>161</v>
      </c>
      <c r="B3" s="4" t="s">
        <v>205</v>
      </c>
      <c r="C3" s="4" t="str">
        <f>CONCATENATE(A3," ",B3)</f>
        <v>Bioretention (infiltrating) 8.27 in/hr</v>
      </c>
      <c r="D3" s="30">
        <v>0</v>
      </c>
      <c r="E3" s="30">
        <v>0.59</v>
      </c>
      <c r="F3" s="31">
        <v>0.81</v>
      </c>
      <c r="G3" s="31">
        <v>0.96</v>
      </c>
      <c r="H3" s="31">
        <v>0.99</v>
      </c>
      <c r="I3" s="31">
        <v>1</v>
      </c>
      <c r="J3" s="31">
        <v>1</v>
      </c>
      <c r="K3" s="31">
        <v>1</v>
      </c>
      <c r="L3" s="31">
        <v>1</v>
      </c>
    </row>
    <row r="4" spans="1:12">
      <c r="A4" s="4" t="s">
        <v>161</v>
      </c>
      <c r="B4" s="4" t="s">
        <v>206</v>
      </c>
      <c r="C4" s="4" t="str">
        <f t="shared" ref="C4:C46" si="0">CONCATENATE(A4," ",B4)</f>
        <v>Bioretention (infiltrating) 2.41 in/hr</v>
      </c>
      <c r="D4" s="31">
        <v>0</v>
      </c>
      <c r="E4" s="31">
        <v>0.46</v>
      </c>
      <c r="F4" s="31">
        <v>0.67</v>
      </c>
      <c r="G4" s="31">
        <v>0.87</v>
      </c>
      <c r="H4" s="31">
        <v>0.94</v>
      </c>
      <c r="I4" s="31">
        <v>0.97</v>
      </c>
      <c r="J4" s="31">
        <v>0.98</v>
      </c>
      <c r="K4" s="31">
        <v>1</v>
      </c>
      <c r="L4" s="31">
        <v>1</v>
      </c>
    </row>
    <row r="5" spans="1:12">
      <c r="A5" s="4" t="s">
        <v>161</v>
      </c>
      <c r="B5" s="4" t="s">
        <v>207</v>
      </c>
      <c r="C5" s="4" t="str">
        <f t="shared" si="0"/>
        <v>Bioretention (infiltrating) 1.02 in/hr</v>
      </c>
      <c r="D5" s="31">
        <v>0</v>
      </c>
      <c r="E5" s="31">
        <v>0.41</v>
      </c>
      <c r="F5" s="31">
        <v>0.6</v>
      </c>
      <c r="G5" s="31">
        <v>0.81</v>
      </c>
      <c r="H5" s="31">
        <v>0.9</v>
      </c>
      <c r="I5" s="31">
        <v>0.94</v>
      </c>
      <c r="J5" s="31">
        <v>0.97</v>
      </c>
      <c r="K5" s="31">
        <v>0.99</v>
      </c>
      <c r="L5" s="31">
        <v>1</v>
      </c>
    </row>
    <row r="6" spans="1:12">
      <c r="A6" s="4" t="s">
        <v>161</v>
      </c>
      <c r="B6" s="4" t="s">
        <v>208</v>
      </c>
      <c r="C6" s="4" t="str">
        <f t="shared" si="0"/>
        <v>Bioretention (infiltrating) 0.52 in/hr</v>
      </c>
      <c r="D6" s="31">
        <v>0</v>
      </c>
      <c r="E6" s="31">
        <v>0.38</v>
      </c>
      <c r="F6" s="31">
        <v>0.56000000000000005</v>
      </c>
      <c r="G6" s="31">
        <v>0.77</v>
      </c>
      <c r="H6" s="31">
        <v>0.87</v>
      </c>
      <c r="I6" s="31">
        <v>0.92</v>
      </c>
      <c r="J6" s="31">
        <v>0.95</v>
      </c>
      <c r="K6" s="31">
        <v>0.98</v>
      </c>
      <c r="L6" s="31">
        <v>0.99</v>
      </c>
    </row>
    <row r="7" spans="1:12">
      <c r="A7" s="4" t="s">
        <v>161</v>
      </c>
      <c r="B7" s="4" t="s">
        <v>209</v>
      </c>
      <c r="C7" s="4" t="str">
        <f t="shared" si="0"/>
        <v>Bioretention (infiltrating) 0.27 in /hr</v>
      </c>
      <c r="D7" s="31">
        <v>0</v>
      </c>
      <c r="E7" s="31">
        <v>0.37</v>
      </c>
      <c r="F7" s="31">
        <v>0.54</v>
      </c>
      <c r="G7" s="31">
        <v>0.74</v>
      </c>
      <c r="H7" s="31">
        <v>0.85</v>
      </c>
      <c r="I7" s="31">
        <v>0.9</v>
      </c>
      <c r="J7" s="31">
        <v>0.93</v>
      </c>
      <c r="K7" s="31">
        <v>0.98</v>
      </c>
      <c r="L7" s="31">
        <v>0.99</v>
      </c>
    </row>
    <row r="8" spans="1:12">
      <c r="A8" s="4" t="s">
        <v>161</v>
      </c>
      <c r="B8" s="4" t="s">
        <v>210</v>
      </c>
      <c r="C8" s="4" t="str">
        <f t="shared" si="0"/>
        <v>Bioretention (infiltrating) 0.17 in/hr</v>
      </c>
      <c r="D8" s="31">
        <v>0</v>
      </c>
      <c r="E8" s="31">
        <v>0.35</v>
      </c>
      <c r="F8" s="31">
        <v>0.52</v>
      </c>
      <c r="G8" s="31">
        <v>0.72</v>
      </c>
      <c r="H8" s="31">
        <v>0.82</v>
      </c>
      <c r="I8" s="31">
        <v>0.88</v>
      </c>
      <c r="J8" s="31">
        <v>0.92</v>
      </c>
      <c r="K8" s="31">
        <v>0.97</v>
      </c>
      <c r="L8" s="31">
        <v>0.99</v>
      </c>
    </row>
    <row r="9" spans="1:12">
      <c r="A9" s="4" t="s">
        <v>162</v>
      </c>
      <c r="B9" s="4"/>
      <c r="C9" s="4" t="str">
        <f t="shared" si="0"/>
        <v xml:space="preserve">Bioretention (w/ underdrain) </v>
      </c>
      <c r="D9" s="32">
        <v>0</v>
      </c>
      <c r="E9" s="32">
        <v>0.14000000000000001</v>
      </c>
      <c r="F9" s="32">
        <v>0.25</v>
      </c>
      <c r="G9" s="32">
        <v>0.37</v>
      </c>
      <c r="H9" s="32">
        <v>0.44</v>
      </c>
      <c r="I9" s="32">
        <v>0.48</v>
      </c>
      <c r="J9" s="32">
        <v>0.53</v>
      </c>
      <c r="K9" s="32">
        <v>0.57999999999999996</v>
      </c>
      <c r="L9" s="32">
        <v>0.63</v>
      </c>
    </row>
    <row r="10" spans="1:12">
      <c r="A10" s="4" t="s">
        <v>166</v>
      </c>
      <c r="B10" s="4" t="s">
        <v>205</v>
      </c>
      <c r="C10" s="4" t="str">
        <f t="shared" si="0"/>
        <v>Dry Swale (infiltrating) 8.27 in/hr</v>
      </c>
      <c r="D10" s="30">
        <v>0</v>
      </c>
      <c r="E10" s="30">
        <v>0.59</v>
      </c>
      <c r="F10" s="31">
        <v>0.81</v>
      </c>
      <c r="G10" s="31">
        <v>0.96</v>
      </c>
      <c r="H10" s="31">
        <v>0.99</v>
      </c>
      <c r="I10" s="31">
        <v>1</v>
      </c>
      <c r="J10" s="31">
        <v>1</v>
      </c>
      <c r="K10" s="31">
        <v>1</v>
      </c>
      <c r="L10" s="31">
        <v>1</v>
      </c>
    </row>
    <row r="11" spans="1:12">
      <c r="A11" s="4" t="s">
        <v>166</v>
      </c>
      <c r="B11" s="4" t="s">
        <v>206</v>
      </c>
      <c r="C11" s="4" t="str">
        <f t="shared" si="0"/>
        <v>Dry Swale (infiltrating) 2.41 in/hr</v>
      </c>
      <c r="D11" s="31">
        <v>0</v>
      </c>
      <c r="E11" s="31">
        <v>0.46</v>
      </c>
      <c r="F11" s="31">
        <v>0.67</v>
      </c>
      <c r="G11" s="31">
        <v>0.87</v>
      </c>
      <c r="H11" s="31">
        <v>0.94</v>
      </c>
      <c r="I11" s="31">
        <v>0.97</v>
      </c>
      <c r="J11" s="31">
        <v>0.98</v>
      </c>
      <c r="K11" s="31">
        <v>1</v>
      </c>
      <c r="L11" s="31">
        <v>1</v>
      </c>
    </row>
    <row r="12" spans="1:12">
      <c r="A12" s="4" t="s">
        <v>166</v>
      </c>
      <c r="B12" s="4" t="s">
        <v>207</v>
      </c>
      <c r="C12" s="4" t="str">
        <f t="shared" si="0"/>
        <v>Dry Swale (infiltrating) 1.02 in/hr</v>
      </c>
      <c r="D12" s="31">
        <v>0</v>
      </c>
      <c r="E12" s="31">
        <v>0.41</v>
      </c>
      <c r="F12" s="31">
        <v>0.6</v>
      </c>
      <c r="G12" s="31">
        <v>0.81</v>
      </c>
      <c r="H12" s="31">
        <v>0.9</v>
      </c>
      <c r="I12" s="31">
        <v>0.94</v>
      </c>
      <c r="J12" s="31">
        <v>0.97</v>
      </c>
      <c r="K12" s="31">
        <v>0.99</v>
      </c>
      <c r="L12" s="31">
        <v>1</v>
      </c>
    </row>
    <row r="13" spans="1:12">
      <c r="A13" s="4" t="s">
        <v>166</v>
      </c>
      <c r="B13" s="4" t="s">
        <v>208</v>
      </c>
      <c r="C13" s="4" t="str">
        <f t="shared" si="0"/>
        <v>Dry Swale (infiltrating) 0.52 in/hr</v>
      </c>
      <c r="D13" s="31">
        <v>0</v>
      </c>
      <c r="E13" s="31">
        <v>0.38</v>
      </c>
      <c r="F13" s="31">
        <v>0.56000000000000005</v>
      </c>
      <c r="G13" s="31">
        <v>0.77</v>
      </c>
      <c r="H13" s="31">
        <v>0.87</v>
      </c>
      <c r="I13" s="31">
        <v>0.92</v>
      </c>
      <c r="J13" s="31">
        <v>0.95</v>
      </c>
      <c r="K13" s="31">
        <v>0.98</v>
      </c>
      <c r="L13" s="31">
        <v>0.99</v>
      </c>
    </row>
    <row r="14" spans="1:12">
      <c r="A14" s="4" t="s">
        <v>166</v>
      </c>
      <c r="B14" s="4" t="s">
        <v>209</v>
      </c>
      <c r="C14" s="4" t="str">
        <f t="shared" si="0"/>
        <v>Dry Swale (infiltrating) 0.27 in /hr</v>
      </c>
      <c r="D14" s="31">
        <v>0</v>
      </c>
      <c r="E14" s="31">
        <v>0.37</v>
      </c>
      <c r="F14" s="31">
        <v>0.54</v>
      </c>
      <c r="G14" s="31">
        <v>0.74</v>
      </c>
      <c r="H14" s="31">
        <v>0.85</v>
      </c>
      <c r="I14" s="31">
        <v>0.9</v>
      </c>
      <c r="J14" s="31">
        <v>0.93</v>
      </c>
      <c r="K14" s="31">
        <v>0.98</v>
      </c>
      <c r="L14" s="31">
        <v>0.99</v>
      </c>
    </row>
    <row r="15" spans="1:12">
      <c r="A15" s="4" t="s">
        <v>166</v>
      </c>
      <c r="B15" s="4" t="s">
        <v>210</v>
      </c>
      <c r="C15" s="4" t="str">
        <f t="shared" si="0"/>
        <v>Dry Swale (infiltrating) 0.17 in/hr</v>
      </c>
      <c r="D15" s="31">
        <v>0</v>
      </c>
      <c r="E15" s="31">
        <v>0.35</v>
      </c>
      <c r="F15" s="31">
        <v>0.52</v>
      </c>
      <c r="G15" s="31">
        <v>0.72</v>
      </c>
      <c r="H15" s="31">
        <v>0.82</v>
      </c>
      <c r="I15" s="31">
        <v>0.88</v>
      </c>
      <c r="J15" s="31">
        <v>0.92</v>
      </c>
      <c r="K15" s="31">
        <v>0.97</v>
      </c>
      <c r="L15" s="31">
        <v>0.99</v>
      </c>
    </row>
    <row r="16" spans="1:12">
      <c r="A16" s="4" t="s">
        <v>165</v>
      </c>
      <c r="B16" s="4"/>
      <c r="C16" s="4" t="str">
        <f t="shared" si="0"/>
        <v xml:space="preserve">Dry Swale (w/ underdrain) </v>
      </c>
      <c r="D16" s="32">
        <v>0</v>
      </c>
      <c r="E16" s="32">
        <v>0.14000000000000001</v>
      </c>
      <c r="F16" s="32">
        <v>0.25</v>
      </c>
      <c r="G16" s="32">
        <v>0.37</v>
      </c>
      <c r="H16" s="32">
        <v>0.44</v>
      </c>
      <c r="I16" s="32">
        <v>0.48</v>
      </c>
      <c r="J16" s="32">
        <v>0.53</v>
      </c>
      <c r="K16" s="32">
        <v>0.57999999999999996</v>
      </c>
      <c r="L16" s="32">
        <v>0.63</v>
      </c>
    </row>
    <row r="17" spans="1:12">
      <c r="A17" s="4" t="s">
        <v>46</v>
      </c>
      <c r="B17" s="4"/>
      <c r="C17" s="4" t="str">
        <f t="shared" si="0"/>
        <v xml:space="preserve">Gravel Wetland </v>
      </c>
      <c r="D17" s="32">
        <v>0</v>
      </c>
      <c r="E17" s="32">
        <v>0.19</v>
      </c>
      <c r="F17" s="32">
        <v>0.26</v>
      </c>
      <c r="G17" s="32">
        <v>0.41</v>
      </c>
      <c r="H17" s="32">
        <v>0.51</v>
      </c>
      <c r="I17" s="32">
        <v>0.56999999999999995</v>
      </c>
      <c r="J17" s="32">
        <v>0.61</v>
      </c>
      <c r="K17" s="32">
        <v>0.65</v>
      </c>
      <c r="L17" s="32">
        <v>0.66</v>
      </c>
    </row>
    <row r="18" spans="1:12">
      <c r="A18" s="4" t="s">
        <v>164</v>
      </c>
      <c r="B18" s="4" t="s">
        <v>205</v>
      </c>
      <c r="C18" s="4" t="str">
        <f t="shared" si="0"/>
        <v>Infiltration Chambers 8.27 in/hr</v>
      </c>
      <c r="D18" s="33">
        <v>0</v>
      </c>
      <c r="E18" s="33">
        <v>0.5</v>
      </c>
      <c r="F18" s="33">
        <v>0.75</v>
      </c>
      <c r="G18" s="33">
        <v>0.94</v>
      </c>
      <c r="H18" s="33">
        <v>0.98</v>
      </c>
      <c r="I18" s="33">
        <v>0.99</v>
      </c>
      <c r="J18" s="33">
        <v>1</v>
      </c>
      <c r="K18" s="33">
        <v>1</v>
      </c>
      <c r="L18" s="33">
        <v>1</v>
      </c>
    </row>
    <row r="19" spans="1:12">
      <c r="A19" s="4" t="s">
        <v>164</v>
      </c>
      <c r="B19" s="4" t="s">
        <v>206</v>
      </c>
      <c r="C19" s="4" t="str">
        <f t="shared" si="0"/>
        <v>Infiltration Chambers 2.41 in/hr</v>
      </c>
      <c r="D19" s="33">
        <v>0</v>
      </c>
      <c r="E19" s="33">
        <v>0.33</v>
      </c>
      <c r="F19" s="33">
        <v>0.55000000000000004</v>
      </c>
      <c r="G19" s="33">
        <v>0.81</v>
      </c>
      <c r="H19" s="33">
        <v>0.91</v>
      </c>
      <c r="I19" s="33">
        <v>0.96</v>
      </c>
      <c r="J19" s="33">
        <v>0.98</v>
      </c>
      <c r="K19" s="33">
        <v>1</v>
      </c>
      <c r="L19" s="33">
        <v>1</v>
      </c>
    </row>
    <row r="20" spans="1:12">
      <c r="A20" s="4" t="s">
        <v>164</v>
      </c>
      <c r="B20" s="4" t="s">
        <v>207</v>
      </c>
      <c r="C20" s="4" t="str">
        <f t="shared" si="0"/>
        <v>Infiltration Chambers 1.02 in/hr</v>
      </c>
      <c r="D20" s="33">
        <v>0</v>
      </c>
      <c r="E20" s="33">
        <v>0.27</v>
      </c>
      <c r="F20" s="33">
        <v>0.47</v>
      </c>
      <c r="G20" s="33">
        <v>0.73</v>
      </c>
      <c r="H20" s="33">
        <v>0.86</v>
      </c>
      <c r="I20" s="33">
        <v>0.92</v>
      </c>
      <c r="J20" s="33">
        <v>0.96</v>
      </c>
      <c r="K20" s="33">
        <v>0.99</v>
      </c>
      <c r="L20" s="33">
        <v>1</v>
      </c>
    </row>
    <row r="21" spans="1:12">
      <c r="A21" s="4" t="s">
        <v>164</v>
      </c>
      <c r="B21" s="4" t="s">
        <v>208</v>
      </c>
      <c r="C21" s="4" t="str">
        <f t="shared" si="0"/>
        <v>Infiltration Chambers 0.52 in/hr</v>
      </c>
      <c r="D21" s="33">
        <v>0</v>
      </c>
      <c r="E21" s="33">
        <v>0.23</v>
      </c>
      <c r="F21" s="33">
        <v>0.42</v>
      </c>
      <c r="G21" s="33">
        <v>0.68</v>
      </c>
      <c r="H21" s="33">
        <v>0.82</v>
      </c>
      <c r="I21" s="33">
        <v>0.89</v>
      </c>
      <c r="J21" s="33">
        <v>0.94</v>
      </c>
      <c r="K21" s="33">
        <v>0.98</v>
      </c>
      <c r="L21" s="33">
        <v>0.99</v>
      </c>
    </row>
    <row r="22" spans="1:12">
      <c r="A22" s="4" t="s">
        <v>164</v>
      </c>
      <c r="B22" s="4" t="s">
        <v>209</v>
      </c>
      <c r="C22" s="4" t="str">
        <f t="shared" si="0"/>
        <v>Infiltration Chambers 0.27 in /hr</v>
      </c>
      <c r="D22" s="33">
        <v>0</v>
      </c>
      <c r="E22" s="33">
        <v>0.2</v>
      </c>
      <c r="F22" s="33">
        <v>0.37</v>
      </c>
      <c r="G22" s="33">
        <v>0.63</v>
      </c>
      <c r="H22" s="33">
        <v>0.78</v>
      </c>
      <c r="I22" s="33">
        <v>0.86</v>
      </c>
      <c r="J22" s="33">
        <v>0.92</v>
      </c>
      <c r="K22" s="33">
        <v>0.97</v>
      </c>
      <c r="L22" s="33">
        <v>0.99</v>
      </c>
    </row>
    <row r="23" spans="1:12">
      <c r="A23" s="4" t="s">
        <v>164</v>
      </c>
      <c r="B23" s="4" t="s">
        <v>210</v>
      </c>
      <c r="C23" s="4" t="str">
        <f t="shared" si="0"/>
        <v>Infiltration Chambers 0.17 in/hr</v>
      </c>
      <c r="D23" s="33">
        <v>0</v>
      </c>
      <c r="E23" s="33">
        <v>0.18</v>
      </c>
      <c r="F23" s="33">
        <v>0.33</v>
      </c>
      <c r="G23" s="33">
        <v>0.56999999999999995</v>
      </c>
      <c r="H23" s="33">
        <v>0.73</v>
      </c>
      <c r="I23" s="33">
        <v>0.83</v>
      </c>
      <c r="J23" s="33">
        <v>0.9</v>
      </c>
      <c r="K23" s="33">
        <v>0.97</v>
      </c>
      <c r="L23" s="33">
        <v>0.99</v>
      </c>
    </row>
    <row r="24" spans="1:12">
      <c r="A24" s="4" t="s">
        <v>47</v>
      </c>
      <c r="B24" s="4" t="s">
        <v>205</v>
      </c>
      <c r="C24" s="4" t="str">
        <f t="shared" si="0"/>
        <v>Infiltration Trench 8.27 in/hr</v>
      </c>
      <c r="D24" s="33">
        <v>0</v>
      </c>
      <c r="E24" s="33">
        <v>0.5</v>
      </c>
      <c r="F24" s="33">
        <v>0.75</v>
      </c>
      <c r="G24" s="33">
        <v>0.94</v>
      </c>
      <c r="H24" s="33">
        <v>0.98</v>
      </c>
      <c r="I24" s="33">
        <v>0.99</v>
      </c>
      <c r="J24" s="33">
        <v>1</v>
      </c>
      <c r="K24" s="33">
        <v>1</v>
      </c>
      <c r="L24" s="33">
        <v>1</v>
      </c>
    </row>
    <row r="25" spans="1:12">
      <c r="A25" s="4" t="s">
        <v>47</v>
      </c>
      <c r="B25" s="4" t="s">
        <v>206</v>
      </c>
      <c r="C25" s="4" t="str">
        <f t="shared" si="0"/>
        <v>Infiltration Trench 2.41 in/hr</v>
      </c>
      <c r="D25" s="33">
        <v>0</v>
      </c>
      <c r="E25" s="33">
        <v>0.33</v>
      </c>
      <c r="F25" s="33">
        <v>0.55000000000000004</v>
      </c>
      <c r="G25" s="33">
        <v>0.81</v>
      </c>
      <c r="H25" s="33">
        <v>0.91</v>
      </c>
      <c r="I25" s="33">
        <v>0.96</v>
      </c>
      <c r="J25" s="33">
        <v>0.98</v>
      </c>
      <c r="K25" s="33">
        <v>1</v>
      </c>
      <c r="L25" s="33">
        <v>1</v>
      </c>
    </row>
    <row r="26" spans="1:12">
      <c r="A26" s="4" t="s">
        <v>47</v>
      </c>
      <c r="B26" s="4" t="s">
        <v>207</v>
      </c>
      <c r="C26" s="4" t="str">
        <f t="shared" si="0"/>
        <v>Infiltration Trench 1.02 in/hr</v>
      </c>
      <c r="D26" s="33">
        <v>0</v>
      </c>
      <c r="E26" s="33">
        <v>0.27</v>
      </c>
      <c r="F26" s="33">
        <v>0.47</v>
      </c>
      <c r="G26" s="33">
        <v>0.73</v>
      </c>
      <c r="H26" s="33">
        <v>0.86</v>
      </c>
      <c r="I26" s="33">
        <v>0.92</v>
      </c>
      <c r="J26" s="33">
        <v>0.96</v>
      </c>
      <c r="K26" s="33">
        <v>0.99</v>
      </c>
      <c r="L26" s="33">
        <v>1</v>
      </c>
    </row>
    <row r="27" spans="1:12">
      <c r="A27" s="4" t="s">
        <v>47</v>
      </c>
      <c r="B27" s="4" t="s">
        <v>208</v>
      </c>
      <c r="C27" s="4" t="str">
        <f t="shared" si="0"/>
        <v>Infiltration Trench 0.52 in/hr</v>
      </c>
      <c r="D27" s="33">
        <v>0</v>
      </c>
      <c r="E27" s="33">
        <v>0.23</v>
      </c>
      <c r="F27" s="33">
        <v>0.42</v>
      </c>
      <c r="G27" s="33">
        <v>0.68</v>
      </c>
      <c r="H27" s="33">
        <v>0.82</v>
      </c>
      <c r="I27" s="33">
        <v>0.89</v>
      </c>
      <c r="J27" s="33">
        <v>0.94</v>
      </c>
      <c r="K27" s="33">
        <v>0.98</v>
      </c>
      <c r="L27" s="33">
        <v>0.99</v>
      </c>
    </row>
    <row r="28" spans="1:12">
      <c r="A28" s="4" t="s">
        <v>47</v>
      </c>
      <c r="B28" s="4" t="s">
        <v>209</v>
      </c>
      <c r="C28" s="4" t="str">
        <f t="shared" si="0"/>
        <v>Infiltration Trench 0.27 in /hr</v>
      </c>
      <c r="D28" s="33">
        <v>0</v>
      </c>
      <c r="E28" s="33">
        <v>0.2</v>
      </c>
      <c r="F28" s="33">
        <v>0.37</v>
      </c>
      <c r="G28" s="33">
        <v>0.63</v>
      </c>
      <c r="H28" s="33">
        <v>0.78</v>
      </c>
      <c r="I28" s="33">
        <v>0.86</v>
      </c>
      <c r="J28" s="33">
        <v>0.92</v>
      </c>
      <c r="K28" s="33">
        <v>0.97</v>
      </c>
      <c r="L28" s="33">
        <v>0.99</v>
      </c>
    </row>
    <row r="29" spans="1:12">
      <c r="A29" s="4" t="s">
        <v>47</v>
      </c>
      <c r="B29" s="4" t="s">
        <v>210</v>
      </c>
      <c r="C29" s="4" t="str">
        <f t="shared" si="0"/>
        <v>Infiltration Trench 0.17 in/hr</v>
      </c>
      <c r="D29" s="33">
        <v>0</v>
      </c>
      <c r="E29" s="33">
        <v>0.18</v>
      </c>
      <c r="F29" s="33">
        <v>0.33</v>
      </c>
      <c r="G29" s="33">
        <v>0.56999999999999995</v>
      </c>
      <c r="H29" s="33">
        <v>0.73</v>
      </c>
      <c r="I29" s="33">
        <v>0.83</v>
      </c>
      <c r="J29" s="33">
        <v>0.9</v>
      </c>
      <c r="K29" s="33">
        <v>0.97</v>
      </c>
      <c r="L29" s="33">
        <v>0.99</v>
      </c>
    </row>
    <row r="30" spans="1:12">
      <c r="A30" s="4" t="s">
        <v>92</v>
      </c>
      <c r="B30" s="4"/>
      <c r="C30" s="4" t="str">
        <f t="shared" si="0"/>
        <v xml:space="preserve">Porous Pavement </v>
      </c>
      <c r="D30" s="4"/>
      <c r="E30" s="4"/>
      <c r="F30" s="4"/>
      <c r="G30" s="4"/>
      <c r="H30" s="4"/>
      <c r="I30" s="4"/>
      <c r="J30" s="4"/>
      <c r="K30" s="4"/>
      <c r="L30" s="4"/>
    </row>
    <row r="31" spans="1:12">
      <c r="A31" s="4" t="s">
        <v>160</v>
      </c>
      <c r="B31" s="4" t="s">
        <v>205</v>
      </c>
      <c r="C31" s="4" t="str">
        <f t="shared" si="0"/>
        <v>Sand filter (infiltrating) 8.27 in/hr</v>
      </c>
      <c r="D31" s="33">
        <v>0</v>
      </c>
      <c r="E31" s="33">
        <v>0.5</v>
      </c>
      <c r="F31" s="33">
        <v>0.75</v>
      </c>
      <c r="G31" s="33">
        <v>0.94</v>
      </c>
      <c r="H31" s="33">
        <v>0.98</v>
      </c>
      <c r="I31" s="33">
        <v>0.99</v>
      </c>
      <c r="J31" s="33">
        <v>1</v>
      </c>
      <c r="K31" s="33">
        <v>1</v>
      </c>
      <c r="L31" s="33">
        <v>1</v>
      </c>
    </row>
    <row r="32" spans="1:12">
      <c r="A32" s="4" t="s">
        <v>160</v>
      </c>
      <c r="B32" s="4" t="s">
        <v>206</v>
      </c>
      <c r="C32" s="4" t="str">
        <f t="shared" si="0"/>
        <v>Sand filter (infiltrating) 2.41 in/hr</v>
      </c>
      <c r="D32" s="33">
        <v>0</v>
      </c>
      <c r="E32" s="33">
        <v>0.33</v>
      </c>
      <c r="F32" s="33">
        <v>0.55000000000000004</v>
      </c>
      <c r="G32" s="33">
        <v>0.81</v>
      </c>
      <c r="H32" s="33">
        <v>0.91</v>
      </c>
      <c r="I32" s="33">
        <v>0.96</v>
      </c>
      <c r="J32" s="33">
        <v>0.98</v>
      </c>
      <c r="K32" s="33">
        <v>1</v>
      </c>
      <c r="L32" s="33">
        <v>1</v>
      </c>
    </row>
    <row r="33" spans="1:12">
      <c r="A33" s="4" t="s">
        <v>160</v>
      </c>
      <c r="B33" s="4" t="s">
        <v>207</v>
      </c>
      <c r="C33" s="4" t="str">
        <f t="shared" si="0"/>
        <v>Sand filter (infiltrating) 1.02 in/hr</v>
      </c>
      <c r="D33" s="33">
        <v>0</v>
      </c>
      <c r="E33" s="33">
        <v>0.27</v>
      </c>
      <c r="F33" s="33">
        <v>0.47</v>
      </c>
      <c r="G33" s="33">
        <v>0.73</v>
      </c>
      <c r="H33" s="33">
        <v>0.86</v>
      </c>
      <c r="I33" s="33">
        <v>0.92</v>
      </c>
      <c r="J33" s="33">
        <v>0.96</v>
      </c>
      <c r="K33" s="33">
        <v>0.99</v>
      </c>
      <c r="L33" s="33">
        <v>1</v>
      </c>
    </row>
    <row r="34" spans="1:12">
      <c r="A34" s="4" t="s">
        <v>160</v>
      </c>
      <c r="B34" s="4" t="s">
        <v>208</v>
      </c>
      <c r="C34" s="4" t="str">
        <f t="shared" si="0"/>
        <v>Sand filter (infiltrating) 0.52 in/hr</v>
      </c>
      <c r="D34" s="33">
        <v>0</v>
      </c>
      <c r="E34" s="33">
        <v>0.23</v>
      </c>
      <c r="F34" s="33">
        <v>0.42</v>
      </c>
      <c r="G34" s="33">
        <v>0.68</v>
      </c>
      <c r="H34" s="33">
        <v>0.82</v>
      </c>
      <c r="I34" s="33">
        <v>0.89</v>
      </c>
      <c r="J34" s="33">
        <v>0.94</v>
      </c>
      <c r="K34" s="33">
        <v>0.98</v>
      </c>
      <c r="L34" s="33">
        <v>0.99</v>
      </c>
    </row>
    <row r="35" spans="1:12">
      <c r="A35" s="4" t="s">
        <v>160</v>
      </c>
      <c r="B35" s="4" t="s">
        <v>209</v>
      </c>
      <c r="C35" s="4" t="str">
        <f t="shared" si="0"/>
        <v>Sand filter (infiltrating) 0.27 in /hr</v>
      </c>
      <c r="D35" s="33">
        <v>0</v>
      </c>
      <c r="E35" s="33">
        <v>0.2</v>
      </c>
      <c r="F35" s="33">
        <v>0.37</v>
      </c>
      <c r="G35" s="33">
        <v>0.63</v>
      </c>
      <c r="H35" s="33">
        <v>0.78</v>
      </c>
      <c r="I35" s="33">
        <v>0.86</v>
      </c>
      <c r="J35" s="33">
        <v>0.92</v>
      </c>
      <c r="K35" s="33">
        <v>0.97</v>
      </c>
      <c r="L35" s="33">
        <v>0.99</v>
      </c>
    </row>
    <row r="36" spans="1:12">
      <c r="A36" s="4" t="s">
        <v>160</v>
      </c>
      <c r="B36" s="4" t="s">
        <v>210</v>
      </c>
      <c r="C36" s="4" t="str">
        <f t="shared" si="0"/>
        <v>Sand filter (infiltrating) 0.17 in/hr</v>
      </c>
      <c r="D36" s="33">
        <v>0</v>
      </c>
      <c r="E36" s="33">
        <v>0.18</v>
      </c>
      <c r="F36" s="33">
        <v>0.33</v>
      </c>
      <c r="G36" s="33">
        <v>0.56999999999999995</v>
      </c>
      <c r="H36" s="33">
        <v>0.73</v>
      </c>
      <c r="I36" s="33">
        <v>0.83</v>
      </c>
      <c r="J36" s="33">
        <v>0.9</v>
      </c>
      <c r="K36" s="33">
        <v>0.97</v>
      </c>
      <c r="L36" s="33">
        <v>0.99</v>
      </c>
    </row>
    <row r="37" spans="1:12">
      <c r="A37" s="4" t="s">
        <v>163</v>
      </c>
      <c r="B37" s="4"/>
      <c r="C37" s="4" t="str">
        <f t="shared" si="0"/>
        <v xml:space="preserve">Sand filter (w/ underdrain) </v>
      </c>
      <c r="D37" s="32">
        <v>0</v>
      </c>
      <c r="E37" s="32">
        <v>0.14000000000000001</v>
      </c>
      <c r="F37" s="32">
        <v>0.25</v>
      </c>
      <c r="G37" s="32">
        <v>0.37</v>
      </c>
      <c r="H37" s="32">
        <v>0.44</v>
      </c>
      <c r="I37" s="32">
        <v>0.48</v>
      </c>
      <c r="J37" s="32">
        <v>0.53</v>
      </c>
      <c r="K37" s="32">
        <v>0.57999999999999996</v>
      </c>
      <c r="L37" s="32">
        <v>0.63</v>
      </c>
    </row>
    <row r="38" spans="1:12">
      <c r="A38" s="4" t="s">
        <v>212</v>
      </c>
      <c r="B38" s="4" t="s">
        <v>205</v>
      </c>
      <c r="C38" s="4" t="str">
        <f t="shared" si="0"/>
        <v>Infiltration Basin 8.27 in/hr</v>
      </c>
      <c r="D38" s="30">
        <v>0</v>
      </c>
      <c r="E38" s="30">
        <v>0.59</v>
      </c>
      <c r="F38" s="31">
        <v>0.81</v>
      </c>
      <c r="G38" s="31">
        <v>0.96</v>
      </c>
      <c r="H38" s="31">
        <v>0.99</v>
      </c>
      <c r="I38" s="31">
        <v>1</v>
      </c>
      <c r="J38" s="31">
        <v>1</v>
      </c>
      <c r="K38" s="31">
        <v>1</v>
      </c>
      <c r="L38" s="31">
        <v>1</v>
      </c>
    </row>
    <row r="39" spans="1:12">
      <c r="A39" s="4" t="s">
        <v>212</v>
      </c>
      <c r="B39" s="4" t="s">
        <v>206</v>
      </c>
      <c r="C39" s="4" t="str">
        <f t="shared" si="0"/>
        <v>Infiltration Basin 2.41 in/hr</v>
      </c>
      <c r="D39" s="31">
        <v>0</v>
      </c>
      <c r="E39" s="31">
        <v>0.46</v>
      </c>
      <c r="F39" s="31">
        <v>0.67</v>
      </c>
      <c r="G39" s="31">
        <v>0.87</v>
      </c>
      <c r="H39" s="31">
        <v>0.94</v>
      </c>
      <c r="I39" s="31">
        <v>0.97</v>
      </c>
      <c r="J39" s="31">
        <v>0.98</v>
      </c>
      <c r="K39" s="31">
        <v>1</v>
      </c>
      <c r="L39" s="31">
        <v>1</v>
      </c>
    </row>
    <row r="40" spans="1:12">
      <c r="A40" s="4" t="s">
        <v>212</v>
      </c>
      <c r="B40" s="4" t="s">
        <v>207</v>
      </c>
      <c r="C40" s="4" t="str">
        <f t="shared" si="0"/>
        <v>Infiltration Basin 1.02 in/hr</v>
      </c>
      <c r="D40" s="31">
        <v>0</v>
      </c>
      <c r="E40" s="31">
        <v>0.41</v>
      </c>
      <c r="F40" s="31">
        <v>0.6</v>
      </c>
      <c r="G40" s="31">
        <v>0.81</v>
      </c>
      <c r="H40" s="31">
        <v>0.9</v>
      </c>
      <c r="I40" s="31">
        <v>0.94</v>
      </c>
      <c r="J40" s="31">
        <v>0.97</v>
      </c>
      <c r="K40" s="31">
        <v>0.99</v>
      </c>
      <c r="L40" s="31">
        <v>1</v>
      </c>
    </row>
    <row r="41" spans="1:12">
      <c r="A41" s="4" t="s">
        <v>212</v>
      </c>
      <c r="B41" s="4" t="s">
        <v>208</v>
      </c>
      <c r="C41" s="4" t="str">
        <f t="shared" si="0"/>
        <v>Infiltration Basin 0.52 in/hr</v>
      </c>
      <c r="D41" s="31">
        <v>0</v>
      </c>
      <c r="E41" s="31">
        <v>0.38</v>
      </c>
      <c r="F41" s="31">
        <v>0.56000000000000005</v>
      </c>
      <c r="G41" s="31">
        <v>0.77</v>
      </c>
      <c r="H41" s="31">
        <v>0.87</v>
      </c>
      <c r="I41" s="31">
        <v>0.92</v>
      </c>
      <c r="J41" s="31">
        <v>0.95</v>
      </c>
      <c r="K41" s="31">
        <v>0.98</v>
      </c>
      <c r="L41" s="31">
        <v>0.99</v>
      </c>
    </row>
    <row r="42" spans="1:12">
      <c r="A42" s="4" t="s">
        <v>212</v>
      </c>
      <c r="B42" s="4" t="s">
        <v>209</v>
      </c>
      <c r="C42" s="4" t="str">
        <f t="shared" si="0"/>
        <v>Infiltration Basin 0.27 in /hr</v>
      </c>
      <c r="D42" s="31">
        <v>0</v>
      </c>
      <c r="E42" s="31">
        <v>0.37</v>
      </c>
      <c r="F42" s="31">
        <v>0.54</v>
      </c>
      <c r="G42" s="31">
        <v>0.74</v>
      </c>
      <c r="H42" s="31">
        <v>0.85</v>
      </c>
      <c r="I42" s="31">
        <v>0.9</v>
      </c>
      <c r="J42" s="31">
        <v>0.93</v>
      </c>
      <c r="K42" s="31">
        <v>0.98</v>
      </c>
      <c r="L42" s="31">
        <v>0.99</v>
      </c>
    </row>
    <row r="43" spans="1:12">
      <c r="A43" s="4" t="s">
        <v>212</v>
      </c>
      <c r="B43" s="4" t="s">
        <v>210</v>
      </c>
      <c r="C43" s="4" t="str">
        <f t="shared" si="0"/>
        <v>Infiltration Basin 0.17 in/hr</v>
      </c>
      <c r="D43" s="31">
        <v>0</v>
      </c>
      <c r="E43" s="31">
        <v>0.35</v>
      </c>
      <c r="F43" s="31">
        <v>0.52</v>
      </c>
      <c r="G43" s="31">
        <v>0.72</v>
      </c>
      <c r="H43" s="31">
        <v>0.82</v>
      </c>
      <c r="I43" s="31">
        <v>0.88</v>
      </c>
      <c r="J43" s="31">
        <v>0.92</v>
      </c>
      <c r="K43" s="31">
        <v>0.97</v>
      </c>
      <c r="L43" s="31">
        <v>0.99</v>
      </c>
    </row>
    <row r="44" spans="1:12">
      <c r="A44" s="4" t="s">
        <v>48</v>
      </c>
      <c r="B44" s="4"/>
      <c r="C44" s="4" t="str">
        <f t="shared" si="0"/>
        <v xml:space="preserve">Wet pond/ Created Wetland </v>
      </c>
      <c r="D44" s="32">
        <v>0</v>
      </c>
      <c r="E44" s="32">
        <v>0.14000000000000001</v>
      </c>
      <c r="F44" s="32">
        <v>0.25</v>
      </c>
      <c r="G44" s="32">
        <v>0.37</v>
      </c>
      <c r="H44" s="32">
        <v>0.44</v>
      </c>
      <c r="I44" s="32">
        <v>0.48</v>
      </c>
      <c r="J44" s="32">
        <v>0.53</v>
      </c>
      <c r="K44" s="32">
        <v>0.57999999999999996</v>
      </c>
      <c r="L44" s="32">
        <v>0.63</v>
      </c>
    </row>
    <row r="45" spans="1:12">
      <c r="A45" s="4" t="s">
        <v>232</v>
      </c>
      <c r="B45" s="4"/>
      <c r="C45" s="4" t="str">
        <f t="shared" si="0"/>
        <v xml:space="preserve">Grass Channel </v>
      </c>
      <c r="D45" s="32">
        <v>0</v>
      </c>
      <c r="E45" s="32">
        <v>0.02</v>
      </c>
      <c r="F45" s="32">
        <v>0.05</v>
      </c>
      <c r="G45" s="32">
        <v>0.09</v>
      </c>
      <c r="H45" s="32">
        <v>0.13</v>
      </c>
      <c r="I45" s="32">
        <v>0.17</v>
      </c>
      <c r="J45" s="32">
        <v>0.21</v>
      </c>
      <c r="K45" s="32">
        <v>0.28999999999999998</v>
      </c>
      <c r="L45" s="32">
        <v>0.36</v>
      </c>
    </row>
    <row r="46" spans="1:12">
      <c r="A46" s="4" t="s">
        <v>794</v>
      </c>
      <c r="B46" s="4"/>
      <c r="C46" s="4" t="str">
        <f t="shared" si="0"/>
        <v xml:space="preserve">Underground Detention </v>
      </c>
      <c r="D46" s="29">
        <v>0</v>
      </c>
      <c r="E46" s="29">
        <v>0.03</v>
      </c>
      <c r="F46" s="29">
        <v>0.06</v>
      </c>
      <c r="G46" s="29">
        <v>0.08</v>
      </c>
      <c r="H46" s="29">
        <v>0.09</v>
      </c>
      <c r="I46" s="29">
        <v>0.11</v>
      </c>
      <c r="J46" s="29">
        <v>0.12</v>
      </c>
      <c r="K46" s="29">
        <v>0.13</v>
      </c>
      <c r="L46" s="29">
        <v>0.14000000000000001</v>
      </c>
    </row>
  </sheetData>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FBA900-586B-416C-AFD9-B60F886C5DE5}">
  <dimension ref="A1:L29"/>
  <sheetViews>
    <sheetView workbookViewId="0">
      <selection activeCell="A18" sqref="A18:XFD18"/>
    </sheetView>
  </sheetViews>
  <sheetFormatPr defaultRowHeight="15"/>
  <cols>
    <col min="1" max="1" width="12.28515625" customWidth="1"/>
    <col min="2" max="2" width="19.7109375" customWidth="1"/>
    <col min="5" max="5" width="10.5703125" customWidth="1"/>
    <col min="6" max="6" width="10.28515625" customWidth="1"/>
  </cols>
  <sheetData>
    <row r="1" spans="1:12" ht="42.6" customHeight="1" thickBot="1">
      <c r="A1" s="283" t="s">
        <v>123</v>
      </c>
      <c r="B1" s="285" t="s">
        <v>124</v>
      </c>
      <c r="C1" s="287" t="s">
        <v>187</v>
      </c>
      <c r="D1" s="287" t="s">
        <v>188</v>
      </c>
      <c r="E1" s="287" t="s">
        <v>189</v>
      </c>
      <c r="F1" s="287" t="s">
        <v>190</v>
      </c>
      <c r="G1" s="275" t="s">
        <v>191</v>
      </c>
      <c r="H1" s="275"/>
      <c r="I1" s="275"/>
      <c r="J1" s="275"/>
      <c r="K1" s="275"/>
      <c r="L1" s="276" t="s">
        <v>192</v>
      </c>
    </row>
    <row r="2" spans="1:12" ht="45.75" thickBot="1">
      <c r="A2" s="284"/>
      <c r="B2" s="286"/>
      <c r="C2" s="288"/>
      <c r="D2" s="288"/>
      <c r="E2" s="288"/>
      <c r="F2" s="288"/>
      <c r="G2" s="18" t="s">
        <v>193</v>
      </c>
      <c r="H2" s="19" t="s">
        <v>194</v>
      </c>
      <c r="I2" s="19" t="s">
        <v>195</v>
      </c>
      <c r="J2" s="19" t="s">
        <v>196</v>
      </c>
      <c r="K2" s="35" t="s">
        <v>197</v>
      </c>
      <c r="L2" s="277"/>
    </row>
    <row r="3" spans="1:12" ht="15.75" thickBot="1">
      <c r="A3" s="20" t="s">
        <v>125</v>
      </c>
      <c r="B3" s="21" t="s">
        <v>137</v>
      </c>
      <c r="C3" s="22">
        <v>2.2989999999999999</v>
      </c>
      <c r="D3" s="22">
        <v>0.82299999999999995</v>
      </c>
      <c r="E3" s="22">
        <v>1.1970000000000001</v>
      </c>
      <c r="F3" s="22">
        <v>1.04</v>
      </c>
      <c r="G3" s="22">
        <v>6.2E-2</v>
      </c>
      <c r="H3" s="22">
        <v>0.27300000000000002</v>
      </c>
      <c r="I3" s="22">
        <v>0.42</v>
      </c>
      <c r="J3" s="22">
        <v>0.78700000000000003</v>
      </c>
      <c r="K3" s="22">
        <v>0.28899999999999998</v>
      </c>
      <c r="L3" s="22">
        <v>0.25900000000000001</v>
      </c>
    </row>
    <row r="4" spans="1:12" ht="15.75" thickBot="1">
      <c r="A4" s="23" t="s">
        <v>125</v>
      </c>
      <c r="B4" s="24" t="s">
        <v>138</v>
      </c>
      <c r="C4" s="25">
        <v>2.2589999999999999</v>
      </c>
      <c r="D4" s="25">
        <v>0.83899999999999997</v>
      </c>
      <c r="E4" s="25">
        <v>1.169</v>
      </c>
      <c r="F4" s="25">
        <v>1.012</v>
      </c>
      <c r="G4" s="25">
        <v>0.14199999999999999</v>
      </c>
      <c r="H4" s="25">
        <v>0.13700000000000001</v>
      </c>
      <c r="I4" s="25">
        <v>0.16400000000000001</v>
      </c>
      <c r="J4" s="25">
        <v>0.64300000000000002</v>
      </c>
      <c r="K4" s="25">
        <v>0.28899999999999998</v>
      </c>
      <c r="L4" s="25">
        <v>0.26100000000000001</v>
      </c>
    </row>
    <row r="5" spans="1:12" ht="15.75" thickBot="1">
      <c r="A5" s="20" t="s">
        <v>125</v>
      </c>
      <c r="B5" s="21" t="s">
        <v>139</v>
      </c>
      <c r="C5" s="22">
        <v>2.3809999999999998</v>
      </c>
      <c r="D5" s="22">
        <v>1.097</v>
      </c>
      <c r="E5" s="22">
        <v>1.464</v>
      </c>
      <c r="F5" s="22">
        <v>1.298</v>
      </c>
      <c r="G5" s="27">
        <v>3.5999999999999997E-2</v>
      </c>
      <c r="H5" s="27">
        <v>0.23799999999999999</v>
      </c>
      <c r="I5" s="22">
        <v>0.94699999999999995</v>
      </c>
      <c r="J5" s="27" t="s">
        <v>203</v>
      </c>
      <c r="K5" s="22">
        <v>0.94699999999999995</v>
      </c>
      <c r="L5" s="22">
        <v>0.13100000000000001</v>
      </c>
    </row>
    <row r="6" spans="1:12" ht="15.75" thickBot="1">
      <c r="A6" s="23" t="s">
        <v>126</v>
      </c>
      <c r="B6" s="24" t="s">
        <v>140</v>
      </c>
      <c r="C6" s="25">
        <v>2.3210000000000002</v>
      </c>
      <c r="D6" s="25">
        <v>0.92700000000000005</v>
      </c>
      <c r="E6" s="25">
        <v>1.3089999999999999</v>
      </c>
      <c r="F6" s="25">
        <v>1.127</v>
      </c>
      <c r="G6" s="28">
        <v>3.5999999999999997E-2</v>
      </c>
      <c r="H6" s="28">
        <v>0.23799999999999999</v>
      </c>
      <c r="I6" s="25">
        <v>0.25</v>
      </c>
      <c r="J6" s="25">
        <v>0.374</v>
      </c>
      <c r="K6" s="25">
        <v>0.373</v>
      </c>
      <c r="L6" s="25">
        <v>0.13200000000000001</v>
      </c>
    </row>
    <row r="7" spans="1:12" ht="15.75" thickBot="1">
      <c r="A7" s="20" t="s">
        <v>127</v>
      </c>
      <c r="B7" s="21" t="s">
        <v>141</v>
      </c>
      <c r="C7" s="22">
        <v>2.2240000000000002</v>
      </c>
      <c r="D7" s="22">
        <v>0.89400000000000002</v>
      </c>
      <c r="E7" s="22">
        <v>1.2410000000000001</v>
      </c>
      <c r="F7" s="22">
        <v>1.081</v>
      </c>
      <c r="G7" s="22">
        <v>1E-3</v>
      </c>
      <c r="H7" s="22">
        <v>0.55600000000000005</v>
      </c>
      <c r="I7" s="27">
        <v>0.28799999999999998</v>
      </c>
      <c r="J7" s="22">
        <v>0.50600000000000001</v>
      </c>
      <c r="K7" s="22">
        <v>0.503</v>
      </c>
      <c r="L7" s="22">
        <v>7.2999999999999995E-2</v>
      </c>
    </row>
    <row r="8" spans="1:12" ht="15.75" thickBot="1">
      <c r="A8" s="23" t="s">
        <v>128</v>
      </c>
      <c r="B8" s="24" t="s">
        <v>142</v>
      </c>
      <c r="C8" s="25">
        <v>2.2080000000000002</v>
      </c>
      <c r="D8" s="25">
        <v>0.85399999999999998</v>
      </c>
      <c r="E8" s="25">
        <v>0.98899999999999999</v>
      </c>
      <c r="F8" s="25">
        <v>0.92800000000000005</v>
      </c>
      <c r="G8" s="25">
        <v>0.01</v>
      </c>
      <c r="H8" s="25">
        <v>0.34200000000000003</v>
      </c>
      <c r="I8" s="25">
        <v>0.28299999999999997</v>
      </c>
      <c r="J8" s="25">
        <v>0.33200000000000002</v>
      </c>
      <c r="K8" s="25">
        <v>0.28999999999999998</v>
      </c>
      <c r="L8" s="25">
        <v>7.0999999999999994E-2</v>
      </c>
    </row>
    <row r="9" spans="1:12" ht="15.75" thickBot="1">
      <c r="A9" s="20" t="s">
        <v>128</v>
      </c>
      <c r="B9" s="21" t="s">
        <v>143</v>
      </c>
      <c r="C9" s="22">
        <v>2.36</v>
      </c>
      <c r="D9" s="22">
        <v>0.95699999999999996</v>
      </c>
      <c r="E9" s="22">
        <v>1.2330000000000001</v>
      </c>
      <c r="F9" s="22">
        <v>1.097</v>
      </c>
      <c r="G9" s="22">
        <v>2.4E-2</v>
      </c>
      <c r="H9" s="22" t="s">
        <v>119</v>
      </c>
      <c r="I9" s="22">
        <v>0.14399999999999999</v>
      </c>
      <c r="J9" s="22">
        <v>0.4</v>
      </c>
      <c r="K9" s="22">
        <v>0.36599999999999999</v>
      </c>
      <c r="L9" s="22">
        <v>3.6999999999999998E-2</v>
      </c>
    </row>
    <row r="10" spans="1:12" ht="15.75" thickBot="1">
      <c r="A10" s="23" t="s">
        <v>128</v>
      </c>
      <c r="B10" s="24" t="s">
        <v>128</v>
      </c>
      <c r="C10" s="25">
        <v>2.1150000000000002</v>
      </c>
      <c r="D10" s="25">
        <v>0.81799999999999995</v>
      </c>
      <c r="E10" s="25">
        <v>1.1499999999999999</v>
      </c>
      <c r="F10" s="25">
        <v>0.998</v>
      </c>
      <c r="G10" s="25">
        <v>0.1</v>
      </c>
      <c r="H10" s="25">
        <v>0.27600000000000002</v>
      </c>
      <c r="I10" s="25">
        <v>0.27100000000000002</v>
      </c>
      <c r="J10" s="25">
        <v>0.39800000000000002</v>
      </c>
      <c r="K10" s="25">
        <v>0.29199999999999998</v>
      </c>
      <c r="L10" s="25">
        <v>0.248</v>
      </c>
    </row>
    <row r="11" spans="1:12" ht="15.75" thickBot="1">
      <c r="A11" s="20" t="s">
        <v>128</v>
      </c>
      <c r="B11" s="21" t="s">
        <v>144</v>
      </c>
      <c r="C11" s="22">
        <v>2.2719999999999998</v>
      </c>
      <c r="D11" s="22">
        <v>0.88100000000000001</v>
      </c>
      <c r="E11" s="22">
        <v>1.095</v>
      </c>
      <c r="F11" s="22">
        <v>1.0049999999999999</v>
      </c>
      <c r="G11" s="27">
        <v>3.5999999999999997E-2</v>
      </c>
      <c r="H11" s="27">
        <v>0.23799999999999999</v>
      </c>
      <c r="I11" s="22">
        <v>0.27300000000000002</v>
      </c>
      <c r="J11" s="22">
        <v>0.35099999999999998</v>
      </c>
      <c r="K11" s="22">
        <v>0.34799999999999998</v>
      </c>
      <c r="L11" s="22">
        <v>0.39900000000000002</v>
      </c>
    </row>
    <row r="12" spans="1:12" ht="15.75" thickBot="1">
      <c r="A12" s="23" t="s">
        <v>129</v>
      </c>
      <c r="B12" s="24" t="s">
        <v>145</v>
      </c>
      <c r="C12" s="25">
        <v>2.081</v>
      </c>
      <c r="D12" s="25">
        <v>0.877</v>
      </c>
      <c r="E12" s="25">
        <v>0.93300000000000005</v>
      </c>
      <c r="F12" s="25">
        <v>0.91400000000000003</v>
      </c>
      <c r="G12" s="25">
        <v>1E-3</v>
      </c>
      <c r="H12" s="25">
        <v>4.2999999999999997E-2</v>
      </c>
      <c r="I12" s="28">
        <v>0.28799999999999998</v>
      </c>
      <c r="J12" s="25">
        <v>0.30099999999999999</v>
      </c>
      <c r="K12" s="25">
        <v>9.5000000000000001E-2</v>
      </c>
      <c r="L12" s="25">
        <v>0.26800000000000002</v>
      </c>
    </row>
    <row r="13" spans="1:12" ht="15.75" thickBot="1">
      <c r="A13" s="20" t="s">
        <v>129</v>
      </c>
      <c r="B13" s="21" t="s">
        <v>146</v>
      </c>
      <c r="C13" s="22">
        <v>2.2069999999999999</v>
      </c>
      <c r="D13" s="22">
        <v>0.80200000000000005</v>
      </c>
      <c r="E13" s="22">
        <v>1.117</v>
      </c>
      <c r="F13" s="22">
        <v>0.98</v>
      </c>
      <c r="G13" s="22">
        <v>0.02</v>
      </c>
      <c r="H13" s="22">
        <v>0.254</v>
      </c>
      <c r="I13" s="22">
        <v>0.28399999999999997</v>
      </c>
      <c r="J13" s="22">
        <v>0.46700000000000003</v>
      </c>
      <c r="K13" s="22">
        <v>0.23100000000000001</v>
      </c>
      <c r="L13" s="22">
        <v>0.18099999999999999</v>
      </c>
    </row>
    <row r="14" spans="1:12" ht="15.75" thickBot="1">
      <c r="A14" s="23" t="s">
        <v>130</v>
      </c>
      <c r="B14" s="24" t="s">
        <v>147</v>
      </c>
      <c r="C14" s="25">
        <v>2.0750000000000002</v>
      </c>
      <c r="D14" s="25">
        <v>0.73499999999999999</v>
      </c>
      <c r="E14" s="25">
        <v>0.95199999999999996</v>
      </c>
      <c r="F14" s="25">
        <v>0.878</v>
      </c>
      <c r="G14" s="25">
        <v>0.01</v>
      </c>
      <c r="H14" s="25">
        <v>5.8999999999999997E-2</v>
      </c>
      <c r="I14" s="25">
        <v>0.123</v>
      </c>
      <c r="J14" s="25">
        <v>0.24299999999999999</v>
      </c>
      <c r="K14" s="25">
        <v>0.17199999999999999</v>
      </c>
      <c r="L14" s="25">
        <v>6.0999999999999999E-2</v>
      </c>
    </row>
    <row r="15" spans="1:12" ht="15.75" thickBot="1">
      <c r="A15" s="20" t="s">
        <v>131</v>
      </c>
      <c r="B15" s="21" t="s">
        <v>156</v>
      </c>
      <c r="C15" s="22" t="s">
        <v>119</v>
      </c>
      <c r="D15" s="22">
        <v>0.92100000000000004</v>
      </c>
      <c r="E15" s="22">
        <v>1.651</v>
      </c>
      <c r="F15" s="22">
        <v>1.4490000000000001</v>
      </c>
      <c r="G15" s="22">
        <v>1.4999999999999999E-2</v>
      </c>
      <c r="H15" s="22">
        <v>0.158</v>
      </c>
      <c r="I15" s="27">
        <v>0.28799999999999998</v>
      </c>
      <c r="J15" s="22">
        <v>0.35399999999999998</v>
      </c>
      <c r="K15" s="22">
        <v>8.2000000000000003E-2</v>
      </c>
      <c r="L15" s="22">
        <v>9.6000000000000002E-2</v>
      </c>
    </row>
    <row r="16" spans="1:12" ht="15.75" thickBot="1">
      <c r="A16" s="23" t="s">
        <v>131</v>
      </c>
      <c r="B16" s="24" t="s">
        <v>148</v>
      </c>
      <c r="C16" s="25">
        <v>1.9390000000000001</v>
      </c>
      <c r="D16" s="25">
        <v>0.75</v>
      </c>
      <c r="E16" s="25">
        <v>1.369</v>
      </c>
      <c r="F16" s="25">
        <v>1.2150000000000001</v>
      </c>
      <c r="G16" s="25">
        <v>1E-3</v>
      </c>
      <c r="H16" s="25">
        <v>5.8000000000000003E-2</v>
      </c>
      <c r="I16" s="28">
        <v>0.28799999999999998</v>
      </c>
      <c r="J16" s="25">
        <v>0.34</v>
      </c>
      <c r="K16" s="25">
        <v>6.4000000000000001E-2</v>
      </c>
      <c r="L16" s="25">
        <v>0.17</v>
      </c>
    </row>
    <row r="17" spans="1:12" ht="15.75" thickBot="1">
      <c r="A17" s="20" t="s">
        <v>132</v>
      </c>
      <c r="B17" s="21" t="s">
        <v>149</v>
      </c>
      <c r="C17" s="22">
        <v>2.0339999999999998</v>
      </c>
      <c r="D17" s="22">
        <v>0.81</v>
      </c>
      <c r="E17" s="22">
        <v>1.1379999999999999</v>
      </c>
      <c r="F17" s="22">
        <v>0.98599999999999999</v>
      </c>
      <c r="G17" s="22">
        <v>3.6999999999999998E-2</v>
      </c>
      <c r="H17" s="22">
        <v>0.21299999999999999</v>
      </c>
      <c r="I17" s="22">
        <v>0.438</v>
      </c>
      <c r="J17" s="22">
        <v>0.54700000000000004</v>
      </c>
      <c r="K17" s="22">
        <v>0.22800000000000001</v>
      </c>
      <c r="L17" s="22">
        <v>6.9000000000000006E-2</v>
      </c>
    </row>
    <row r="18" spans="1:12" ht="15.75" thickBot="1">
      <c r="A18" s="23" t="s">
        <v>132</v>
      </c>
      <c r="B18" s="24" t="s">
        <v>150</v>
      </c>
      <c r="C18" s="25">
        <v>2.0099999999999998</v>
      </c>
      <c r="D18" s="25">
        <v>0.67700000000000005</v>
      </c>
      <c r="E18" s="25">
        <v>0.82499999999999996</v>
      </c>
      <c r="F18" s="25">
        <v>0.75800000000000001</v>
      </c>
      <c r="G18" s="25">
        <v>1.0999999999999999E-2</v>
      </c>
      <c r="H18" s="25">
        <v>9.9000000000000005E-2</v>
      </c>
      <c r="I18" s="28">
        <v>0.28799999999999998</v>
      </c>
      <c r="J18" s="25">
        <v>0.39200000000000002</v>
      </c>
      <c r="K18" s="25">
        <v>1.2E-2</v>
      </c>
      <c r="L18" s="25">
        <v>2.8000000000000001E-2</v>
      </c>
    </row>
    <row r="19" spans="1:12" ht="15.75" thickBot="1">
      <c r="A19" s="20" t="s">
        <v>133</v>
      </c>
      <c r="B19" s="21" t="s">
        <v>151</v>
      </c>
      <c r="C19" s="22">
        <v>2.0670000000000002</v>
      </c>
      <c r="D19" s="22">
        <v>0.81899999999999995</v>
      </c>
      <c r="E19" s="22">
        <v>1.1439999999999999</v>
      </c>
      <c r="F19" s="22">
        <v>1.002</v>
      </c>
      <c r="G19" s="27">
        <v>3.5999999999999997E-2</v>
      </c>
      <c r="H19" s="27">
        <v>0.23799999999999999</v>
      </c>
      <c r="I19" s="22">
        <v>0.104</v>
      </c>
      <c r="J19" s="22">
        <v>0.29799999999999999</v>
      </c>
      <c r="K19" s="22">
        <v>0.29799999999999999</v>
      </c>
      <c r="L19" s="22">
        <v>0.34200000000000003</v>
      </c>
    </row>
    <row r="20" spans="1:12" ht="15.75" thickBot="1">
      <c r="A20" s="23" t="s">
        <v>134</v>
      </c>
      <c r="B20" s="24" t="s">
        <v>152</v>
      </c>
      <c r="C20" s="25">
        <v>1.992</v>
      </c>
      <c r="D20" s="25">
        <v>0.79100000000000004</v>
      </c>
      <c r="E20" s="25">
        <v>1.24</v>
      </c>
      <c r="F20" s="25">
        <v>1.0589999999999999</v>
      </c>
      <c r="G20" s="28">
        <v>3.5999999999999997E-2</v>
      </c>
      <c r="H20" s="25">
        <v>4.9000000000000002E-2</v>
      </c>
      <c r="I20" s="25">
        <v>0.19400000000000001</v>
      </c>
      <c r="J20" s="28">
        <v>0.41199999999999998</v>
      </c>
      <c r="K20" s="25">
        <v>0.17799999999999999</v>
      </c>
      <c r="L20" s="25">
        <v>6.9000000000000006E-2</v>
      </c>
    </row>
    <row r="21" spans="1:12" ht="15.75" thickBot="1">
      <c r="A21" s="20" t="s">
        <v>135</v>
      </c>
      <c r="B21" s="21" t="s">
        <v>222</v>
      </c>
      <c r="C21" s="22">
        <v>2</v>
      </c>
      <c r="D21" s="22">
        <v>0.81699999999999995</v>
      </c>
      <c r="E21" s="22">
        <v>0.71399999999999997</v>
      </c>
      <c r="F21" s="22">
        <v>0.76</v>
      </c>
      <c r="G21" s="22">
        <v>2.3E-2</v>
      </c>
      <c r="H21" s="22">
        <v>0.28499999999999998</v>
      </c>
      <c r="I21" s="22">
        <v>0.50800000000000001</v>
      </c>
      <c r="J21" s="22">
        <v>0.316</v>
      </c>
      <c r="K21" s="22">
        <v>0.41499999999999998</v>
      </c>
      <c r="L21" s="22">
        <v>8.7999999999999995E-2</v>
      </c>
    </row>
    <row r="22" spans="1:12" ht="15.75" thickBot="1">
      <c r="A22" s="23" t="s">
        <v>135</v>
      </c>
      <c r="B22" s="24" t="s">
        <v>198</v>
      </c>
      <c r="C22" s="25">
        <v>2.056</v>
      </c>
      <c r="D22" s="25">
        <v>0.80600000000000005</v>
      </c>
      <c r="E22" s="25">
        <v>1.149</v>
      </c>
      <c r="F22" s="25">
        <v>0.98099999999999998</v>
      </c>
      <c r="G22" s="25">
        <v>8.9999999999999993E-3</v>
      </c>
      <c r="H22" s="25">
        <v>0.26600000000000001</v>
      </c>
      <c r="I22" s="25">
        <v>0.28599999999999998</v>
      </c>
      <c r="J22" s="25">
        <v>0.433</v>
      </c>
      <c r="K22" s="25">
        <v>0.26100000000000001</v>
      </c>
      <c r="L22" s="25">
        <v>0.20399999999999999</v>
      </c>
    </row>
    <row r="23" spans="1:12" ht="15.75" thickBot="1">
      <c r="A23" s="20" t="s">
        <v>136</v>
      </c>
      <c r="B23" s="21" t="s">
        <v>155</v>
      </c>
      <c r="C23" s="22">
        <v>1.9670000000000001</v>
      </c>
      <c r="D23" s="22">
        <v>0.72899999999999998</v>
      </c>
      <c r="E23" s="22">
        <v>0.75900000000000001</v>
      </c>
      <c r="F23" s="22">
        <v>0.746</v>
      </c>
      <c r="G23" s="27">
        <v>3.5999999999999997E-2</v>
      </c>
      <c r="H23" s="22">
        <v>2.4E-2</v>
      </c>
      <c r="I23" s="22">
        <v>8.4000000000000005E-2</v>
      </c>
      <c r="J23" s="22">
        <v>7.5999999999999998E-2</v>
      </c>
      <c r="K23" s="22">
        <v>7.6999999999999999E-2</v>
      </c>
      <c r="L23" s="22">
        <v>6.9000000000000006E-2</v>
      </c>
    </row>
    <row r="24" spans="1:12" ht="15.75" thickBot="1">
      <c r="A24" s="278" t="s">
        <v>199</v>
      </c>
      <c r="B24" s="279"/>
      <c r="C24" s="25">
        <v>2.1379999999999999</v>
      </c>
      <c r="D24" s="25">
        <v>0.81</v>
      </c>
      <c r="E24" s="25">
        <v>1.115</v>
      </c>
      <c r="F24" s="25">
        <v>0.98</v>
      </c>
      <c r="G24" s="25">
        <v>3.5999999999999997E-2</v>
      </c>
      <c r="H24" s="25">
        <v>0.23799999999999999</v>
      </c>
      <c r="I24" s="25">
        <v>0.28799999999999998</v>
      </c>
      <c r="J24" s="25">
        <v>0.41199999999999998</v>
      </c>
      <c r="K24" s="25">
        <v>0.24299999999999999</v>
      </c>
      <c r="L24" s="25">
        <v>6.4000000000000001E-2</v>
      </c>
    </row>
    <row r="25" spans="1:12" ht="15.75" thickBot="1">
      <c r="A25" s="280" t="s">
        <v>200</v>
      </c>
      <c r="B25" s="281"/>
      <c r="C25" s="281"/>
      <c r="D25" s="281"/>
      <c r="E25" s="281"/>
      <c r="F25" s="281"/>
      <c r="G25" s="281"/>
      <c r="H25" s="281"/>
      <c r="I25" s="281"/>
      <c r="J25" s="281"/>
      <c r="K25" s="281"/>
      <c r="L25" s="282"/>
    </row>
    <row r="26" spans="1:12">
      <c r="A26" s="26" t="s">
        <v>201</v>
      </c>
    </row>
    <row r="27" spans="1:12">
      <c r="A27" s="26" t="s">
        <v>202</v>
      </c>
    </row>
    <row r="29" spans="1:12">
      <c r="D29">
        <f>2*D13</f>
        <v>1.6040000000000001</v>
      </c>
    </row>
  </sheetData>
  <mergeCells count="10">
    <mergeCell ref="G1:K1"/>
    <mergeCell ref="L1:L2"/>
    <mergeCell ref="A24:B24"/>
    <mergeCell ref="A25:L25"/>
    <mergeCell ref="A1:A2"/>
    <mergeCell ref="B1:B2"/>
    <mergeCell ref="C1:C2"/>
    <mergeCell ref="D1:D2"/>
    <mergeCell ref="E1:E2"/>
    <mergeCell ref="F1:F2"/>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J20"/>
  <sheetViews>
    <sheetView topLeftCell="A37" workbookViewId="0">
      <selection activeCell="C56" sqref="C56"/>
    </sheetView>
  </sheetViews>
  <sheetFormatPr defaultRowHeight="15"/>
  <cols>
    <col min="2" max="2" width="20.42578125" bestFit="1" customWidth="1"/>
    <col min="3" max="3" width="40.7109375" customWidth="1"/>
    <col min="4" max="4" width="23.42578125" bestFit="1" customWidth="1"/>
    <col min="5" max="5" width="21.140625" bestFit="1" customWidth="1"/>
    <col min="6" max="6" width="15" bestFit="1" customWidth="1"/>
    <col min="7" max="7" width="14.42578125" customWidth="1"/>
    <col min="8" max="8" width="13.7109375" customWidth="1"/>
    <col min="9" max="9" width="75.7109375" customWidth="1"/>
    <col min="10" max="10" width="33.5703125" customWidth="1"/>
  </cols>
  <sheetData>
    <row r="1" spans="2:10" ht="30">
      <c r="B1" s="3" t="s">
        <v>55</v>
      </c>
      <c r="C1" s="3" t="s">
        <v>95</v>
      </c>
      <c r="D1" s="3" t="s">
        <v>56</v>
      </c>
      <c r="E1" s="3" t="s">
        <v>57</v>
      </c>
      <c r="F1" s="3" t="s">
        <v>58</v>
      </c>
      <c r="G1" s="3" t="s">
        <v>59</v>
      </c>
      <c r="H1" s="3" t="s">
        <v>60</v>
      </c>
      <c r="I1" s="9" t="s">
        <v>180</v>
      </c>
      <c r="J1" s="3" t="s">
        <v>61</v>
      </c>
    </row>
    <row r="2" spans="2:10" ht="30">
      <c r="B2" s="289" t="s">
        <v>45</v>
      </c>
      <c r="C2" s="291" t="s">
        <v>96</v>
      </c>
      <c r="D2" s="4" t="s">
        <v>64</v>
      </c>
      <c r="E2" s="4" t="s">
        <v>65</v>
      </c>
      <c r="F2" s="11" t="s">
        <v>116</v>
      </c>
      <c r="G2" s="11" t="s">
        <v>116</v>
      </c>
      <c r="H2" s="4"/>
      <c r="I2" s="5" t="s">
        <v>67</v>
      </c>
      <c r="J2" s="5"/>
    </row>
    <row r="3" spans="2:10" ht="30">
      <c r="B3" s="290"/>
      <c r="C3" s="292"/>
      <c r="D3" s="4" t="s">
        <v>68</v>
      </c>
      <c r="E3" s="4" t="s">
        <v>69</v>
      </c>
      <c r="F3" s="11" t="s">
        <v>116</v>
      </c>
      <c r="G3" s="8"/>
      <c r="H3" s="4"/>
      <c r="I3" s="5" t="s">
        <v>70</v>
      </c>
      <c r="J3" s="5"/>
    </row>
    <row r="4" spans="2:10" ht="30">
      <c r="B4" s="289" t="s">
        <v>71</v>
      </c>
      <c r="C4" s="291" t="s">
        <v>97</v>
      </c>
      <c r="D4" s="4" t="s">
        <v>72</v>
      </c>
      <c r="E4" s="4" t="s">
        <v>65</v>
      </c>
      <c r="F4" s="11" t="s">
        <v>116</v>
      </c>
      <c r="G4" s="11" t="s">
        <v>116</v>
      </c>
      <c r="H4" s="4"/>
      <c r="I4" s="5" t="s">
        <v>73</v>
      </c>
      <c r="J4" s="5"/>
    </row>
    <row r="5" spans="2:10" ht="30">
      <c r="B5" s="294"/>
      <c r="C5" s="293"/>
      <c r="D5" s="4" t="s">
        <v>74</v>
      </c>
      <c r="E5" s="4" t="s">
        <v>47</v>
      </c>
      <c r="F5" s="11" t="s">
        <v>116</v>
      </c>
      <c r="G5" s="11" t="s">
        <v>116</v>
      </c>
      <c r="H5" s="4"/>
      <c r="I5" s="5" t="s">
        <v>75</v>
      </c>
      <c r="J5" s="5"/>
    </row>
    <row r="6" spans="2:10" ht="30">
      <c r="B6" s="290"/>
      <c r="C6" s="292"/>
      <c r="D6" s="4" t="s">
        <v>76</v>
      </c>
      <c r="E6" s="4" t="s">
        <v>47</v>
      </c>
      <c r="F6" s="11" t="s">
        <v>116</v>
      </c>
      <c r="G6" s="11" t="s">
        <v>116</v>
      </c>
      <c r="H6" s="4"/>
      <c r="I6" s="5" t="s">
        <v>75</v>
      </c>
      <c r="J6" s="5"/>
    </row>
    <row r="7" spans="2:10" ht="30">
      <c r="B7" s="289" t="s">
        <v>77</v>
      </c>
      <c r="C7" s="291" t="s">
        <v>98</v>
      </c>
      <c r="D7" s="4" t="s">
        <v>64</v>
      </c>
      <c r="E7" s="4" t="s">
        <v>65</v>
      </c>
      <c r="F7" s="11" t="s">
        <v>116</v>
      </c>
      <c r="G7" s="11" t="s">
        <v>116</v>
      </c>
      <c r="H7" s="4"/>
      <c r="I7" s="5" t="s">
        <v>78</v>
      </c>
      <c r="J7" s="5"/>
    </row>
    <row r="8" spans="2:10" ht="30">
      <c r="B8" s="290"/>
      <c r="C8" s="292"/>
      <c r="D8" s="4" t="s">
        <v>68</v>
      </c>
      <c r="E8" s="4" t="s">
        <v>69</v>
      </c>
      <c r="F8" s="11" t="s">
        <v>116</v>
      </c>
      <c r="G8" s="8"/>
      <c r="H8" s="4"/>
      <c r="I8" s="5" t="s">
        <v>70</v>
      </c>
      <c r="J8" s="5"/>
    </row>
    <row r="9" spans="2:10" ht="30">
      <c r="B9" s="289" t="s">
        <v>79</v>
      </c>
      <c r="C9" s="291" t="s">
        <v>99</v>
      </c>
      <c r="D9" s="4" t="s">
        <v>64</v>
      </c>
      <c r="E9" s="4" t="s">
        <v>47</v>
      </c>
      <c r="F9" s="11" t="s">
        <v>116</v>
      </c>
      <c r="G9" s="11" t="s">
        <v>116</v>
      </c>
      <c r="H9" s="4"/>
      <c r="I9" s="5" t="s">
        <v>75</v>
      </c>
      <c r="J9" s="5"/>
    </row>
    <row r="10" spans="2:10" ht="45.75" customHeight="1">
      <c r="B10" s="290"/>
      <c r="C10" s="292"/>
      <c r="D10" s="4" t="s">
        <v>68</v>
      </c>
      <c r="E10" s="4" t="s">
        <v>80</v>
      </c>
      <c r="F10" s="11" t="s">
        <v>116</v>
      </c>
      <c r="G10" s="8"/>
      <c r="H10" s="4"/>
      <c r="I10" s="5" t="s">
        <v>81</v>
      </c>
      <c r="J10" s="5"/>
    </row>
    <row r="11" spans="2:10" ht="60">
      <c r="B11" s="6" t="s">
        <v>82</v>
      </c>
      <c r="C11" s="7" t="s">
        <v>101</v>
      </c>
      <c r="D11" s="4" t="s">
        <v>83</v>
      </c>
      <c r="E11" s="4" t="s">
        <v>82</v>
      </c>
      <c r="F11" s="11" t="s">
        <v>116</v>
      </c>
      <c r="G11" s="8"/>
      <c r="H11" s="4"/>
      <c r="I11" s="5" t="s">
        <v>100</v>
      </c>
      <c r="J11" s="5" t="s">
        <v>84</v>
      </c>
    </row>
    <row r="12" spans="2:10" ht="30">
      <c r="B12" s="289" t="s">
        <v>85</v>
      </c>
      <c r="C12" s="291" t="s">
        <v>102</v>
      </c>
      <c r="D12" s="4" t="s">
        <v>86</v>
      </c>
      <c r="E12" s="4" t="s">
        <v>69</v>
      </c>
      <c r="F12" s="11" t="s">
        <v>116</v>
      </c>
      <c r="G12" s="8"/>
      <c r="H12" s="4"/>
      <c r="I12" s="5" t="s">
        <v>70</v>
      </c>
      <c r="J12" s="5"/>
    </row>
    <row r="13" spans="2:10" ht="45">
      <c r="B13" s="290"/>
      <c r="C13" s="292"/>
      <c r="D13" s="4" t="s">
        <v>46</v>
      </c>
      <c r="E13" s="4" t="s">
        <v>46</v>
      </c>
      <c r="F13" s="11" t="s">
        <v>116</v>
      </c>
      <c r="G13" s="8"/>
      <c r="H13" s="4"/>
      <c r="I13" s="5" t="s">
        <v>87</v>
      </c>
      <c r="J13" s="5" t="s">
        <v>88</v>
      </c>
    </row>
    <row r="14" spans="2:10" ht="30">
      <c r="B14" s="289" t="s">
        <v>89</v>
      </c>
      <c r="C14" s="291" t="s">
        <v>103</v>
      </c>
      <c r="D14" s="4" t="s">
        <v>90</v>
      </c>
      <c r="E14" s="4" t="s">
        <v>47</v>
      </c>
      <c r="F14" s="11" t="s">
        <v>116</v>
      </c>
      <c r="G14" s="11" t="s">
        <v>116</v>
      </c>
      <c r="H14" s="4"/>
      <c r="I14" s="5" t="s">
        <v>75</v>
      </c>
      <c r="J14" s="5"/>
    </row>
    <row r="15" spans="2:10" ht="30">
      <c r="B15" s="290"/>
      <c r="C15" s="292"/>
      <c r="D15" s="4" t="s">
        <v>91</v>
      </c>
      <c r="E15" s="4" t="s">
        <v>92</v>
      </c>
      <c r="F15" s="4"/>
      <c r="G15" s="8"/>
      <c r="H15" s="10" t="s">
        <v>94</v>
      </c>
      <c r="I15" s="5" t="s">
        <v>93</v>
      </c>
      <c r="J15" s="5"/>
    </row>
    <row r="16" spans="2:10">
      <c r="B16" s="14"/>
      <c r="C16" s="14"/>
      <c r="D16" s="14"/>
      <c r="E16" s="14"/>
      <c r="F16" s="14"/>
      <c r="G16" s="14"/>
      <c r="H16" s="14"/>
      <c r="I16" s="15" t="s">
        <v>108</v>
      </c>
      <c r="J16" s="16"/>
    </row>
    <row r="17" spans="9:9">
      <c r="I17" s="17" t="s">
        <v>104</v>
      </c>
    </row>
    <row r="18" spans="9:9">
      <c r="I18" s="17" t="s">
        <v>105</v>
      </c>
    </row>
    <row r="19" spans="9:9">
      <c r="I19" s="17" t="s">
        <v>106</v>
      </c>
    </row>
    <row r="20" spans="9:9">
      <c r="I20" s="17" t="s">
        <v>107</v>
      </c>
    </row>
  </sheetData>
  <mergeCells count="12">
    <mergeCell ref="B14:B15"/>
    <mergeCell ref="C2:C3"/>
    <mergeCell ref="C4:C6"/>
    <mergeCell ref="C7:C8"/>
    <mergeCell ref="C9:C10"/>
    <mergeCell ref="C12:C13"/>
    <mergeCell ref="C14:C15"/>
    <mergeCell ref="B2:B3"/>
    <mergeCell ref="B4:B6"/>
    <mergeCell ref="B7:B8"/>
    <mergeCell ref="B9:B10"/>
    <mergeCell ref="B12:B13"/>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T43"/>
  <sheetViews>
    <sheetView topLeftCell="B1" zoomScale="70" zoomScaleNormal="70" workbookViewId="0">
      <selection activeCell="M30" sqref="M30"/>
    </sheetView>
  </sheetViews>
  <sheetFormatPr defaultRowHeight="15"/>
  <cols>
    <col min="1" max="1" width="9.85546875" bestFit="1" customWidth="1"/>
    <col min="2" max="2" width="25.5703125" bestFit="1" customWidth="1"/>
    <col min="3" max="3" width="22.140625" customWidth="1"/>
    <col min="4" max="4" width="26.7109375" bestFit="1" customWidth="1"/>
    <col min="5" max="5" width="14.28515625" customWidth="1"/>
    <col min="6" max="6" width="13.5703125" customWidth="1"/>
    <col min="7" max="7" width="27.85546875" bestFit="1" customWidth="1"/>
    <col min="8" max="8" width="15.42578125" customWidth="1"/>
    <col min="9" max="9" width="18.28515625" customWidth="1"/>
    <col min="10" max="10" width="25.7109375" customWidth="1"/>
    <col min="11" max="11" width="11" customWidth="1"/>
    <col min="12" max="12" width="3" customWidth="1"/>
    <col min="13" max="13" width="12.5703125" customWidth="1"/>
    <col min="14" max="14" width="3.7109375" customWidth="1"/>
    <col min="15" max="15" width="19.85546875" bestFit="1" customWidth="1"/>
    <col min="16" max="16" width="6.42578125" customWidth="1"/>
    <col min="17" max="17" width="28" bestFit="1" customWidth="1"/>
    <col min="18" max="18" width="12.5703125" customWidth="1"/>
    <col min="20" max="20" width="14" bestFit="1" customWidth="1"/>
  </cols>
  <sheetData>
    <row r="1" spans="1:20">
      <c r="A1" t="s">
        <v>113</v>
      </c>
    </row>
    <row r="2" spans="1:20" ht="47.25">
      <c r="A2" s="1" t="s">
        <v>4</v>
      </c>
      <c r="B2" s="2" t="s">
        <v>1</v>
      </c>
      <c r="C2" s="2" t="s">
        <v>5</v>
      </c>
      <c r="D2" t="s">
        <v>123</v>
      </c>
      <c r="E2" t="s">
        <v>124</v>
      </c>
      <c r="G2" s="2" t="s">
        <v>2</v>
      </c>
      <c r="H2" s="2" t="s">
        <v>167</v>
      </c>
      <c r="I2" s="2" t="s">
        <v>776</v>
      </c>
      <c r="J2" s="2" t="s">
        <v>3</v>
      </c>
      <c r="K2" s="2" t="s">
        <v>111</v>
      </c>
      <c r="O2" s="2" t="s">
        <v>123</v>
      </c>
      <c r="P2" s="2"/>
      <c r="Q2" s="2" t="s">
        <v>124</v>
      </c>
      <c r="R2" s="2" t="s">
        <v>123</v>
      </c>
      <c r="T2" s="2" t="s">
        <v>218</v>
      </c>
    </row>
    <row r="3" spans="1:20">
      <c r="A3" t="s">
        <v>14</v>
      </c>
      <c r="B3" t="s">
        <v>6</v>
      </c>
      <c r="C3" t="s">
        <v>119</v>
      </c>
      <c r="G3" t="s">
        <v>215</v>
      </c>
      <c r="H3" t="s">
        <v>168</v>
      </c>
      <c r="I3" s="230">
        <f>K32</f>
        <v>13</v>
      </c>
      <c r="J3" t="s">
        <v>49</v>
      </c>
      <c r="K3" t="s">
        <v>168</v>
      </c>
      <c r="M3" t="s">
        <v>66</v>
      </c>
      <c r="O3" s="12" t="s">
        <v>131</v>
      </c>
      <c r="P3" s="12"/>
      <c r="Q3" s="12" t="s">
        <v>137</v>
      </c>
      <c r="R3" s="12" t="s">
        <v>125</v>
      </c>
      <c r="T3" s="12" t="s">
        <v>219</v>
      </c>
    </row>
    <row r="4" spans="1:20">
      <c r="A4" t="s">
        <v>15</v>
      </c>
      <c r="B4" t="s">
        <v>7</v>
      </c>
      <c r="C4" t="s">
        <v>44</v>
      </c>
      <c r="D4" t="s">
        <v>129</v>
      </c>
      <c r="E4" t="s">
        <v>146</v>
      </c>
      <c r="G4" t="s">
        <v>161</v>
      </c>
      <c r="H4" t="s">
        <v>169</v>
      </c>
      <c r="I4" s="230">
        <f>K28</f>
        <v>23</v>
      </c>
      <c r="J4" t="s">
        <v>178</v>
      </c>
      <c r="K4" t="s">
        <v>168</v>
      </c>
      <c r="M4" t="s">
        <v>62</v>
      </c>
      <c r="O4" s="12" t="s">
        <v>136</v>
      </c>
      <c r="P4" s="12"/>
      <c r="Q4" s="12" t="s">
        <v>138</v>
      </c>
      <c r="R4" s="12" t="s">
        <v>125</v>
      </c>
      <c r="T4" s="12" t="s">
        <v>220</v>
      </c>
    </row>
    <row r="5" spans="1:20">
      <c r="A5" t="s">
        <v>16</v>
      </c>
      <c r="B5" t="s">
        <v>8</v>
      </c>
      <c r="C5" t="s">
        <v>39</v>
      </c>
      <c r="D5" s="13" t="s">
        <v>130</v>
      </c>
      <c r="E5" s="13" t="s">
        <v>147</v>
      </c>
      <c r="G5" t="s">
        <v>162</v>
      </c>
      <c r="H5" t="s">
        <v>168</v>
      </c>
      <c r="I5" s="230">
        <f>K29</f>
        <v>28</v>
      </c>
      <c r="J5" t="s">
        <v>179</v>
      </c>
      <c r="K5" t="s">
        <v>168</v>
      </c>
      <c r="M5" t="s">
        <v>63</v>
      </c>
      <c r="O5" s="12" t="s">
        <v>129</v>
      </c>
      <c r="P5" s="12"/>
      <c r="Q5" s="12" t="s">
        <v>139</v>
      </c>
      <c r="R5" s="12" t="s">
        <v>125</v>
      </c>
    </row>
    <row r="6" spans="1:20">
      <c r="A6" t="s">
        <v>19</v>
      </c>
      <c r="B6" t="s">
        <v>9</v>
      </c>
      <c r="C6" t="s">
        <v>33</v>
      </c>
      <c r="D6" t="s">
        <v>129</v>
      </c>
      <c r="E6" t="s">
        <v>146</v>
      </c>
      <c r="G6" t="s">
        <v>166</v>
      </c>
      <c r="H6" t="s">
        <v>169</v>
      </c>
      <c r="I6" s="230">
        <f>K30</f>
        <v>17</v>
      </c>
      <c r="J6" t="s">
        <v>110</v>
      </c>
      <c r="K6" t="s">
        <v>168</v>
      </c>
      <c r="O6" s="12" t="s">
        <v>132</v>
      </c>
      <c r="P6" s="12"/>
      <c r="Q6" s="12" t="s">
        <v>140</v>
      </c>
      <c r="R6" s="12" t="s">
        <v>126</v>
      </c>
    </row>
    <row r="7" spans="1:20">
      <c r="A7" t="s">
        <v>20</v>
      </c>
      <c r="B7" t="s">
        <v>10</v>
      </c>
      <c r="C7" t="s">
        <v>41</v>
      </c>
      <c r="D7" s="13" t="s">
        <v>131</v>
      </c>
      <c r="E7" s="13" t="s">
        <v>148</v>
      </c>
      <c r="G7" t="s">
        <v>165</v>
      </c>
      <c r="H7" t="s">
        <v>168</v>
      </c>
      <c r="I7" s="230">
        <f>K31</f>
        <v>19</v>
      </c>
      <c r="J7" t="s">
        <v>111</v>
      </c>
      <c r="K7" t="s">
        <v>169</v>
      </c>
      <c r="M7" t="s">
        <v>223</v>
      </c>
      <c r="O7" s="12" t="s">
        <v>135</v>
      </c>
      <c r="P7" s="12"/>
      <c r="Q7" s="12" t="s">
        <v>141</v>
      </c>
      <c r="R7" s="12" t="s">
        <v>127</v>
      </c>
    </row>
    <row r="8" spans="1:20">
      <c r="A8" t="s">
        <v>17</v>
      </c>
      <c r="B8" t="s">
        <v>11</v>
      </c>
      <c r="C8" t="s">
        <v>37</v>
      </c>
      <c r="D8" s="13" t="s">
        <v>132</v>
      </c>
      <c r="E8" t="s">
        <v>150</v>
      </c>
      <c r="G8" t="s">
        <v>46</v>
      </c>
      <c r="H8" t="s">
        <v>168</v>
      </c>
      <c r="I8" s="230">
        <f>K34</f>
        <v>17</v>
      </c>
      <c r="M8" t="s">
        <v>62</v>
      </c>
      <c r="O8" s="12" t="s">
        <v>133</v>
      </c>
      <c r="P8" s="12"/>
      <c r="Q8" s="12" t="s">
        <v>142</v>
      </c>
      <c r="R8" s="12" t="s">
        <v>128</v>
      </c>
    </row>
    <row r="9" spans="1:20">
      <c r="A9" t="s">
        <v>18</v>
      </c>
      <c r="B9" t="s">
        <v>12</v>
      </c>
      <c r="C9" t="s">
        <v>38</v>
      </c>
      <c r="D9" s="12" t="s">
        <v>128</v>
      </c>
      <c r="E9" s="41" t="s">
        <v>128</v>
      </c>
      <c r="G9" t="s">
        <v>164</v>
      </c>
      <c r="H9" t="s">
        <v>169</v>
      </c>
      <c r="I9" s="230">
        <f>K35</f>
        <v>20</v>
      </c>
      <c r="O9" s="12" t="s">
        <v>128</v>
      </c>
      <c r="P9" s="12"/>
      <c r="Q9" s="12" t="s">
        <v>143</v>
      </c>
      <c r="R9" s="12" t="s">
        <v>128</v>
      </c>
    </row>
    <row r="10" spans="1:20">
      <c r="A10" t="s">
        <v>21</v>
      </c>
      <c r="B10" t="s">
        <v>13</v>
      </c>
      <c r="C10" t="s">
        <v>35</v>
      </c>
      <c r="D10" t="s">
        <v>129</v>
      </c>
      <c r="E10" t="s">
        <v>146</v>
      </c>
      <c r="G10" t="s">
        <v>212</v>
      </c>
      <c r="H10" t="s">
        <v>169</v>
      </c>
      <c r="I10" s="230">
        <f>K40</f>
        <v>12</v>
      </c>
      <c r="O10" s="12" t="s">
        <v>127</v>
      </c>
      <c r="P10" s="12"/>
      <c r="Q10" s="12" t="s">
        <v>128</v>
      </c>
      <c r="R10" s="12" t="s">
        <v>128</v>
      </c>
    </row>
    <row r="11" spans="1:20">
      <c r="A11" t="s">
        <v>27</v>
      </c>
      <c r="B11" t="s">
        <v>22</v>
      </c>
      <c r="C11" t="s">
        <v>40</v>
      </c>
      <c r="D11" s="13" t="s">
        <v>130</v>
      </c>
      <c r="E11" s="13" t="s">
        <v>147</v>
      </c>
      <c r="G11" t="s">
        <v>47</v>
      </c>
      <c r="H11" t="s">
        <v>169</v>
      </c>
      <c r="I11" s="230">
        <f>K36</f>
        <v>20</v>
      </c>
      <c r="O11" s="12" t="s">
        <v>130</v>
      </c>
      <c r="P11" s="12"/>
      <c r="Q11" s="12" t="s">
        <v>144</v>
      </c>
      <c r="R11" s="12" t="s">
        <v>128</v>
      </c>
    </row>
    <row r="12" spans="1:20">
      <c r="A12" t="s">
        <v>28</v>
      </c>
      <c r="B12" t="s">
        <v>23</v>
      </c>
      <c r="C12" t="s">
        <v>34</v>
      </c>
      <c r="D12" s="13" t="s">
        <v>130</v>
      </c>
      <c r="E12" s="13" t="s">
        <v>147</v>
      </c>
      <c r="G12" t="s">
        <v>92</v>
      </c>
      <c r="H12" t="s">
        <v>169</v>
      </c>
      <c r="I12" s="230">
        <f>K37</f>
        <v>25</v>
      </c>
      <c r="O12" s="12" t="s">
        <v>126</v>
      </c>
      <c r="P12" s="12"/>
      <c r="Q12" s="12" t="s">
        <v>145</v>
      </c>
      <c r="R12" s="12" t="s">
        <v>129</v>
      </c>
    </row>
    <row r="13" spans="1:20">
      <c r="A13" t="s">
        <v>29</v>
      </c>
      <c r="B13" t="s">
        <v>24</v>
      </c>
      <c r="C13" t="s">
        <v>42</v>
      </c>
      <c r="D13" s="12" t="s">
        <v>134</v>
      </c>
      <c r="E13" s="41" t="s">
        <v>152</v>
      </c>
      <c r="G13" t="s">
        <v>160</v>
      </c>
      <c r="H13" t="s">
        <v>169</v>
      </c>
      <c r="I13" s="230">
        <f>K38</f>
        <v>20</v>
      </c>
      <c r="O13" s="12" t="s">
        <v>125</v>
      </c>
      <c r="P13" s="12"/>
      <c r="Q13" s="12" t="s">
        <v>146</v>
      </c>
      <c r="R13" s="12" t="s">
        <v>129</v>
      </c>
    </row>
    <row r="14" spans="1:20">
      <c r="A14" t="s">
        <v>30</v>
      </c>
      <c r="B14" t="s">
        <v>25</v>
      </c>
      <c r="C14" t="s">
        <v>43</v>
      </c>
      <c r="D14" s="12" t="s">
        <v>134</v>
      </c>
      <c r="E14" s="41" t="s">
        <v>152</v>
      </c>
      <c r="G14" t="s">
        <v>163</v>
      </c>
      <c r="H14" t="s">
        <v>168</v>
      </c>
      <c r="I14" s="230">
        <f>K39</f>
        <v>23</v>
      </c>
      <c r="O14" s="12" t="s">
        <v>134</v>
      </c>
      <c r="P14" s="12"/>
      <c r="Q14" s="12" t="s">
        <v>147</v>
      </c>
      <c r="R14" s="12" t="s">
        <v>130</v>
      </c>
    </row>
    <row r="15" spans="1:20">
      <c r="A15" t="s">
        <v>31</v>
      </c>
      <c r="B15" t="s">
        <v>26</v>
      </c>
      <c r="C15" t="s">
        <v>36</v>
      </c>
      <c r="D15" t="s">
        <v>129</v>
      </c>
      <c r="E15" t="s">
        <v>146</v>
      </c>
      <c r="G15" t="s">
        <v>48</v>
      </c>
      <c r="H15" t="s">
        <v>168</v>
      </c>
      <c r="I15" s="230">
        <f>K41</f>
        <v>13</v>
      </c>
      <c r="P15" s="12"/>
      <c r="Q15" s="12" t="s">
        <v>156</v>
      </c>
      <c r="R15" s="12" t="s">
        <v>131</v>
      </c>
    </row>
    <row r="16" spans="1:20">
      <c r="A16" t="s">
        <v>32</v>
      </c>
      <c r="B16" t="s">
        <v>120</v>
      </c>
      <c r="G16" t="s">
        <v>232</v>
      </c>
      <c r="H16" t="s">
        <v>168</v>
      </c>
      <c r="I16" s="230">
        <f>K33</f>
        <v>14</v>
      </c>
      <c r="P16" s="12"/>
      <c r="Q16" s="12" t="s">
        <v>148</v>
      </c>
      <c r="R16" s="12" t="s">
        <v>131</v>
      </c>
    </row>
    <row r="17" spans="5:18">
      <c r="E17" s="13"/>
      <c r="G17" t="s">
        <v>570</v>
      </c>
      <c r="H17" t="s">
        <v>168</v>
      </c>
      <c r="P17" s="12"/>
      <c r="Q17" s="12" t="s">
        <v>149</v>
      </c>
      <c r="R17" s="12" t="s">
        <v>132</v>
      </c>
    </row>
    <row r="18" spans="5:18">
      <c r="G18" t="s">
        <v>794</v>
      </c>
      <c r="H18" t="s">
        <v>168</v>
      </c>
      <c r="P18" s="12"/>
      <c r="Q18" s="12" t="s">
        <v>150</v>
      </c>
      <c r="R18" s="12" t="s">
        <v>132</v>
      </c>
    </row>
    <row r="19" spans="5:18">
      <c r="P19" s="12"/>
      <c r="Q19" s="12" t="s">
        <v>151</v>
      </c>
      <c r="R19" s="12" t="s">
        <v>133</v>
      </c>
    </row>
    <row r="20" spans="5:18">
      <c r="P20" s="12"/>
      <c r="Q20" s="12" t="s">
        <v>152</v>
      </c>
      <c r="R20" s="12" t="s">
        <v>134</v>
      </c>
    </row>
    <row r="21" spans="5:18">
      <c r="P21" s="12"/>
      <c r="Q21" s="12" t="s">
        <v>153</v>
      </c>
      <c r="R21" s="12" t="s">
        <v>135</v>
      </c>
    </row>
    <row r="22" spans="5:18">
      <c r="P22" s="12"/>
      <c r="Q22" s="12" t="s">
        <v>154</v>
      </c>
      <c r="R22" s="12" t="s">
        <v>135</v>
      </c>
    </row>
    <row r="23" spans="5:18">
      <c r="P23" s="12"/>
      <c r="Q23" s="12" t="s">
        <v>155</v>
      </c>
      <c r="R23" s="12" t="s">
        <v>136</v>
      </c>
    </row>
    <row r="24" spans="5:18">
      <c r="Q24" s="12"/>
    </row>
    <row r="26" spans="5:18" ht="15.75" thickBot="1">
      <c r="G26" s="222" t="s">
        <v>930</v>
      </c>
      <c r="H26" s="223"/>
    </row>
    <row r="27" spans="5:18" ht="75">
      <c r="G27" s="224" t="s">
        <v>772</v>
      </c>
      <c r="H27" t="s">
        <v>773</v>
      </c>
      <c r="I27" s="225" t="s">
        <v>775</v>
      </c>
      <c r="J27" t="s">
        <v>774</v>
      </c>
      <c r="K27" s="225" t="s">
        <v>795</v>
      </c>
      <c r="M27" s="225" t="s">
        <v>931</v>
      </c>
    </row>
    <row r="28" spans="5:18">
      <c r="G28" s="226" t="s">
        <v>161</v>
      </c>
      <c r="H28" s="227">
        <f>(ROUNDUP(I28*0.75,0))</f>
        <v>17</v>
      </c>
      <c r="I28" s="227">
        <v>22.5</v>
      </c>
      <c r="J28" s="230">
        <f>ROUNDUP(H28*1.02,0)</f>
        <v>18</v>
      </c>
      <c r="K28" s="227">
        <f>ROUNDUP(J28*1.25,0)</f>
        <v>23</v>
      </c>
      <c r="M28" s="227">
        <f>ROUNDUP(K28*(1.02^3),0)</f>
        <v>25</v>
      </c>
      <c r="Q28" t="s">
        <v>932</v>
      </c>
    </row>
    <row r="29" spans="5:18">
      <c r="G29" s="226" t="s">
        <v>162</v>
      </c>
      <c r="H29" s="227">
        <f t="shared" ref="H29:H41" si="0">(ROUNDUP(I29*0.75,0))</f>
        <v>21</v>
      </c>
      <c r="I29" s="227">
        <v>27.5</v>
      </c>
      <c r="J29" s="230">
        <f t="shared" ref="J29:J41" si="1">ROUNDUP(H29*1.02,0)</f>
        <v>22</v>
      </c>
      <c r="K29" s="227">
        <f t="shared" ref="K29:K41" si="2">ROUNDUP(J29*1.25,0)</f>
        <v>28</v>
      </c>
      <c r="M29" s="227">
        <f t="shared" ref="M29:M41" si="3">ROUNDUP(K29*(1.02^3),0)</f>
        <v>30</v>
      </c>
    </row>
    <row r="30" spans="5:18">
      <c r="G30" s="226" t="s">
        <v>166</v>
      </c>
      <c r="H30" s="227">
        <f t="shared" si="0"/>
        <v>12</v>
      </c>
      <c r="I30" s="227">
        <v>15</v>
      </c>
      <c r="J30" s="230">
        <f t="shared" si="1"/>
        <v>13</v>
      </c>
      <c r="K30" s="227">
        <f t="shared" si="2"/>
        <v>17</v>
      </c>
      <c r="M30" s="227">
        <f t="shared" si="3"/>
        <v>19</v>
      </c>
    </row>
    <row r="31" spans="5:18">
      <c r="G31" s="226" t="s">
        <v>165</v>
      </c>
      <c r="H31" s="227">
        <f t="shared" si="0"/>
        <v>14</v>
      </c>
      <c r="I31" s="227">
        <v>17.5</v>
      </c>
      <c r="J31" s="230">
        <f t="shared" si="1"/>
        <v>15</v>
      </c>
      <c r="K31" s="227">
        <f t="shared" si="2"/>
        <v>19</v>
      </c>
      <c r="M31" s="227">
        <f t="shared" si="3"/>
        <v>21</v>
      </c>
    </row>
    <row r="32" spans="5:18">
      <c r="G32" s="226" t="s">
        <v>215</v>
      </c>
      <c r="H32" s="227">
        <f t="shared" si="0"/>
        <v>9</v>
      </c>
      <c r="I32" s="227">
        <v>11.25</v>
      </c>
      <c r="J32" s="230">
        <f t="shared" si="1"/>
        <v>10</v>
      </c>
      <c r="K32" s="227">
        <f t="shared" si="2"/>
        <v>13</v>
      </c>
      <c r="M32" s="227">
        <f t="shared" si="3"/>
        <v>14</v>
      </c>
    </row>
    <row r="33" spans="7:13">
      <c r="G33" s="226" t="s">
        <v>232</v>
      </c>
      <c r="H33" s="227">
        <f t="shared" si="0"/>
        <v>10</v>
      </c>
      <c r="I33" s="227">
        <v>12.5</v>
      </c>
      <c r="J33" s="230">
        <f t="shared" si="1"/>
        <v>11</v>
      </c>
      <c r="K33" s="227">
        <f t="shared" si="2"/>
        <v>14</v>
      </c>
      <c r="M33" s="227">
        <f t="shared" si="3"/>
        <v>15</v>
      </c>
    </row>
    <row r="34" spans="7:13">
      <c r="G34" s="226" t="s">
        <v>46</v>
      </c>
      <c r="H34" s="227">
        <f t="shared" si="0"/>
        <v>12</v>
      </c>
      <c r="I34" s="227">
        <v>15</v>
      </c>
      <c r="J34" s="230">
        <f t="shared" si="1"/>
        <v>13</v>
      </c>
      <c r="K34" s="227">
        <f t="shared" si="2"/>
        <v>17</v>
      </c>
      <c r="M34" s="227">
        <f t="shared" si="3"/>
        <v>19</v>
      </c>
    </row>
    <row r="35" spans="7:13">
      <c r="G35" s="226" t="s">
        <v>164</v>
      </c>
      <c r="H35" s="227">
        <f t="shared" si="0"/>
        <v>15</v>
      </c>
      <c r="I35" s="227">
        <v>20</v>
      </c>
      <c r="J35" s="230">
        <f t="shared" si="1"/>
        <v>16</v>
      </c>
      <c r="K35" s="227">
        <f t="shared" si="2"/>
        <v>20</v>
      </c>
      <c r="M35" s="227">
        <f t="shared" si="3"/>
        <v>22</v>
      </c>
    </row>
    <row r="36" spans="7:13">
      <c r="G36" s="226" t="s">
        <v>47</v>
      </c>
      <c r="H36" s="227">
        <f t="shared" si="0"/>
        <v>15</v>
      </c>
      <c r="I36" s="227">
        <v>20</v>
      </c>
      <c r="J36" s="230">
        <f t="shared" si="1"/>
        <v>16</v>
      </c>
      <c r="K36" s="227">
        <f t="shared" si="2"/>
        <v>20</v>
      </c>
      <c r="M36" s="227">
        <f t="shared" si="3"/>
        <v>22</v>
      </c>
    </row>
    <row r="37" spans="7:13">
      <c r="G37" s="226" t="s">
        <v>92</v>
      </c>
      <c r="H37" s="227">
        <f t="shared" si="0"/>
        <v>19</v>
      </c>
      <c r="I37" s="227">
        <v>25</v>
      </c>
      <c r="J37" s="230">
        <f t="shared" si="1"/>
        <v>20</v>
      </c>
      <c r="K37" s="227">
        <f t="shared" si="2"/>
        <v>25</v>
      </c>
      <c r="M37" s="227">
        <f t="shared" si="3"/>
        <v>27</v>
      </c>
    </row>
    <row r="38" spans="7:13">
      <c r="G38" s="226" t="s">
        <v>160</v>
      </c>
      <c r="H38" s="227">
        <f t="shared" si="0"/>
        <v>15</v>
      </c>
      <c r="I38" s="227">
        <v>20</v>
      </c>
      <c r="J38" s="230">
        <f t="shared" si="1"/>
        <v>16</v>
      </c>
      <c r="K38" s="227">
        <f t="shared" si="2"/>
        <v>20</v>
      </c>
      <c r="M38" s="227">
        <f t="shared" si="3"/>
        <v>22</v>
      </c>
    </row>
    <row r="39" spans="7:13">
      <c r="G39" s="226" t="s">
        <v>163</v>
      </c>
      <c r="H39" s="227">
        <f t="shared" si="0"/>
        <v>17</v>
      </c>
      <c r="I39" s="227">
        <v>22.5</v>
      </c>
      <c r="J39" s="230">
        <f t="shared" si="1"/>
        <v>18</v>
      </c>
      <c r="K39" s="227">
        <f t="shared" si="2"/>
        <v>23</v>
      </c>
      <c r="M39" s="227">
        <f t="shared" si="3"/>
        <v>25</v>
      </c>
    </row>
    <row r="40" spans="7:13">
      <c r="G40" s="226" t="s">
        <v>212</v>
      </c>
      <c r="H40" s="227">
        <f t="shared" si="0"/>
        <v>8</v>
      </c>
      <c r="I40" s="227">
        <v>10</v>
      </c>
      <c r="J40" s="230">
        <f t="shared" si="1"/>
        <v>9</v>
      </c>
      <c r="K40" s="227">
        <f t="shared" si="2"/>
        <v>12</v>
      </c>
      <c r="M40" s="227">
        <f t="shared" si="3"/>
        <v>13</v>
      </c>
    </row>
    <row r="41" spans="7:13">
      <c r="G41" s="226" t="s">
        <v>48</v>
      </c>
      <c r="H41" s="227">
        <f t="shared" si="0"/>
        <v>9</v>
      </c>
      <c r="I41" s="227">
        <v>11.25</v>
      </c>
      <c r="J41" s="230">
        <f t="shared" si="1"/>
        <v>10</v>
      </c>
      <c r="K41" s="227">
        <f t="shared" si="2"/>
        <v>13</v>
      </c>
      <c r="M41" s="227">
        <f t="shared" si="3"/>
        <v>14</v>
      </c>
    </row>
    <row r="42" spans="7:13" ht="15.75" thickBot="1">
      <c r="G42" s="228"/>
      <c r="H42" s="227"/>
      <c r="I42" s="229"/>
      <c r="J42" s="230"/>
      <c r="K42" s="227"/>
    </row>
    <row r="43" spans="7:13">
      <c r="G43" s="223"/>
      <c r="H43" s="223"/>
    </row>
  </sheetData>
  <sortState xmlns:xlrd2="http://schemas.microsoft.com/office/spreadsheetml/2017/richdata2" ref="O3:O14">
    <sortCondition ref="O14"/>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V461"/>
  <sheetViews>
    <sheetView zoomScale="85" zoomScaleNormal="85" workbookViewId="0">
      <pane ySplit="2" topLeftCell="A9" activePane="bottomLeft" state="frozen"/>
      <selection pane="bottomLeft" activeCell="E19" sqref="E19"/>
    </sheetView>
  </sheetViews>
  <sheetFormatPr defaultColWidth="9.140625" defaultRowHeight="15"/>
  <cols>
    <col min="1" max="1" width="23" style="36" customWidth="1"/>
    <col min="2" max="2" width="25.140625" style="36" customWidth="1"/>
    <col min="3" max="3" width="54.140625" style="36" customWidth="1"/>
    <col min="4" max="4" width="21.85546875" style="36" customWidth="1"/>
    <col min="5" max="5" width="18.140625" style="36" bestFit="1" customWidth="1"/>
    <col min="6" max="6" width="10.140625" style="38" customWidth="1"/>
    <col min="7" max="7" width="11.85546875" style="38" customWidth="1"/>
    <col min="8" max="8" width="16.7109375" style="36" customWidth="1"/>
    <col min="9" max="9" width="16.140625" style="36" customWidth="1"/>
    <col min="10" max="10" width="14.140625" style="36" customWidth="1"/>
    <col min="11" max="11" width="14.42578125" style="36" customWidth="1"/>
    <col min="12" max="12" width="24.5703125" style="36" customWidth="1"/>
    <col min="13" max="13" width="14.28515625" style="36" customWidth="1"/>
    <col min="14" max="14" width="13.7109375" style="36" customWidth="1"/>
    <col min="15" max="15" width="11.7109375" style="36" customWidth="1"/>
    <col min="16" max="16" width="12.140625" style="36" customWidth="1"/>
    <col min="17" max="17" width="17.140625" style="36" customWidth="1"/>
    <col min="18" max="18" width="26.42578125" style="36" bestFit="1" customWidth="1"/>
    <col min="19" max="19" width="15.7109375" style="36" bestFit="1" customWidth="1"/>
    <col min="20" max="20" width="13.5703125" style="36" customWidth="1"/>
    <col min="21" max="21" width="26.7109375" style="36" customWidth="1"/>
    <col min="22" max="22" width="13.28515625" style="36" customWidth="1"/>
    <col min="23" max="23" width="13.42578125" style="36" customWidth="1"/>
    <col min="24" max="24" width="10.28515625" style="36" customWidth="1"/>
    <col min="25" max="25" width="10.42578125" style="36" customWidth="1"/>
    <col min="26" max="27" width="10" style="36" customWidth="1"/>
    <col min="28" max="28" width="12.5703125" style="36" customWidth="1"/>
    <col min="29" max="29" width="12.28515625" style="36" customWidth="1"/>
    <col min="30" max="30" width="12.7109375" style="36" customWidth="1"/>
    <col min="31" max="31" width="13.140625" style="40" customWidth="1"/>
    <col min="32" max="33" width="14.7109375" style="36" customWidth="1"/>
    <col min="34" max="34" width="10.7109375" style="36" customWidth="1"/>
    <col min="35" max="35" width="10.85546875" style="37" customWidth="1"/>
    <col min="36" max="36" width="13" style="37" customWidth="1"/>
    <col min="37" max="37" width="13.85546875" style="37" customWidth="1"/>
    <col min="38" max="38" width="13" style="37" customWidth="1"/>
    <col min="39" max="39" width="15.7109375" style="37" customWidth="1"/>
    <col min="40" max="41" width="13.85546875" style="37" customWidth="1"/>
    <col min="42" max="42" width="17" style="36" customWidth="1"/>
    <col min="43" max="43" width="14.28515625" style="36" bestFit="1" customWidth="1"/>
    <col min="44" max="47" width="11.28515625" style="37" customWidth="1"/>
    <col min="48" max="48" width="14.28515625" style="37" customWidth="1"/>
    <col min="49" max="49" width="28.42578125" style="37" bestFit="1" customWidth="1"/>
    <col min="50" max="50" width="12.5703125" style="37" customWidth="1"/>
    <col min="51" max="51" width="16.28515625" style="37" customWidth="1"/>
    <col min="52" max="52" width="16.28515625" style="36" customWidth="1"/>
    <col min="53" max="53" width="14.7109375" style="36" bestFit="1" customWidth="1"/>
    <col min="54" max="55" width="16.5703125" style="37" customWidth="1"/>
    <col min="56" max="56" width="14.42578125" style="37" customWidth="1"/>
    <col min="57" max="57" width="16.5703125" style="37" customWidth="1"/>
    <col min="58" max="58" width="16.5703125" style="101" customWidth="1"/>
    <col min="59" max="59" width="16.5703125" style="36" customWidth="1"/>
    <col min="60" max="60" width="57.28515625" style="36" customWidth="1"/>
    <col min="61" max="61" width="11.28515625" style="36" customWidth="1"/>
    <col min="62" max="62" width="82" style="36" bestFit="1" customWidth="1"/>
    <col min="63" max="63" width="9.140625" style="36"/>
    <col min="64" max="64" width="22.85546875" style="36" bestFit="1" customWidth="1"/>
    <col min="65" max="65" width="22.85546875" style="36" customWidth="1"/>
    <col min="66" max="66" width="19.5703125" style="36" bestFit="1" customWidth="1"/>
    <col min="67" max="67" width="156.28515625" style="36" customWidth="1"/>
    <col min="68" max="68" width="43.7109375" style="36" customWidth="1"/>
    <col min="69" max="69" width="28.85546875" style="36" customWidth="1"/>
    <col min="70" max="70" width="26.7109375" style="36" customWidth="1"/>
    <col min="71" max="71" width="19.28515625" style="101" customWidth="1"/>
    <col min="72" max="72" width="27.7109375" style="36" customWidth="1"/>
    <col min="73" max="16384" width="9.140625" style="36"/>
  </cols>
  <sheetData>
    <row r="1" spans="1:73" ht="15.75">
      <c r="B1" s="57"/>
      <c r="C1" s="58" t="s">
        <v>115</v>
      </c>
      <c r="D1" s="59"/>
      <c r="E1" s="59"/>
      <c r="F1" s="59"/>
      <c r="G1" s="59"/>
      <c r="H1" s="59"/>
      <c r="I1" s="59"/>
      <c r="J1" s="59"/>
      <c r="K1" s="55" t="s">
        <v>112</v>
      </c>
      <c r="L1" s="56"/>
      <c r="M1" s="56"/>
      <c r="N1" s="56"/>
      <c r="O1" s="56"/>
      <c r="P1" s="56"/>
      <c r="Q1" s="265" t="s">
        <v>258</v>
      </c>
      <c r="R1" s="265"/>
      <c r="S1" s="265"/>
      <c r="T1" s="266" t="s">
        <v>114</v>
      </c>
      <c r="U1" s="266"/>
      <c r="V1" s="266"/>
      <c r="W1" s="266"/>
      <c r="X1" s="266"/>
      <c r="Y1" s="266"/>
      <c r="Z1" s="266"/>
      <c r="AA1" s="266"/>
      <c r="AB1" s="266"/>
      <c r="AC1" s="266"/>
      <c r="AD1" s="266"/>
      <c r="AE1" s="74" t="s">
        <v>253</v>
      </c>
      <c r="AF1" s="60"/>
      <c r="AG1" s="60"/>
      <c r="AH1" s="60"/>
      <c r="AI1" s="60"/>
      <c r="AJ1" s="60"/>
      <c r="AK1" s="60"/>
      <c r="AL1" s="56"/>
      <c r="AM1" s="60"/>
      <c r="AN1" s="60"/>
      <c r="AO1" s="60"/>
      <c r="AP1" s="61" t="s">
        <v>251</v>
      </c>
      <c r="AQ1" s="62"/>
      <c r="AR1" s="62"/>
      <c r="AS1" s="62"/>
      <c r="AT1" s="62"/>
      <c r="AU1" s="62"/>
      <c r="AV1" s="62"/>
      <c r="AW1" s="264" t="s">
        <v>177</v>
      </c>
      <c r="AX1" s="264"/>
      <c r="AY1" s="264"/>
      <c r="AZ1" s="75"/>
      <c r="BA1" s="75"/>
      <c r="BB1" s="75"/>
      <c r="BC1" s="75"/>
      <c r="BD1" s="76"/>
      <c r="BE1" s="76"/>
      <c r="BF1" s="77"/>
    </row>
    <row r="2" spans="1:73" s="87" customFormat="1" ht="60">
      <c r="A2" s="78" t="s">
        <v>280</v>
      </c>
      <c r="B2" s="78" t="s">
        <v>171</v>
      </c>
      <c r="C2" s="79" t="s">
        <v>0</v>
      </c>
      <c r="D2" s="79" t="s">
        <v>52</v>
      </c>
      <c r="E2" s="79" t="s">
        <v>51</v>
      </c>
      <c r="F2" s="80" t="s">
        <v>157</v>
      </c>
      <c r="G2" s="80" t="s">
        <v>158</v>
      </c>
      <c r="H2" s="79" t="s">
        <v>117</v>
      </c>
      <c r="I2" s="79" t="s">
        <v>170</v>
      </c>
      <c r="J2" s="79" t="s">
        <v>174</v>
      </c>
      <c r="K2" s="81" t="s">
        <v>235</v>
      </c>
      <c r="L2" s="81" t="s">
        <v>176</v>
      </c>
      <c r="M2" s="81" t="s">
        <v>173</v>
      </c>
      <c r="N2" s="81" t="s">
        <v>175</v>
      </c>
      <c r="O2" s="81" t="s">
        <v>54</v>
      </c>
      <c r="P2" s="81" t="s">
        <v>109</v>
      </c>
      <c r="Q2" s="82" t="s">
        <v>53</v>
      </c>
      <c r="R2" s="82" t="s">
        <v>121</v>
      </c>
      <c r="S2" s="82" t="s">
        <v>122</v>
      </c>
      <c r="T2" s="79" t="s">
        <v>182</v>
      </c>
      <c r="U2" s="79" t="s">
        <v>216</v>
      </c>
      <c r="V2" s="79" t="s">
        <v>181</v>
      </c>
      <c r="W2" s="79" t="s">
        <v>217</v>
      </c>
      <c r="X2" s="79" t="s">
        <v>183</v>
      </c>
      <c r="Y2" s="79" t="s">
        <v>184</v>
      </c>
      <c r="Z2" s="79" t="s">
        <v>185</v>
      </c>
      <c r="AA2" s="79" t="s">
        <v>186</v>
      </c>
      <c r="AB2" s="79" t="s">
        <v>221</v>
      </c>
      <c r="AC2" s="107" t="s">
        <v>259</v>
      </c>
      <c r="AD2" s="79" t="s">
        <v>50</v>
      </c>
      <c r="AE2" s="81" t="s">
        <v>561</v>
      </c>
      <c r="AF2" s="83" t="s">
        <v>276</v>
      </c>
      <c r="AG2" s="83" t="s">
        <v>213</v>
      </c>
      <c r="AH2" s="83" t="s">
        <v>214</v>
      </c>
      <c r="AI2" s="83" t="s">
        <v>275</v>
      </c>
      <c r="AJ2" s="83" t="s">
        <v>274</v>
      </c>
      <c r="AK2" s="81" t="s">
        <v>252</v>
      </c>
      <c r="AL2" s="81" t="s">
        <v>118</v>
      </c>
      <c r="AM2" s="83" t="s">
        <v>230</v>
      </c>
      <c r="AN2" s="81" t="s">
        <v>254</v>
      </c>
      <c r="AO2" s="81" t="s">
        <v>273</v>
      </c>
      <c r="AP2" s="82" t="s">
        <v>231</v>
      </c>
      <c r="AQ2" s="82" t="s">
        <v>229</v>
      </c>
      <c r="AR2" s="82" t="s">
        <v>224</v>
      </c>
      <c r="AS2" s="82" t="s">
        <v>225</v>
      </c>
      <c r="AT2" s="82" t="s">
        <v>195</v>
      </c>
      <c r="AU2" s="82" t="s">
        <v>196</v>
      </c>
      <c r="AV2" s="82" t="s">
        <v>226</v>
      </c>
      <c r="AW2" s="79" t="s">
        <v>159</v>
      </c>
      <c r="AX2" s="79" t="s">
        <v>260</v>
      </c>
      <c r="AY2" s="79" t="s">
        <v>172</v>
      </c>
      <c r="AZ2" s="84" t="s">
        <v>269</v>
      </c>
      <c r="BA2" s="84" t="s">
        <v>270</v>
      </c>
      <c r="BB2" s="84" t="s">
        <v>227</v>
      </c>
      <c r="BC2" s="84" t="s">
        <v>228</v>
      </c>
      <c r="BD2" s="85" t="s">
        <v>271</v>
      </c>
      <c r="BE2" s="85" t="s">
        <v>272</v>
      </c>
      <c r="BF2" s="86" t="s">
        <v>261</v>
      </c>
      <c r="BH2" s="87" t="s">
        <v>333</v>
      </c>
      <c r="BI2" s="87" t="s">
        <v>799</v>
      </c>
      <c r="BJ2" s="87" t="s">
        <v>809</v>
      </c>
      <c r="BK2" s="87" t="s">
        <v>798</v>
      </c>
      <c r="BL2" s="87" t="s">
        <v>804</v>
      </c>
      <c r="BM2" s="87" t="s">
        <v>811</v>
      </c>
      <c r="BN2" s="87" t="s">
        <v>805</v>
      </c>
      <c r="BO2" s="87" t="s">
        <v>806</v>
      </c>
      <c r="BP2" s="87" t="s">
        <v>870</v>
      </c>
      <c r="BQ2" s="87" t="s">
        <v>875</v>
      </c>
      <c r="BR2" s="87" t="s">
        <v>876</v>
      </c>
      <c r="BS2" s="237" t="s">
        <v>877</v>
      </c>
      <c r="BT2" s="87" t="s">
        <v>878</v>
      </c>
      <c r="BU2" s="87" t="s">
        <v>879</v>
      </c>
    </row>
    <row r="3" spans="1:73">
      <c r="A3" s="36" t="s">
        <v>281</v>
      </c>
      <c r="B3" s="63" t="s">
        <v>297</v>
      </c>
      <c r="C3" s="63" t="s">
        <v>310</v>
      </c>
      <c r="D3" s="63" t="s">
        <v>324</v>
      </c>
      <c r="E3" s="63" t="s">
        <v>9</v>
      </c>
      <c r="F3" s="88"/>
      <c r="G3" s="88"/>
      <c r="H3" s="63" t="s">
        <v>297</v>
      </c>
      <c r="I3" s="63"/>
      <c r="J3" s="124" t="s">
        <v>66</v>
      </c>
      <c r="K3" s="89"/>
      <c r="L3" s="63" t="s">
        <v>111</v>
      </c>
      <c r="M3" s="63"/>
      <c r="N3" s="90"/>
      <c r="O3" s="90"/>
      <c r="P3" s="63"/>
      <c r="Q3" s="63" t="s">
        <v>37</v>
      </c>
      <c r="R3" s="63" t="str">
        <f>IFERROR(VLOOKUP('BMP P Tracking Table'!$Q3,Dropdowns!$C$2:$E$15,3,FALSE),"")</f>
        <v>Malletts Bay Direct Drainage</v>
      </c>
      <c r="S3" s="63" t="str">
        <f>IFERROR(VLOOKUP('BMP P Tracking Table'!$R3,Dropdowns!$Q$3:$R$23,2,FALSE),"")</f>
        <v>Malletts Bay</v>
      </c>
      <c r="T3" s="63" t="s">
        <v>66</v>
      </c>
      <c r="U3" s="63" t="s">
        <v>48</v>
      </c>
      <c r="V3" s="244">
        <v>6.4489999999999998</v>
      </c>
      <c r="W3" s="63" t="s">
        <v>219</v>
      </c>
      <c r="X3" s="63"/>
      <c r="Y3" s="63"/>
      <c r="Z3" s="63"/>
      <c r="AA3" s="63"/>
      <c r="AB3" s="92">
        <v>6.0809999999999995</v>
      </c>
      <c r="AC3" s="91">
        <v>28009.08</v>
      </c>
      <c r="AD3" s="63"/>
      <c r="AE3" s="102">
        <v>1</v>
      </c>
      <c r="AF3" s="102">
        <f>IFERROR(MIN(2,IF('BMP P Tracking Table'!$W3="Total Pervious",(-(3630*'BMP P Tracking Table'!$V3+20.691*'BMP P Tracking Table'!$AB3)+SQRT((3630*'BMP P Tracking Table'!$V3+20.691*'BMP P Tracking Table'!$AB3)^2-(4*(996.798*'BMP P Tracking Table'!$AB3)*-'BMP P Tracking Table'!$AC3)))/(2*(996.798*'BMP P Tracking Table'!$AB3)),IF(SUM('BMP P Tracking Table'!$X3:$AA3)=0,'BMP P Tracking Table'!$AC3/(-3630*'BMP P Tracking Table'!$V3),(-(3630*'BMP P Tracking Table'!$V3+20.691*'BMP P Tracking Table'!$AA3-216.711*'BMP P Tracking Table'!$Z3-83.853*'BMP P Tracking Table'!$Y3-42.834*'BMP P Tracking Table'!$X3)+SQRT((3630*'BMP P Tracking Table'!$V3+20.691*'BMP P Tracking Table'!$AA3-216.711*'BMP P Tracking Table'!$Z3-83.853*'BMP P Tracking Table'!$Y3-42.834*'BMP P Tracking Table'!$X3)^2-(4*(149.919*'BMP P Tracking Table'!$X3+236.676*'BMP P Tracking Table'!$Y3+726*'BMP P Tracking Table'!$Z3+996.798*'BMP P Tracking Table'!$AA3)*-'BMP P Tracking Table'!$AC3)))/(2*(149.919*'BMP P Tracking Table'!$X3+236.676*'BMP P Tracking Table'!$Y3+726*'BMP P Tracking Table'!$Z3+996.798*'BMP P Tracking Table'!$AA3))))),"")</f>
        <v>0.95512042258512209</v>
      </c>
      <c r="AG3" s="104">
        <f>IFERROR((VLOOKUP(CONCATENATE('BMP P Tracking Table'!$U3," ",'BMP P Tracking Table'!$AD3),'Performance Curves'!$C$1:$L$46,_xlfn.SINGLE(MATCH('BMP P Tracking Table'!$AF3,'Performance Curves'!$D$1:$L$1,1))+2,FALSE)-VLOOKUP(CONCATENATE('BMP P Tracking Table'!$U3," ",'BMP P Tracking Table'!$AD3),'Performance Curves'!$C$1:$L$46,_xlfn.SINGLE(MATCH('BMP P Tracking Table'!$AF3,'Performance Curves'!$D$1:$L$1,1))+1,FALSE)),"")</f>
        <v>5.0000000000000044E-2</v>
      </c>
      <c r="AH3" s="104">
        <f>IFERROR(('BMP P Tracking Table'!$AF3-INDEX('Performance Curves'!$D$1:$L$1,1,MATCH('BMP P Tracking Table'!$AF3,'Performance Curves'!$D$1:$L$1,1)))/(INDEX('Performance Curves'!$D$1:$L$1,1,MATCH('BMP P Tracking Table'!$AF3,'Performance Curves'!$D$1:$L$1,1)+1)-INDEX('Performance Curves'!$D$1:$L$1,1,MATCH('BMP P Tracking Table'!$AF3,'Performance Curves'!$D$1:$L$1,1))),"")</f>
        <v>0.77560211292561043</v>
      </c>
      <c r="AI3" s="103">
        <f>IFERROR(IF('BMP P Tracking Table'!$AF3=2,VLOOKUP(CONCATENATE('BMP P Tracking Table'!$U3," ",'BMP P Tracking Table'!$AD3),'Performance Curves'!$C$1:$L$46,_xlfn.SINGLE(MATCH('BMP P Tracking Table'!$AF3,'Performance Curves'!$D$1:$L$1,1))+1,FALSE),'BMP P Tracking Table'!$AG3*'BMP P Tracking Table'!$AH3+VLOOKUP(CONCATENATE('BMP P Tracking Table'!$U3," ",'BMP P Tracking Table'!$AD3),'Performance Curves'!$C$1:$L$46,_xlfn.SINGLE(MATCH('BMP P Tracking Table'!$AF3,'Performance Curves'!$D$1:$L$1,1))+1,FALSE)),"")</f>
        <v>0.51878010564628052</v>
      </c>
      <c r="AJ3" s="102">
        <f>IFERROR('BMP P Tracking Table'!$AI3*'BMP P Tracking Table'!$AE3,"")</f>
        <v>0.51878010564628052</v>
      </c>
      <c r="AK3" s="63"/>
      <c r="AL3" s="63" t="s">
        <v>66</v>
      </c>
      <c r="AM3" s="92" t="s">
        <v>66</v>
      </c>
      <c r="AN3" s="64">
        <v>1</v>
      </c>
      <c r="AO3" s="102">
        <f t="shared" ref="AO3:AO29" si="0">IF(AL3="Yes",IF(BG3&gt;0,IF(ISBLANK(AK3),AJ3,AK3)-IF(ISBLANK(BF3),BE3,BF3),"Enter Info --&gt;"),IF(ISBLANK(AK3),AJ3,AK3))</f>
        <v>0.38548612193972009</v>
      </c>
      <c r="AP3" s="92">
        <v>10</v>
      </c>
      <c r="AQ3" s="92" t="s">
        <v>219</v>
      </c>
      <c r="AR3" s="92"/>
      <c r="AS3" s="92"/>
      <c r="AT3" s="92"/>
      <c r="AU3" s="92"/>
      <c r="AV3" s="92">
        <v>50</v>
      </c>
      <c r="AW3" s="63" t="s">
        <v>215</v>
      </c>
      <c r="AX3" s="93">
        <v>2000</v>
      </c>
      <c r="AY3" s="93"/>
      <c r="AZ3" s="102">
        <f>IF('BMP P Tracking Table'!$AL3="Yes",IF('BMP P Tracking Table'!$AM3="No",'BMP P Tracking Table'!$V3*VLOOKUP('BMP P Tracking Table'!$R3,'Loading Rates'!$B$1:$L$24,4,FALSE)+IF('BMP P Tracking Table'!$W3="By HSG",'BMP P Tracking Table'!$X3*VLOOKUP('BMP P Tracking Table'!$R3,'Loading Rates'!$B$1:$L$24,6,FALSE)+'BMP P Tracking Table'!$Y3*VLOOKUP('BMP P Tracking Table'!$R3,'Loading Rates'!$B$1:$L$24,7,FALSE)+'BMP P Tracking Table'!$Z3*VLOOKUP('BMP P Tracking Table'!$R3,'Loading Rates'!$B$1:$L$24,8,FALSE)+'BMP P Tracking Table'!$AA3*VLOOKUP('BMP P Tracking Table'!$R3,'Loading Rates'!$B$1:$L$24,9,FALSE),'BMP P Tracking Table'!$AB3*VLOOKUP('BMP P Tracking Table'!$R3,'Loading Rates'!$B$1:$L$24,10,FALSE)),'BMP P Tracking Table'!$AP3*VLOOKUP('BMP P Tracking Table'!$R3,'Loading Rates'!$B$1:$L$24,4,FALSE)+IF('BMP P Tracking Table'!$AQ3="By HSG",'BMP P Tracking Table'!$AR3*VLOOKUP('BMP P Tracking Table'!$R3,'Loading Rates'!$B$1:$L$24,6,FALSE)+'BMP P Tracking Table'!$AS3*VLOOKUP('BMP P Tracking Table'!$R3,'Loading Rates'!$B$1:$L$24,7,FALSE)+'BMP P Tracking Table'!$AT3*VLOOKUP('BMP P Tracking Table'!$R3,'Loading Rates'!$B$1:$L$24,8,FALSE)+'BMP P Tracking Table'!$AU3*VLOOKUP('BMP P Tracking Table'!$R3,'Loading Rates'!$B$1:$L$24,9,FALSE),'BMP P Tracking Table'!$AV3*VLOOKUP('BMP P Tracking Table'!$R3,'Loading Rates'!$B$1:$L$24,10,FALSE))),"")</f>
        <v>8.85</v>
      </c>
      <c r="BA3" s="102">
        <f>IFERROR(IF('BMP P Tracking Table'!$AM3="Yes",MIN(2,IF('BMP P Tracking Table'!$AQ3="Total Pervious",(-(3630*'BMP P Tracking Table'!$AP3+20.691*'BMP P Tracking Table'!$AV3)+SQRT((3630*'BMP P Tracking Table'!$AP3+20.691*'BMP P Tracking Table'!$AV3)^2-(4*(996.798*'BMP P Tracking Table'!$AV3)*-'BMP P Tracking Table'!$AX3)))/(2*(996.798*'BMP P Tracking Table'!$AV3)),IF(SUM('BMP P Tracking Table'!$AR3:$AU3)=0,'BMP P Tracking Table'!$AV3/(-3630*'BMP P Tracking Table'!$AP3),(-(3630*'BMP P Tracking Table'!$AP3+20.691*'BMP P Tracking Table'!$AU3-216.711*'BMP P Tracking Table'!$AT3-83.853*'BMP P Tracking Table'!$AS3-42.834*'BMP P Tracking Table'!$AR3)+SQRT((3630*'BMP P Tracking Table'!$AP3+20.691*'BMP P Tracking Table'!$AU3-216.711*'BMP P Tracking Table'!$AT3-83.853*'BMP P Tracking Table'!$AS3-42.834*'BMP P Tracking Table'!$AR3)^2-(4*(149.919*'BMP P Tracking Table'!$AR3+236.676*'BMP P Tracking Table'!$AS3+726*'BMP P Tracking Table'!$AT3+996.798*'BMP P Tracking Table'!$AU3)*-'BMP P Tracking Table'!$AX3)))/(2*(149.919*'BMP P Tracking Table'!$AR3+236.676*'BMP P Tracking Table'!$AS3+726*'BMP P Tracking Table'!$AT3+996.798*'BMP P Tracking Table'!$AU3))))),MIN(2,IF('BMP P Tracking Table'!$AQ3="Total Pervious",(-(3630*'BMP P Tracking Table'!$V3+20.691*'BMP P Tracking Table'!$AB3)+SQRT((3630*'BMP P Tracking Table'!$V3+20.691*'BMP P Tracking Table'!$AB3)^2-(4*(996.798*'BMP P Tracking Table'!$AB3)*-'BMP P Tracking Table'!$AX3)))/(2*(996.798*'BMP P Tracking Table'!$AB3)),IF(SUM('BMP P Tracking Table'!$X3:$AA3)=0,'BMP P Tracking Table'!$AX3/(-3630*'BMP P Tracking Table'!$V3),(-(3630*'BMP P Tracking Table'!$V3+20.691*'BMP P Tracking Table'!$AA3-216.711*'BMP P Tracking Table'!$Z3-83.853*'BMP P Tracking Table'!$Y3-42.834*'BMP P Tracking Table'!$X3)+SQRT((3630*'BMP P Tracking Table'!$V3+20.691*'BMP P Tracking Table'!$AA3-216.711*'BMP P Tracking Table'!$Z3-83.853*'BMP P Tracking Table'!$Y3-42.834*'BMP P Tracking Table'!$X3)^2-(4*(149.919*'BMP P Tracking Table'!$X3+236.676*'BMP P Tracking Table'!$Y3+726*'BMP P Tracking Table'!$Z3+996.798*'BMP P Tracking Table'!$AA3)*-'BMP P Tracking Table'!$AX3)))/(2*(149.919*'BMP P Tracking Table'!$X3+236.676*'BMP P Tracking Table'!$Y3+726*'BMP P Tracking Table'!$Z3+996.798*'BMP P Tracking Table'!$AA3)))))),"")</f>
        <v>5.0204890284956866E-2</v>
      </c>
      <c r="BB3" s="102">
        <f>IFERROR((VLOOKUP(CONCATENATE('BMP P Tracking Table'!$AW3," ",'BMP P Tracking Table'!$AY3),'Performance Curves'!$C$1:$L$46,_xlfn.SINGLE(MATCH('BMP P Tracking Table'!$BA3,'Performance Curves'!$D$1:$L$1,1))+2,FALSE)-VLOOKUP(CONCATENATE('BMP P Tracking Table'!$AW3," ",'BMP P Tracking Table'!$AY3),'Performance Curves'!$C$1:$L$46,_xlfn.SINGLE(MATCH('BMP P Tracking Table'!$BA3,'Performance Curves'!$D$1:$L$1,1))+1,FALSE)),"")</f>
        <v>0.03</v>
      </c>
      <c r="BC3" s="102">
        <f>IFERROR(('BMP P Tracking Table'!$BA3-INDEX('Performance Curves'!$D$1:$L$1,1,MATCH('BMP P Tracking Table'!$BA3,'Performance Curves'!$D$1:$L$1,1)))/(INDEX('Performance Curves'!$D$1:$L$1,1,MATCH('BMP P Tracking Table'!$BA3,'Performance Curves'!$D$1:$L$1,1)+1)-INDEX('Performance Curves'!$D$1:$L$1,1,MATCH('BMP P Tracking Table'!$BA3,'Performance Curves'!$D$1:$L$1,1))),"")</f>
        <v>0.5020489028495686</v>
      </c>
      <c r="BD3" s="103" cm="1">
        <f t="array" ref="BD3">IFERROR(IF('BMP P Tracking Table'!$BA3=2,VLOOKUP(CONCATENATE('BMP P Tracking Table'!$AW3," ",'BMP P Tracking Table'!$AY3),'Performance Curves'!$C$1:$L$44,_xlfn.SINGLE(MATCH('BMP P Tracking Table'!$BA3,'Performance Curves'!$D$1:$L$1,1))+1,FALSE),'BMP P Tracking Table'!$BB3*'BMP P Tracking Table'!$BC3+VLOOKUP(CONCATENATE('BMP P Tracking Table'!$AW3," ",'BMP P Tracking Table'!$AY3),'Performance Curves'!$C$1:$L$44,_xlfn.SINGLE(MATCH('BMP P Tracking Table'!$BA3,'Performance Curves'!$D$1:$L$1,1))+1,FALSE)),"")</f>
        <v>1.5061467085487057E-2</v>
      </c>
      <c r="BE3" s="102">
        <f>IFERROR('BMP P Tracking Table'!$BD3*'BMP P Tracking Table'!$AZ3,"")</f>
        <v>0.13329398370656045</v>
      </c>
      <c r="BF3" s="92"/>
      <c r="BG3" s="37">
        <f>IFERROR(BE3+BF3,0)</f>
        <v>0.13329398370656045</v>
      </c>
      <c r="BH3" s="36" t="s">
        <v>334</v>
      </c>
      <c r="BI3" s="36" t="str">
        <f>B3</f>
        <v>4002‐INDS.A</v>
      </c>
      <c r="BJ3" s="36" t="str">
        <f>C3</f>
        <v>Essex Town Center‐ Essex Outlets</v>
      </c>
      <c r="BS3" s="36"/>
    </row>
    <row r="4" spans="1:73">
      <c r="A4" s="36" t="s">
        <v>282</v>
      </c>
      <c r="B4" s="65" t="s">
        <v>298</v>
      </c>
      <c r="C4" s="65" t="s">
        <v>311</v>
      </c>
      <c r="D4" s="65" t="s">
        <v>324</v>
      </c>
      <c r="E4" s="63" t="s">
        <v>9</v>
      </c>
      <c r="F4" s="94"/>
      <c r="G4" s="94"/>
      <c r="H4" s="65" t="s">
        <v>298</v>
      </c>
      <c r="I4" s="65"/>
      <c r="J4" s="65" t="s">
        <v>66</v>
      </c>
      <c r="K4" s="95"/>
      <c r="L4" s="63" t="s">
        <v>111</v>
      </c>
      <c r="M4" s="65"/>
      <c r="N4" s="96"/>
      <c r="O4" s="96"/>
      <c r="P4" s="65"/>
      <c r="Q4" s="65" t="s">
        <v>37</v>
      </c>
      <c r="R4" s="63" t="str">
        <f>IFERROR(VLOOKUP('BMP P Tracking Table'!$Q4,Dropdowns!$C$2:$E$15,3,FALSE),"")</f>
        <v>Malletts Bay Direct Drainage</v>
      </c>
      <c r="S4" s="63" t="str">
        <f>IFERROR(VLOOKUP('BMP P Tracking Table'!$R4,Dropdowns!$Q$3:$R$23,2,FALSE),"")</f>
        <v>Malletts Bay</v>
      </c>
      <c r="T4" s="65" t="s">
        <v>66</v>
      </c>
      <c r="U4" s="63" t="s">
        <v>48</v>
      </c>
      <c r="V4" s="137">
        <v>5.6520000000000001</v>
      </c>
      <c r="W4" s="63" t="s">
        <v>219</v>
      </c>
      <c r="X4" s="65"/>
      <c r="Y4" s="65"/>
      <c r="Z4" s="65"/>
      <c r="AA4" s="65"/>
      <c r="AB4" s="98">
        <v>9.0659999999999989</v>
      </c>
      <c r="AC4" s="97">
        <v>74139.12</v>
      </c>
      <c r="AD4" s="65"/>
      <c r="AE4" s="104">
        <f>IFERROR('BMP P Tracking Table'!$V4*VLOOKUP('BMP P Tracking Table'!$R4,'Loading Rates'!$B$1:$L$24,4,FALSE)+IF('BMP P Tracking Table'!$W4="By HSG",'BMP P Tracking Table'!$X4*VLOOKUP('BMP P Tracking Table'!$R4,'Loading Rates'!$B$1:$L$24,6,FALSE)+'BMP P Tracking Table'!$Y4*VLOOKUP('BMP P Tracking Table'!$R4,'Loading Rates'!$B$1:$L$24,7,FALSE)+'BMP P Tracking Table'!$Z4*VLOOKUP('BMP P Tracking Table'!$R4,'Loading Rates'!$B$1:$L$24,8,FALSE)+'BMP P Tracking Table'!$AA4*VLOOKUP('BMP P Tracking Table'!$R4,'Loading Rates'!$B$1:$L$24,9,FALSE),'BMP P Tracking Table'!$AB4*VLOOKUP('BMP P Tracking Table'!$R4,'Loading Rates'!$B$1:$L$24,10,FALSE)),"")</f>
        <v>4.7716919999999998</v>
      </c>
      <c r="AF4" s="104">
        <f>IFERROR(MIN(2,IF('BMP P Tracking Table'!$W4="Total Pervious",(-(3630*'BMP P Tracking Table'!$V4+20.691*'BMP P Tracking Table'!$AB4)+SQRT((3630*'BMP P Tracking Table'!$V4+20.691*'BMP P Tracking Table'!$AB4)^2-(4*(996.798*'BMP P Tracking Table'!$AB4)*-'BMP P Tracking Table'!$AC4)))/(2*(996.798*'BMP P Tracking Table'!$AB4)),IF(SUM('BMP P Tracking Table'!$X4:$AA4)=0,'BMP P Tracking Table'!$AC4/(-3630*'BMP P Tracking Table'!$V4),(-(3630*'BMP P Tracking Table'!$V4+20.691*'BMP P Tracking Table'!$AA4-216.711*'BMP P Tracking Table'!$Z4-83.853*'BMP P Tracking Table'!$Y4-42.834*'BMP P Tracking Table'!$X4)+SQRT((3630*'BMP P Tracking Table'!$V4+20.691*'BMP P Tracking Table'!$AA4-216.711*'BMP P Tracking Table'!$Z4-83.853*'BMP P Tracking Table'!$Y4-42.834*'BMP P Tracking Table'!$X4)^2-(4*(149.919*'BMP P Tracking Table'!$X4+236.676*'BMP P Tracking Table'!$Y4+726*'BMP P Tracking Table'!$Z4+996.798*'BMP P Tracking Table'!$AA4)*-'BMP P Tracking Table'!$AC4)))/(2*(149.919*'BMP P Tracking Table'!$X4+236.676*'BMP P Tracking Table'!$Y4+726*'BMP P Tracking Table'!$Z4+996.798*'BMP P Tracking Table'!$AA4))))),"")</f>
        <v>1.9393032585986731</v>
      </c>
      <c r="AG4" s="104">
        <f>IFERROR((VLOOKUP(CONCATENATE('BMP P Tracking Table'!$U4," ",'BMP P Tracking Table'!$AD4),'Performance Curves'!$C$1:$L$46,_xlfn.SINGLE(MATCH('BMP P Tracking Table'!$AF4,'Performance Curves'!$D$1:$L$1,1))+2,FALSE)-VLOOKUP(CONCATENATE('BMP P Tracking Table'!$U4," ",'BMP P Tracking Table'!$AD4),'Performance Curves'!$C$1:$L$46,_xlfn.SINGLE(MATCH('BMP P Tracking Table'!$AF4,'Performance Curves'!$D$1:$L$1,1))+1,FALSE)),"")</f>
        <v>5.0000000000000044E-2</v>
      </c>
      <c r="AH4" s="104">
        <f>IFERROR(('BMP P Tracking Table'!$AF4-INDEX('Performance Curves'!$D$1:$L$1,1,MATCH('BMP P Tracking Table'!$AF4,'Performance Curves'!$D$1:$L$1,1)))/(INDEX('Performance Curves'!$D$1:$L$1,1,MATCH('BMP P Tracking Table'!$AF4,'Performance Curves'!$D$1:$L$1,1)+1)-INDEX('Performance Curves'!$D$1:$L$1,1,MATCH('BMP P Tracking Table'!$AF4,'Performance Curves'!$D$1:$L$1,1))),"")</f>
        <v>0.87860651719734628</v>
      </c>
      <c r="AI4" s="103">
        <f>IFERROR(IF('BMP P Tracking Table'!$AF4=2,VLOOKUP(CONCATENATE('BMP P Tracking Table'!$U4," ",'BMP P Tracking Table'!$AD4),'Performance Curves'!$C$1:$L$46,_xlfn.SINGLE(MATCH('BMP P Tracking Table'!$AF4,'Performance Curves'!$D$1:$L$1,1))+1,FALSE),'BMP P Tracking Table'!$AG4*'BMP P Tracking Table'!$AH4+VLOOKUP(CONCATENATE('BMP P Tracking Table'!$U4," ",'BMP P Tracking Table'!$AD4),'Performance Curves'!$C$1:$L$46,_xlfn.SINGLE(MATCH('BMP P Tracking Table'!$AF4,'Performance Curves'!$D$1:$L$1,1))+1,FALSE)),"")</f>
        <v>0.6239303258598673</v>
      </c>
      <c r="AJ4" s="104">
        <f>IFERROR('BMP P Tracking Table'!$AI4*'BMP P Tracking Table'!$AE4,"")</f>
        <v>2.977203344462922</v>
      </c>
      <c r="AK4" s="65"/>
      <c r="AL4" s="65"/>
      <c r="AM4" s="98"/>
      <c r="AN4" s="64">
        <v>1</v>
      </c>
      <c r="AO4" s="102">
        <f t="shared" si="0"/>
        <v>2.977203344462922</v>
      </c>
      <c r="AP4" s="98"/>
      <c r="AQ4" s="98"/>
      <c r="AR4" s="98"/>
      <c r="AS4" s="98"/>
      <c r="AT4" s="98"/>
      <c r="AU4" s="98"/>
      <c r="AV4" s="98"/>
      <c r="AW4" s="65"/>
      <c r="AX4" s="99"/>
      <c r="AY4" s="99"/>
      <c r="AZ4" s="104" t="str">
        <f>IF('BMP P Tracking Table'!$AL4="Yes",IF('BMP P Tracking Table'!$AM4="No",'BMP P Tracking Table'!$V4*VLOOKUP('BMP P Tracking Table'!$R4,'Loading Rates'!$B$1:$L$24,4,FALSE)+IF('BMP P Tracking Table'!$W4="By HSG",'BMP P Tracking Table'!$X4*VLOOKUP('BMP P Tracking Table'!$R4,'Loading Rates'!$B$1:$L$24,6,FALSE)+'BMP P Tracking Table'!$Y4*VLOOKUP('BMP P Tracking Table'!$R4,'Loading Rates'!$B$1:$L$24,7,FALSE)+'BMP P Tracking Table'!$Z4*VLOOKUP('BMP P Tracking Table'!$R4,'Loading Rates'!$B$1:$L$24,8,FALSE)+'BMP P Tracking Table'!$AA4*VLOOKUP('BMP P Tracking Table'!$R4,'Loading Rates'!$B$1:$L$24,9,FALSE),'BMP P Tracking Table'!$AB4*VLOOKUP('BMP P Tracking Table'!$R4,'Loading Rates'!$B$1:$L$24,10,FALSE)),'BMP P Tracking Table'!$AP4*VLOOKUP('BMP P Tracking Table'!$R4,'Loading Rates'!$B$1:$L$24,4,FALSE)+IF('BMP P Tracking Table'!$AQ4="By HSG",'BMP P Tracking Table'!$AR4*VLOOKUP('BMP P Tracking Table'!$R4,'Loading Rates'!$B$1:$L$24,6,FALSE)+'BMP P Tracking Table'!$AS4*VLOOKUP('BMP P Tracking Table'!$R4,'Loading Rates'!$B$1:$L$24,7,FALSE)+'BMP P Tracking Table'!$AT4*VLOOKUP('BMP P Tracking Table'!$R4,'Loading Rates'!$B$1:$L$24,8,FALSE)+'BMP P Tracking Table'!$AU4*VLOOKUP('BMP P Tracking Table'!$R4,'Loading Rates'!$B$1:$L$24,9,FALSE),'BMP P Tracking Table'!$AV4*VLOOKUP('BMP P Tracking Table'!$R4,'Loading Rates'!$B$1:$L$24,10,FALSE))),"")</f>
        <v/>
      </c>
      <c r="BA4" s="104">
        <f>IFERROR(IF('BMP P Tracking Table'!$AM4="Yes",MIN(2,IF('BMP P Tracking Table'!$AQ4="Total Pervious",(-(3630*'BMP P Tracking Table'!$AP4+20.691*'BMP P Tracking Table'!$AV4)+SQRT((3630*'BMP P Tracking Table'!$AP4+20.691*'BMP P Tracking Table'!$AV4)^2-(4*(996.798*'BMP P Tracking Table'!$AV4)*-'BMP P Tracking Table'!$AX4)))/(2*(996.798*'BMP P Tracking Table'!$AV4)),IF(SUM('BMP P Tracking Table'!$AR4:$AU4)=0,'BMP P Tracking Table'!$AV4/(-3630*'BMP P Tracking Table'!$AP4),(-(3630*'BMP P Tracking Table'!$AP4+20.691*'BMP P Tracking Table'!$AU4-216.711*'BMP P Tracking Table'!$AT4-83.853*'BMP P Tracking Table'!$AS4-42.834*'BMP P Tracking Table'!$AR4)+SQRT((3630*'BMP P Tracking Table'!$AP4+20.691*'BMP P Tracking Table'!$AU4-216.711*'BMP P Tracking Table'!$AT4-83.853*'BMP P Tracking Table'!$AS4-42.834*'BMP P Tracking Table'!$AR4)^2-(4*(149.919*'BMP P Tracking Table'!$AR4+236.676*'BMP P Tracking Table'!$AS4+726*'BMP P Tracking Table'!$AT4+996.798*'BMP P Tracking Table'!$AU4)*-'BMP P Tracking Table'!$AX4)))/(2*(149.919*'BMP P Tracking Table'!$AR4+236.676*'BMP P Tracking Table'!$AS4+726*'BMP P Tracking Table'!$AT4+996.798*'BMP P Tracking Table'!$AU4))))),MIN(2,IF('BMP P Tracking Table'!$AQ4="Total Pervious",(-(3630*'BMP P Tracking Table'!$V4+20.691*'BMP P Tracking Table'!$AB4)+SQRT((3630*'BMP P Tracking Table'!$V4+20.691*'BMP P Tracking Table'!$AB4)^2-(4*(996.798*'BMP P Tracking Table'!$AB4)*-'BMP P Tracking Table'!$AX4)))/(2*(996.798*'BMP P Tracking Table'!$AB4)),IF(SUM('BMP P Tracking Table'!$X4:$AA4)=0,'BMP P Tracking Table'!$AX4/(-3630*'BMP P Tracking Table'!$V4),(-(3630*'BMP P Tracking Table'!$V4+20.691*'BMP P Tracking Table'!$AA4-216.711*'BMP P Tracking Table'!$Z4-83.853*'BMP P Tracking Table'!$Y4-42.834*'BMP P Tracking Table'!$X4)+SQRT((3630*'BMP P Tracking Table'!$V4+20.691*'BMP P Tracking Table'!$AA4-216.711*'BMP P Tracking Table'!$Z4-83.853*'BMP P Tracking Table'!$Y4-42.834*'BMP P Tracking Table'!$X4)^2-(4*(149.919*'BMP P Tracking Table'!$X4+236.676*'BMP P Tracking Table'!$Y4+726*'BMP P Tracking Table'!$Z4+996.798*'BMP P Tracking Table'!$AA4)*-'BMP P Tracking Table'!$AX4)))/(2*(149.919*'BMP P Tracking Table'!$X4+236.676*'BMP P Tracking Table'!$Y4+726*'BMP P Tracking Table'!$Z4+996.798*'BMP P Tracking Table'!$AA4)))))),"")</f>
        <v>0</v>
      </c>
      <c r="BB4" s="102" t="str">
        <f>IFERROR((VLOOKUP(CONCATENATE('BMP P Tracking Table'!$AW4," ",'BMP P Tracking Table'!$AY4),'Performance Curves'!$C$1:$L$46,_xlfn.SINGLE(MATCH('BMP P Tracking Table'!$BA4,'Performance Curves'!$D$1:$L$1,1))+2,FALSE)-VLOOKUP(CONCATENATE('BMP P Tracking Table'!$AW4," ",'BMP P Tracking Table'!$AY4),'Performance Curves'!$C$1:$L$46,_xlfn.SINGLE(MATCH('BMP P Tracking Table'!$BA4,'Performance Curves'!$D$1:$L$1,1))+1,FALSE)),"")</f>
        <v/>
      </c>
      <c r="BC4" s="102">
        <f>IFERROR(('BMP P Tracking Table'!$BA4-INDEX('Performance Curves'!$D$1:$L$1,1,MATCH('BMP P Tracking Table'!$BA4,'Performance Curves'!$D$1:$L$1,1)))/(INDEX('Performance Curves'!$D$1:$L$1,1,MATCH('BMP P Tracking Table'!$BA4,'Performance Curves'!$D$1:$L$1,1)+1)-INDEX('Performance Curves'!$D$1:$L$1,1,MATCH('BMP P Tracking Table'!$BA4,'Performance Curves'!$D$1:$L$1,1))),"")</f>
        <v>0</v>
      </c>
      <c r="BD4" s="103" t="str" cm="1">
        <f t="array" ref="BD4">IFERROR(IF('BMP P Tracking Table'!$BA4=2,VLOOKUP(CONCATENATE('BMP P Tracking Table'!$AW4," ",'BMP P Tracking Table'!$AY4),'Performance Curves'!$C$1:$L$44,_xlfn.SINGLE(MATCH('BMP P Tracking Table'!$BA4,'Performance Curves'!$D$1:$L$1,1))+1,FALSE),'BMP P Tracking Table'!$BB4*'BMP P Tracking Table'!$BC4+VLOOKUP(CONCATENATE('BMP P Tracking Table'!$AW4," ",'BMP P Tracking Table'!$AY4),'Performance Curves'!$C$1:$L$44,_xlfn.SINGLE(MATCH('BMP P Tracking Table'!$BA4,'Performance Curves'!$D$1:$L$1,1))+1,FALSE)),"")</f>
        <v/>
      </c>
      <c r="BE4" s="104" t="str">
        <f>IFERROR('BMP P Tracking Table'!$BD4*'BMP P Tracking Table'!$AZ4,"")</f>
        <v/>
      </c>
      <c r="BF4" s="98"/>
      <c r="BG4" s="37">
        <f>IFERROR(BE4+BF4,0)</f>
        <v>0</v>
      </c>
      <c r="BH4" s="36" t="s">
        <v>334</v>
      </c>
      <c r="BI4" s="36" t="str">
        <f t="shared" ref="BI4:BI67" si="1">B4</f>
        <v>6262‐9020</v>
      </c>
      <c r="BJ4" s="36" t="str">
        <f t="shared" ref="BJ4:BJ67" si="2">C4</f>
        <v>Essex Outlets Pond A</v>
      </c>
      <c r="BS4" s="36"/>
    </row>
    <row r="5" spans="1:73">
      <c r="A5" s="36" t="s">
        <v>283</v>
      </c>
      <c r="B5" s="65" t="s">
        <v>298</v>
      </c>
      <c r="C5" s="65" t="s">
        <v>312</v>
      </c>
      <c r="D5" s="65" t="s">
        <v>324</v>
      </c>
      <c r="E5" s="63" t="s">
        <v>9</v>
      </c>
      <c r="F5" s="94"/>
      <c r="G5" s="94"/>
      <c r="H5" s="100" t="s">
        <v>298</v>
      </c>
      <c r="I5" s="100"/>
      <c r="J5" s="100" t="s">
        <v>66</v>
      </c>
      <c r="K5" s="95"/>
      <c r="L5" s="63" t="s">
        <v>111</v>
      </c>
      <c r="M5" s="65"/>
      <c r="N5" s="65"/>
      <c r="O5" s="65"/>
      <c r="P5" s="65"/>
      <c r="Q5" s="65" t="s">
        <v>37</v>
      </c>
      <c r="R5" s="65" t="str">
        <f>IFERROR(VLOOKUP('BMP P Tracking Table'!$Q5,Dropdowns!$C$2:$E$15,3,FALSE),"")</f>
        <v>Malletts Bay Direct Drainage</v>
      </c>
      <c r="S5" s="65" t="str">
        <f>IFERROR(VLOOKUP('BMP P Tracking Table'!$R5,Dropdowns!$Q$3:$R$23,2,FALSE),"")</f>
        <v>Malletts Bay</v>
      </c>
      <c r="T5" s="65" t="s">
        <v>66</v>
      </c>
      <c r="U5" s="63" t="s">
        <v>48</v>
      </c>
      <c r="V5" s="137">
        <v>3.77</v>
      </c>
      <c r="W5" s="63" t="s">
        <v>219</v>
      </c>
      <c r="X5" s="65"/>
      <c r="Y5" s="65"/>
      <c r="Z5" s="65"/>
      <c r="AA5" s="65"/>
      <c r="AB5" s="98">
        <v>1.2200000000000002</v>
      </c>
      <c r="AC5" s="97">
        <v>40772.160000000003</v>
      </c>
      <c r="AD5" s="65"/>
      <c r="AE5" s="104">
        <f>IFERROR('BMP P Tracking Table'!$V5*VLOOKUP('BMP P Tracking Table'!$R5,'Loading Rates'!$B$1:$L$24,4,FALSE)+IF('BMP P Tracking Table'!$W5="By HSG",'BMP P Tracking Table'!$X5*VLOOKUP('BMP P Tracking Table'!$R5,'Loading Rates'!$B$1:$L$24,6,FALSE)+'BMP P Tracking Table'!$Y5*VLOOKUP('BMP P Tracking Table'!$R5,'Loading Rates'!$B$1:$L$24,7,FALSE)+'BMP P Tracking Table'!$Z5*VLOOKUP('BMP P Tracking Table'!$R5,'Loading Rates'!$B$1:$L$24,8,FALSE)+'BMP P Tracking Table'!$AA5*VLOOKUP('BMP P Tracking Table'!$R5,'Loading Rates'!$B$1:$L$24,9,FALSE),'BMP P Tracking Table'!$AB5*VLOOKUP('BMP P Tracking Table'!$R5,'Loading Rates'!$B$1:$L$24,10,FALSE)),"")</f>
        <v>3.1248899999999997</v>
      </c>
      <c r="AF5" s="104">
        <f>IFERROR(MIN(2,IF('BMP P Tracking Table'!$W5="Total Pervious",(-(3630*'BMP P Tracking Table'!$V5+20.691*'BMP P Tracking Table'!$AB5)+SQRT((3630*'BMP P Tracking Table'!$V5+20.691*'BMP P Tracking Table'!$AB5)^2-(4*(996.798*'BMP P Tracking Table'!$AB5)*-'BMP P Tracking Table'!$AC5)))/(2*(996.798*'BMP P Tracking Table'!$AB5)),IF(SUM('BMP P Tracking Table'!$X5:$AA5)=0,'BMP P Tracking Table'!$AC5/(-3630*'BMP P Tracking Table'!$V5),(-(3630*'BMP P Tracking Table'!$V5+20.691*'BMP P Tracking Table'!$AA5-216.711*'BMP P Tracking Table'!$Z5-83.853*'BMP P Tracking Table'!$Y5-42.834*'BMP P Tracking Table'!$X5)+SQRT((3630*'BMP P Tracking Table'!$V5+20.691*'BMP P Tracking Table'!$AA5-216.711*'BMP P Tracking Table'!$Z5-83.853*'BMP P Tracking Table'!$Y5-42.834*'BMP P Tracking Table'!$X5)^2-(4*(149.919*'BMP P Tracking Table'!$X5+236.676*'BMP P Tracking Table'!$Y5+726*'BMP P Tracking Table'!$Z5+996.798*'BMP P Tracking Table'!$AA5)*-'BMP P Tracking Table'!$AC5)))/(2*(149.919*'BMP P Tracking Table'!$X5+236.676*'BMP P Tracking Table'!$Y5+726*'BMP P Tracking Table'!$Z5+996.798*'BMP P Tracking Table'!$AA5))))),"")</f>
        <v>2</v>
      </c>
      <c r="AG5" s="104" t="str">
        <f>IFERROR((VLOOKUP(CONCATENATE('BMP P Tracking Table'!$U5," ",'BMP P Tracking Table'!$AD5),'Performance Curves'!$C$1:$L$46,_xlfn.SINGLE(MATCH('BMP P Tracking Table'!$AF5,'Performance Curves'!$D$1:$L$1,1))+2,FALSE)-VLOOKUP(CONCATENATE('BMP P Tracking Table'!$U5," ",'BMP P Tracking Table'!$AD5),'Performance Curves'!$C$1:$L$46,_xlfn.SINGLE(MATCH('BMP P Tracking Table'!$AF5,'Performance Curves'!$D$1:$L$1,1))+1,FALSE)),"")</f>
        <v/>
      </c>
      <c r="AH5" s="104" t="str">
        <f>IFERROR(('BMP P Tracking Table'!$AF5-INDEX('Performance Curves'!$D$1:$L$1,1,MATCH('BMP P Tracking Table'!$AF5,'Performance Curves'!$D$1:$L$1,1)))/(INDEX('Performance Curves'!$D$1:$L$1,1,MATCH('BMP P Tracking Table'!$AF5,'Performance Curves'!$D$1:$L$1,1)+1)-INDEX('Performance Curves'!$D$1:$L$1,1,MATCH('BMP P Tracking Table'!$AF5,'Performance Curves'!$D$1:$L$1,1))),"")</f>
        <v/>
      </c>
      <c r="AI5" s="103">
        <f>IFERROR(IF('BMP P Tracking Table'!$AF5=2,VLOOKUP(CONCATENATE('BMP P Tracking Table'!$U5," ",'BMP P Tracking Table'!$AD5),'Performance Curves'!$C$1:$L$46,_xlfn.SINGLE(MATCH('BMP P Tracking Table'!$AF5,'Performance Curves'!$D$1:$L$1,1))+1,FALSE),'BMP P Tracking Table'!$AG5*'BMP P Tracking Table'!$AH5+VLOOKUP(CONCATENATE('BMP P Tracking Table'!$U5," ",'BMP P Tracking Table'!$AD5),'Performance Curves'!$C$1:$L$46,_xlfn.SINGLE(MATCH('BMP P Tracking Table'!$AF5,'Performance Curves'!$D$1:$L$1,1))+1,FALSE)),"")</f>
        <v>0.63</v>
      </c>
      <c r="AJ5" s="104">
        <f>IFERROR('BMP P Tracking Table'!$AI5*'BMP P Tracking Table'!$AE5,"")</f>
        <v>1.9686807</v>
      </c>
      <c r="AK5" s="65"/>
      <c r="AL5" s="65"/>
      <c r="AM5" s="98"/>
      <c r="AN5" s="64">
        <v>1</v>
      </c>
      <c r="AO5" s="102">
        <f t="shared" si="0"/>
        <v>1.9686807</v>
      </c>
      <c r="AP5" s="98"/>
      <c r="AQ5" s="98"/>
      <c r="AR5" s="98"/>
      <c r="AS5" s="98"/>
      <c r="AT5" s="98"/>
      <c r="AU5" s="98"/>
      <c r="AV5" s="98"/>
      <c r="AW5" s="65"/>
      <c r="AX5" s="99"/>
      <c r="AY5" s="99"/>
      <c r="AZ5" s="104" t="str">
        <f>IF('BMP P Tracking Table'!$AL5="Yes",IF('BMP P Tracking Table'!$AM5="No",'BMP P Tracking Table'!$V5*VLOOKUP('BMP P Tracking Table'!$R5,'Loading Rates'!$B$1:$L$24,4,FALSE)+IF('BMP P Tracking Table'!$W5="By HSG",'BMP P Tracking Table'!$X5*VLOOKUP('BMP P Tracking Table'!$R5,'Loading Rates'!$B$1:$L$24,6,FALSE)+'BMP P Tracking Table'!$Y5*VLOOKUP('BMP P Tracking Table'!$R5,'Loading Rates'!$B$1:$L$24,7,FALSE)+'BMP P Tracking Table'!$Z5*VLOOKUP('BMP P Tracking Table'!$R5,'Loading Rates'!$B$1:$L$24,8,FALSE)+'BMP P Tracking Table'!$AA5*VLOOKUP('BMP P Tracking Table'!$R5,'Loading Rates'!$B$1:$L$24,9,FALSE),'BMP P Tracking Table'!$AB5*VLOOKUP('BMP P Tracking Table'!$R5,'Loading Rates'!$B$1:$L$24,10,FALSE)),'BMP P Tracking Table'!$AP5*VLOOKUP('BMP P Tracking Table'!$R5,'Loading Rates'!$B$1:$L$24,4,FALSE)+IF('BMP P Tracking Table'!$AQ5="By HSG",'BMP P Tracking Table'!$AR5*VLOOKUP('BMP P Tracking Table'!$R5,'Loading Rates'!$B$1:$L$24,6,FALSE)+'BMP P Tracking Table'!$AS5*VLOOKUP('BMP P Tracking Table'!$R5,'Loading Rates'!$B$1:$L$24,7,FALSE)+'BMP P Tracking Table'!$AT5*VLOOKUP('BMP P Tracking Table'!$R5,'Loading Rates'!$B$1:$L$24,8,FALSE)+'BMP P Tracking Table'!$AU5*VLOOKUP('BMP P Tracking Table'!$R5,'Loading Rates'!$B$1:$L$24,9,FALSE),'BMP P Tracking Table'!$AV5*VLOOKUP('BMP P Tracking Table'!$R5,'Loading Rates'!$B$1:$L$24,10,FALSE))),"")</f>
        <v/>
      </c>
      <c r="BA5" s="104">
        <f>IFERROR(IF('BMP P Tracking Table'!$AM5="Yes",MIN(2,IF('BMP P Tracking Table'!$AQ5="Total Pervious",(-(3630*'BMP P Tracking Table'!$AP5+20.691*'BMP P Tracking Table'!$AV5)+SQRT((3630*'BMP P Tracking Table'!$AP5+20.691*'BMP P Tracking Table'!$AV5)^2-(4*(996.798*'BMP P Tracking Table'!$AV5)*-'BMP P Tracking Table'!$AX5)))/(2*(996.798*'BMP P Tracking Table'!$AV5)),IF(SUM('BMP P Tracking Table'!$AR5:$AU5)=0,'BMP P Tracking Table'!$AV5/(-3630*'BMP P Tracking Table'!$AP5),(-(3630*'BMP P Tracking Table'!$AP5+20.691*'BMP P Tracking Table'!$AU5-216.711*'BMP P Tracking Table'!$AT5-83.853*'BMP P Tracking Table'!$AS5-42.834*'BMP P Tracking Table'!$AR5)+SQRT((3630*'BMP P Tracking Table'!$AP5+20.691*'BMP P Tracking Table'!$AU5-216.711*'BMP P Tracking Table'!$AT5-83.853*'BMP P Tracking Table'!$AS5-42.834*'BMP P Tracking Table'!$AR5)^2-(4*(149.919*'BMP P Tracking Table'!$AR5+236.676*'BMP P Tracking Table'!$AS5+726*'BMP P Tracking Table'!$AT5+996.798*'BMP P Tracking Table'!$AU5)*-'BMP P Tracking Table'!$AX5)))/(2*(149.919*'BMP P Tracking Table'!$AR5+236.676*'BMP P Tracking Table'!$AS5+726*'BMP P Tracking Table'!$AT5+996.798*'BMP P Tracking Table'!$AU5))))),MIN(2,IF('BMP P Tracking Table'!$AQ5="Total Pervious",(-(3630*'BMP P Tracking Table'!$V5+20.691*'BMP P Tracking Table'!$AB5)+SQRT((3630*'BMP P Tracking Table'!$V5+20.691*'BMP P Tracking Table'!$AB5)^2-(4*(996.798*'BMP P Tracking Table'!$AB5)*-'BMP P Tracking Table'!$AX5)))/(2*(996.798*'BMP P Tracking Table'!$AB5)),IF(SUM('BMP P Tracking Table'!$X5:$AA5)=0,'BMP P Tracking Table'!$AX5/(-3630*'BMP P Tracking Table'!$V5),(-(3630*'BMP P Tracking Table'!$V5+20.691*'BMP P Tracking Table'!$AA5-216.711*'BMP P Tracking Table'!$Z5-83.853*'BMP P Tracking Table'!$Y5-42.834*'BMP P Tracking Table'!$X5)+SQRT((3630*'BMP P Tracking Table'!$V5+20.691*'BMP P Tracking Table'!$AA5-216.711*'BMP P Tracking Table'!$Z5-83.853*'BMP P Tracking Table'!$Y5-42.834*'BMP P Tracking Table'!$X5)^2-(4*(149.919*'BMP P Tracking Table'!$X5+236.676*'BMP P Tracking Table'!$Y5+726*'BMP P Tracking Table'!$Z5+996.798*'BMP P Tracking Table'!$AA5)*-'BMP P Tracking Table'!$AX5)))/(2*(149.919*'BMP P Tracking Table'!$X5+236.676*'BMP P Tracking Table'!$Y5+726*'BMP P Tracking Table'!$Z5+996.798*'BMP P Tracking Table'!$AA5)))))),"")</f>
        <v>0</v>
      </c>
      <c r="BB5" s="102" t="str">
        <f>IFERROR((VLOOKUP(CONCATENATE('BMP P Tracking Table'!$AW5," ",'BMP P Tracking Table'!$AY5),'Performance Curves'!$C$1:$L$46,_xlfn.SINGLE(MATCH('BMP P Tracking Table'!$BA5,'Performance Curves'!$D$1:$L$1,1))+2,FALSE)-VLOOKUP(CONCATENATE('BMP P Tracking Table'!$AW5," ",'BMP P Tracking Table'!$AY5),'Performance Curves'!$C$1:$L$46,_xlfn.SINGLE(MATCH('BMP P Tracking Table'!$BA5,'Performance Curves'!$D$1:$L$1,1))+1,FALSE)),"")</f>
        <v/>
      </c>
      <c r="BC5" s="102">
        <f>IFERROR(('BMP P Tracking Table'!$BA5-INDEX('Performance Curves'!$D$1:$L$1,1,MATCH('BMP P Tracking Table'!$BA5,'Performance Curves'!$D$1:$L$1,1)))/(INDEX('Performance Curves'!$D$1:$L$1,1,MATCH('BMP P Tracking Table'!$BA5,'Performance Curves'!$D$1:$L$1,1)+1)-INDEX('Performance Curves'!$D$1:$L$1,1,MATCH('BMP P Tracking Table'!$BA5,'Performance Curves'!$D$1:$L$1,1))),"")</f>
        <v>0</v>
      </c>
      <c r="BD5" s="103" t="str" cm="1">
        <f t="array" ref="BD5">IFERROR(IF('BMP P Tracking Table'!$BA5=2,VLOOKUP(CONCATENATE('BMP P Tracking Table'!$AW5," ",'BMP P Tracking Table'!$AY5),'Performance Curves'!$C$1:$L$44,_xlfn.SINGLE(MATCH('BMP P Tracking Table'!$BA5,'Performance Curves'!$D$1:$L$1,1))+1,FALSE),'BMP P Tracking Table'!$BB5*'BMP P Tracking Table'!$BC5+VLOOKUP(CONCATENATE('BMP P Tracking Table'!$AW5," ",'BMP P Tracking Table'!$AY5),'Performance Curves'!$C$1:$L$44,_xlfn.SINGLE(MATCH('BMP P Tracking Table'!$BA5,'Performance Curves'!$D$1:$L$1,1))+1,FALSE)),"")</f>
        <v/>
      </c>
      <c r="BE5" s="104" t="str">
        <f>IFERROR('BMP P Tracking Table'!$BD5*'BMP P Tracking Table'!$AZ5,"")</f>
        <v/>
      </c>
      <c r="BF5" s="98"/>
      <c r="BG5" s="37">
        <f t="shared" ref="BG5:BG39" si="3">IFERROR(BE5+BF5,0)</f>
        <v>0</v>
      </c>
      <c r="BH5" s="36" t="s">
        <v>334</v>
      </c>
      <c r="BI5" s="36" t="str">
        <f t="shared" si="1"/>
        <v>6262‐9020</v>
      </c>
      <c r="BJ5" s="36" t="str">
        <f t="shared" si="2"/>
        <v>Essex Outlets Pond B</v>
      </c>
      <c r="BS5" s="36"/>
    </row>
    <row r="6" spans="1:73">
      <c r="A6" s="36" t="s">
        <v>284</v>
      </c>
      <c r="B6" s="65" t="s">
        <v>298</v>
      </c>
      <c r="C6" s="65" t="s">
        <v>313</v>
      </c>
      <c r="D6" s="65" t="s">
        <v>324</v>
      </c>
      <c r="E6" s="63" t="s">
        <v>9</v>
      </c>
      <c r="F6" s="94"/>
      <c r="G6" s="94"/>
      <c r="H6" s="100" t="s">
        <v>298</v>
      </c>
      <c r="I6" s="100"/>
      <c r="J6" s="100" t="s">
        <v>66</v>
      </c>
      <c r="K6" s="95"/>
      <c r="L6" s="63" t="s">
        <v>111</v>
      </c>
      <c r="M6" s="65"/>
      <c r="N6" s="65"/>
      <c r="O6" s="65"/>
      <c r="P6" s="65"/>
      <c r="Q6" s="65" t="s">
        <v>37</v>
      </c>
      <c r="R6" s="65" t="str">
        <f>IFERROR(VLOOKUP('BMP P Tracking Table'!$Q6,Dropdowns!$C$2:$E$15,3,FALSE),"")</f>
        <v>Malletts Bay Direct Drainage</v>
      </c>
      <c r="S6" s="65" t="str">
        <f>IFERROR(VLOOKUP('BMP P Tracking Table'!$R6,Dropdowns!$Q$3:$R$23,2,FALSE),"")</f>
        <v>Malletts Bay</v>
      </c>
      <c r="T6" s="65" t="s">
        <v>66</v>
      </c>
      <c r="U6" s="63" t="s">
        <v>48</v>
      </c>
      <c r="V6" s="137">
        <v>11.85</v>
      </c>
      <c r="W6" s="63" t="s">
        <v>219</v>
      </c>
      <c r="X6" s="65"/>
      <c r="Y6" s="65"/>
      <c r="Z6" s="65"/>
      <c r="AA6" s="65"/>
      <c r="AB6" s="98">
        <v>10.302999999999999</v>
      </c>
      <c r="AC6" s="97">
        <v>290966</v>
      </c>
      <c r="AD6" s="65"/>
      <c r="AE6" s="104">
        <f>IFERROR('BMP P Tracking Table'!$V6*VLOOKUP('BMP P Tracking Table'!$R6,'Loading Rates'!$B$1:$L$24,4,FALSE)+IF('BMP P Tracking Table'!$W6="By HSG",'BMP P Tracking Table'!$X6*VLOOKUP('BMP P Tracking Table'!$R6,'Loading Rates'!$B$1:$L$24,6,FALSE)+'BMP P Tracking Table'!$Y6*VLOOKUP('BMP P Tracking Table'!$R6,'Loading Rates'!$B$1:$L$24,7,FALSE)+'BMP P Tracking Table'!$Z6*VLOOKUP('BMP P Tracking Table'!$R6,'Loading Rates'!$B$1:$L$24,8,FALSE)+'BMP P Tracking Table'!$AA6*VLOOKUP('BMP P Tracking Table'!$R6,'Loading Rates'!$B$1:$L$24,9,FALSE),'BMP P Tracking Table'!$AB6*VLOOKUP('BMP P Tracking Table'!$R6,'Loading Rates'!$B$1:$L$24,10,FALSE)),"")</f>
        <v>9.8998859999999986</v>
      </c>
      <c r="AF6" s="104">
        <f>IFERROR(MIN(2,IF('BMP P Tracking Table'!$W6="Total Pervious",(-(3630*'BMP P Tracking Table'!$V6+20.691*'BMP P Tracking Table'!$AB6)+SQRT((3630*'BMP P Tracking Table'!$V6+20.691*'BMP P Tracking Table'!$AB6)^2-(4*(996.798*'BMP P Tracking Table'!$AB6)*-'BMP P Tracking Table'!$AC6)))/(2*(996.798*'BMP P Tracking Table'!$AB6)),IF(SUM('BMP P Tracking Table'!$X6:$AA6)=0,'BMP P Tracking Table'!$AC6/(-3630*'BMP P Tracking Table'!$V6),(-(3630*'BMP P Tracking Table'!$V6+20.691*'BMP P Tracking Table'!$AA6-216.711*'BMP P Tracking Table'!$Z6-83.853*'BMP P Tracking Table'!$Y6-42.834*'BMP P Tracking Table'!$X6)+SQRT((3630*'BMP P Tracking Table'!$V6+20.691*'BMP P Tracking Table'!$AA6-216.711*'BMP P Tracking Table'!$Z6-83.853*'BMP P Tracking Table'!$Y6-42.834*'BMP P Tracking Table'!$X6)^2-(4*(149.919*'BMP P Tracking Table'!$X6+236.676*'BMP P Tracking Table'!$Y6+726*'BMP P Tracking Table'!$Z6+996.798*'BMP P Tracking Table'!$AA6)*-'BMP P Tracking Table'!$AC6)))/(2*(149.919*'BMP P Tracking Table'!$X6+236.676*'BMP P Tracking Table'!$Y6+726*'BMP P Tracking Table'!$Z6+996.798*'BMP P Tracking Table'!$AA6))))),"")</f>
        <v>2</v>
      </c>
      <c r="AG6" s="104" t="str">
        <f>IFERROR((VLOOKUP(CONCATENATE('BMP P Tracking Table'!$U6," ",'BMP P Tracking Table'!$AD6),'Performance Curves'!$C$1:$L$46,_xlfn.SINGLE(MATCH('BMP P Tracking Table'!$AF6,'Performance Curves'!$D$1:$L$1,1))+2,FALSE)-VLOOKUP(CONCATENATE('BMP P Tracking Table'!$U6," ",'BMP P Tracking Table'!$AD6),'Performance Curves'!$C$1:$L$46,_xlfn.SINGLE(MATCH('BMP P Tracking Table'!$AF6,'Performance Curves'!$D$1:$L$1,1))+1,FALSE)),"")</f>
        <v/>
      </c>
      <c r="AH6" s="104" t="str">
        <f>IFERROR(('BMP P Tracking Table'!$AF6-INDEX('Performance Curves'!$D$1:$L$1,1,MATCH('BMP P Tracking Table'!$AF6,'Performance Curves'!$D$1:$L$1,1)))/(INDEX('Performance Curves'!$D$1:$L$1,1,MATCH('BMP P Tracking Table'!$AF6,'Performance Curves'!$D$1:$L$1,1)+1)-INDEX('Performance Curves'!$D$1:$L$1,1,MATCH('BMP P Tracking Table'!$AF6,'Performance Curves'!$D$1:$L$1,1))),"")</f>
        <v/>
      </c>
      <c r="AI6" s="103">
        <f>IFERROR(IF('BMP P Tracking Table'!$AF6=2,VLOOKUP(CONCATENATE('BMP P Tracking Table'!$U6," ",'BMP P Tracking Table'!$AD6),'Performance Curves'!$C$1:$L$46,_xlfn.SINGLE(MATCH('BMP P Tracking Table'!$AF6,'Performance Curves'!$D$1:$L$1,1))+1,FALSE),'BMP P Tracking Table'!$AG6*'BMP P Tracking Table'!$AH6+VLOOKUP(CONCATENATE('BMP P Tracking Table'!$U6," ",'BMP P Tracking Table'!$AD6),'Performance Curves'!$C$1:$L$46,_xlfn.SINGLE(MATCH('BMP P Tracking Table'!$AF6,'Performance Curves'!$D$1:$L$1,1))+1,FALSE)),"")</f>
        <v>0.63</v>
      </c>
      <c r="AJ6" s="104">
        <f>IFERROR('BMP P Tracking Table'!$AI6*'BMP P Tracking Table'!$AE6,"")</f>
        <v>6.2369281799999996</v>
      </c>
      <c r="AK6" s="65"/>
      <c r="AL6" s="65"/>
      <c r="AM6" s="98"/>
      <c r="AN6" s="64">
        <v>1</v>
      </c>
      <c r="AO6" s="102">
        <f t="shared" si="0"/>
        <v>6.2369281799999996</v>
      </c>
      <c r="AP6" s="98"/>
      <c r="AQ6" s="98"/>
      <c r="AR6" s="98"/>
      <c r="AS6" s="98"/>
      <c r="AT6" s="98"/>
      <c r="AU6" s="98"/>
      <c r="AV6" s="98"/>
      <c r="AW6" s="65"/>
      <c r="AX6" s="99"/>
      <c r="AY6" s="99"/>
      <c r="AZ6" s="104" t="str">
        <f>IF('BMP P Tracking Table'!$AL6="Yes",IF('BMP P Tracking Table'!$AM6="No",'BMP P Tracking Table'!$V6*VLOOKUP('BMP P Tracking Table'!$R6,'Loading Rates'!$B$1:$L$24,4,FALSE)+IF('BMP P Tracking Table'!$W6="By HSG",'BMP P Tracking Table'!$X6*VLOOKUP('BMP P Tracking Table'!$R6,'Loading Rates'!$B$1:$L$24,6,FALSE)+'BMP P Tracking Table'!$Y6*VLOOKUP('BMP P Tracking Table'!$R6,'Loading Rates'!$B$1:$L$24,7,FALSE)+'BMP P Tracking Table'!$Z6*VLOOKUP('BMP P Tracking Table'!$R6,'Loading Rates'!$B$1:$L$24,8,FALSE)+'BMP P Tracking Table'!$AA6*VLOOKUP('BMP P Tracking Table'!$R6,'Loading Rates'!$B$1:$L$24,9,FALSE),'BMP P Tracking Table'!$AB6*VLOOKUP('BMP P Tracking Table'!$R6,'Loading Rates'!$B$1:$L$24,10,FALSE)),'BMP P Tracking Table'!$AP6*VLOOKUP('BMP P Tracking Table'!$R6,'Loading Rates'!$B$1:$L$24,4,FALSE)+IF('BMP P Tracking Table'!$AQ6="By HSG",'BMP P Tracking Table'!$AR6*VLOOKUP('BMP P Tracking Table'!$R6,'Loading Rates'!$B$1:$L$24,6,FALSE)+'BMP P Tracking Table'!$AS6*VLOOKUP('BMP P Tracking Table'!$R6,'Loading Rates'!$B$1:$L$24,7,FALSE)+'BMP P Tracking Table'!$AT6*VLOOKUP('BMP P Tracking Table'!$R6,'Loading Rates'!$B$1:$L$24,8,FALSE)+'BMP P Tracking Table'!$AU6*VLOOKUP('BMP P Tracking Table'!$R6,'Loading Rates'!$B$1:$L$24,9,FALSE),'BMP P Tracking Table'!$AV6*VLOOKUP('BMP P Tracking Table'!$R6,'Loading Rates'!$B$1:$L$24,10,FALSE))),"")</f>
        <v/>
      </c>
      <c r="BA6" s="104">
        <f>IFERROR(IF('BMP P Tracking Table'!$AM6="Yes",MIN(2,IF('BMP P Tracking Table'!$AQ6="Total Pervious",(-(3630*'BMP P Tracking Table'!$AP6+20.691*'BMP P Tracking Table'!$AV6)+SQRT((3630*'BMP P Tracking Table'!$AP6+20.691*'BMP P Tracking Table'!$AV6)^2-(4*(996.798*'BMP P Tracking Table'!$AV6)*-'BMP P Tracking Table'!$AX6)))/(2*(996.798*'BMP P Tracking Table'!$AV6)),IF(SUM('BMP P Tracking Table'!$AR6:$AU6)=0,'BMP P Tracking Table'!$AV6/(-3630*'BMP P Tracking Table'!$AP6),(-(3630*'BMP P Tracking Table'!$AP6+20.691*'BMP P Tracking Table'!$AU6-216.711*'BMP P Tracking Table'!$AT6-83.853*'BMP P Tracking Table'!$AS6-42.834*'BMP P Tracking Table'!$AR6)+SQRT((3630*'BMP P Tracking Table'!$AP6+20.691*'BMP P Tracking Table'!$AU6-216.711*'BMP P Tracking Table'!$AT6-83.853*'BMP P Tracking Table'!$AS6-42.834*'BMP P Tracking Table'!$AR6)^2-(4*(149.919*'BMP P Tracking Table'!$AR6+236.676*'BMP P Tracking Table'!$AS6+726*'BMP P Tracking Table'!$AT6+996.798*'BMP P Tracking Table'!$AU6)*-'BMP P Tracking Table'!$AX6)))/(2*(149.919*'BMP P Tracking Table'!$AR6+236.676*'BMP P Tracking Table'!$AS6+726*'BMP P Tracking Table'!$AT6+996.798*'BMP P Tracking Table'!$AU6))))),MIN(2,IF('BMP P Tracking Table'!$AQ6="Total Pervious",(-(3630*'BMP P Tracking Table'!$V6+20.691*'BMP P Tracking Table'!$AB6)+SQRT((3630*'BMP P Tracking Table'!$V6+20.691*'BMP P Tracking Table'!$AB6)^2-(4*(996.798*'BMP P Tracking Table'!$AB6)*-'BMP P Tracking Table'!$AX6)))/(2*(996.798*'BMP P Tracking Table'!$AB6)),IF(SUM('BMP P Tracking Table'!$X6:$AA6)=0,'BMP P Tracking Table'!$AX6/(-3630*'BMP P Tracking Table'!$V6),(-(3630*'BMP P Tracking Table'!$V6+20.691*'BMP P Tracking Table'!$AA6-216.711*'BMP P Tracking Table'!$Z6-83.853*'BMP P Tracking Table'!$Y6-42.834*'BMP P Tracking Table'!$X6)+SQRT((3630*'BMP P Tracking Table'!$V6+20.691*'BMP P Tracking Table'!$AA6-216.711*'BMP P Tracking Table'!$Z6-83.853*'BMP P Tracking Table'!$Y6-42.834*'BMP P Tracking Table'!$X6)^2-(4*(149.919*'BMP P Tracking Table'!$X6+236.676*'BMP P Tracking Table'!$Y6+726*'BMP P Tracking Table'!$Z6+996.798*'BMP P Tracking Table'!$AA6)*-'BMP P Tracking Table'!$AX6)))/(2*(149.919*'BMP P Tracking Table'!$X6+236.676*'BMP P Tracking Table'!$Y6+726*'BMP P Tracking Table'!$Z6+996.798*'BMP P Tracking Table'!$AA6)))))),"")</f>
        <v>0</v>
      </c>
      <c r="BB6" s="102" t="str">
        <f>IFERROR((VLOOKUP(CONCATENATE('BMP P Tracking Table'!$AW6," ",'BMP P Tracking Table'!$AY6),'Performance Curves'!$C$1:$L$46,_xlfn.SINGLE(MATCH('BMP P Tracking Table'!$BA6,'Performance Curves'!$D$1:$L$1,1))+2,FALSE)-VLOOKUP(CONCATENATE('BMP P Tracking Table'!$AW6," ",'BMP P Tracking Table'!$AY6),'Performance Curves'!$C$1:$L$46,_xlfn.SINGLE(MATCH('BMP P Tracking Table'!$BA6,'Performance Curves'!$D$1:$L$1,1))+1,FALSE)),"")</f>
        <v/>
      </c>
      <c r="BC6" s="102">
        <f>IFERROR(('BMP P Tracking Table'!$BA6-INDEX('Performance Curves'!$D$1:$L$1,1,MATCH('BMP P Tracking Table'!$BA6,'Performance Curves'!$D$1:$L$1,1)))/(INDEX('Performance Curves'!$D$1:$L$1,1,MATCH('BMP P Tracking Table'!$BA6,'Performance Curves'!$D$1:$L$1,1)+1)-INDEX('Performance Curves'!$D$1:$L$1,1,MATCH('BMP P Tracking Table'!$BA6,'Performance Curves'!$D$1:$L$1,1))),"")</f>
        <v>0</v>
      </c>
      <c r="BD6" s="103" t="str" cm="1">
        <f t="array" ref="BD6">IFERROR(IF('BMP P Tracking Table'!$BA6=2,VLOOKUP(CONCATENATE('BMP P Tracking Table'!$AW6," ",'BMP P Tracking Table'!$AY6),'Performance Curves'!$C$1:$L$44,_xlfn.SINGLE(MATCH('BMP P Tracking Table'!$BA6,'Performance Curves'!$D$1:$L$1,1))+1,FALSE),'BMP P Tracking Table'!$BB6*'BMP P Tracking Table'!$BC6+VLOOKUP(CONCATENATE('BMP P Tracking Table'!$AW6," ",'BMP P Tracking Table'!$AY6),'Performance Curves'!$C$1:$L$44,_xlfn.SINGLE(MATCH('BMP P Tracking Table'!$BA6,'Performance Curves'!$D$1:$L$1,1))+1,FALSE)),"")</f>
        <v/>
      </c>
      <c r="BE6" s="104" t="str">
        <f>IFERROR('BMP P Tracking Table'!$BD6*'BMP P Tracking Table'!$AZ6,"")</f>
        <v/>
      </c>
      <c r="BF6" s="98"/>
      <c r="BG6" s="37">
        <f t="shared" si="3"/>
        <v>0</v>
      </c>
      <c r="BH6" s="36" t="s">
        <v>334</v>
      </c>
      <c r="BI6" s="36" t="str">
        <f t="shared" si="1"/>
        <v>6262‐9020</v>
      </c>
      <c r="BJ6" s="36" t="str">
        <f t="shared" si="2"/>
        <v>Essex Outlets Pond C</v>
      </c>
      <c r="BS6" s="36"/>
    </row>
    <row r="7" spans="1:73" s="125" customFormat="1">
      <c r="A7" s="36" t="s">
        <v>344</v>
      </c>
      <c r="B7" s="65" t="s">
        <v>299</v>
      </c>
      <c r="C7" s="65" t="s">
        <v>777</v>
      </c>
      <c r="D7" s="65" t="s">
        <v>325</v>
      </c>
      <c r="E7" s="65" t="s">
        <v>10</v>
      </c>
      <c r="F7" s="94">
        <v>44.499437</v>
      </c>
      <c r="G7" s="94">
        <v>-73.099537999999995</v>
      </c>
      <c r="H7" s="65" t="s">
        <v>329</v>
      </c>
      <c r="I7" s="65"/>
      <c r="J7" s="65" t="s">
        <v>66</v>
      </c>
      <c r="K7" s="95">
        <v>247066</v>
      </c>
      <c r="L7" s="63" t="s">
        <v>111</v>
      </c>
      <c r="M7" s="65"/>
      <c r="N7" s="96">
        <v>43739</v>
      </c>
      <c r="O7" s="96">
        <v>43739</v>
      </c>
      <c r="P7" s="65" t="s">
        <v>62</v>
      </c>
      <c r="Q7" s="65" t="s">
        <v>37</v>
      </c>
      <c r="R7" s="65" t="str">
        <f>IFERROR(VLOOKUP('BMP P Tracking Table'!$Q7,Dropdowns!$C$2:$E$15,3,FALSE),"")</f>
        <v>Malletts Bay Direct Drainage</v>
      </c>
      <c r="S7" s="65" t="str">
        <f>IFERROR(VLOOKUP('BMP P Tracking Table'!$R7,Dropdowns!$Q$3:$R$23,2,FALSE),"")</f>
        <v>Malletts Bay</v>
      </c>
      <c r="T7" s="65" t="s">
        <v>66</v>
      </c>
      <c r="U7" s="65" t="s">
        <v>46</v>
      </c>
      <c r="V7" s="98">
        <v>3.75</v>
      </c>
      <c r="W7" s="63" t="s">
        <v>219</v>
      </c>
      <c r="X7" s="126"/>
      <c r="Y7" s="126"/>
      <c r="Z7" s="126"/>
      <c r="AA7" s="126"/>
      <c r="AB7" s="137">
        <v>18.77</v>
      </c>
      <c r="AC7" s="138">
        <v>40800</v>
      </c>
      <c r="AD7" s="126"/>
      <c r="AE7" s="104">
        <f>IFERROR('BMP P Tracking Table'!$V7*VLOOKUP('BMP P Tracking Table'!$R7,'Loading Rates'!$B$1:$L$24,4,FALSE)+IF('BMP P Tracking Table'!$W7="By HSG",'BMP P Tracking Table'!$X7*VLOOKUP('BMP P Tracking Table'!$R7,'Loading Rates'!$B$1:$L$24,6,FALSE)+'BMP P Tracking Table'!$Y7*VLOOKUP('BMP P Tracking Table'!$R7,'Loading Rates'!$B$1:$L$24,7,FALSE)+'BMP P Tracking Table'!$Z7*VLOOKUP('BMP P Tracking Table'!$R7,'Loading Rates'!$B$1:$L$24,8,FALSE)+'BMP P Tracking Table'!$AA7*VLOOKUP('BMP P Tracking Table'!$R7,'Loading Rates'!$B$1:$L$24,9,FALSE),'BMP P Tracking Table'!$AB7*VLOOKUP('BMP P Tracking Table'!$R7,'Loading Rates'!$B$1:$L$24,10,FALSE)),"")</f>
        <v>3.3189899999999999</v>
      </c>
      <c r="AF7" s="104">
        <f>IFERROR(MIN(2,IF('BMP P Tracking Table'!$W7="Total Pervious",(-(3630*'BMP P Tracking Table'!$V7+20.691*'BMP P Tracking Table'!$AB7)+SQRT((3630*'BMP P Tracking Table'!$V7+20.691*'BMP P Tracking Table'!$AB7)^2-(4*(996.798*'BMP P Tracking Table'!$AB7)*-'BMP P Tracking Table'!$AC7)))/(2*(996.798*'BMP P Tracking Table'!$AB7)),IF(SUM('BMP P Tracking Table'!$X7:$AA7)=0,'BMP P Tracking Table'!$AC7/(-3630*'BMP P Tracking Table'!$V7),(-(3630*'BMP P Tracking Table'!$V7+20.691*'BMP P Tracking Table'!$AA7-216.711*'BMP P Tracking Table'!$Z7-83.853*'BMP P Tracking Table'!$Y7-42.834*'BMP P Tracking Table'!$X7)+SQRT((3630*'BMP P Tracking Table'!$V7+20.691*'BMP P Tracking Table'!$AA7-216.711*'BMP P Tracking Table'!$Z7-83.853*'BMP P Tracking Table'!$Y7-42.834*'BMP P Tracking Table'!$X7)^2-(4*(149.919*'BMP P Tracking Table'!$X7+236.676*'BMP P Tracking Table'!$Y7+726*'BMP P Tracking Table'!$Z7+996.798*'BMP P Tracking Table'!$AA7)*-'BMP P Tracking Table'!$AC7)))/(2*(149.919*'BMP P Tracking Table'!$X7+236.676*'BMP P Tracking Table'!$Y7+726*'BMP P Tracking Table'!$Z7+996.798*'BMP P Tracking Table'!$AA7))))),"")</f>
        <v>1.1492135717081842</v>
      </c>
      <c r="AG7" s="104">
        <f>IFERROR((VLOOKUP(CONCATENATE('BMP P Tracking Table'!$U7," ",'BMP P Tracking Table'!$AD7),'Performance Curves'!$C$1:$L$46,_xlfn.SINGLE(MATCH('BMP P Tracking Table'!$AF7,'Performance Curves'!$D$1:$L$1,1))+2,FALSE)-VLOOKUP(CONCATENATE('BMP P Tracking Table'!$U7," ",'BMP P Tracking Table'!$AD7),'Performance Curves'!$C$1:$L$46,_xlfn.SINGLE(MATCH('BMP P Tracking Table'!$AF7,'Performance Curves'!$D$1:$L$1,1))+1,FALSE)),"")</f>
        <v>4.0000000000000036E-2</v>
      </c>
      <c r="AH7" s="104">
        <f>IFERROR(('BMP P Tracking Table'!$AF7-INDEX('Performance Curves'!$D$1:$L$1,1,MATCH('BMP P Tracking Table'!$AF7,'Performance Curves'!$D$1:$L$1,1)))/(INDEX('Performance Curves'!$D$1:$L$1,1,MATCH('BMP P Tracking Table'!$AF7,'Performance Curves'!$D$1:$L$1,1)+1)-INDEX('Performance Curves'!$D$1:$L$1,1,MATCH('BMP P Tracking Table'!$AF7,'Performance Curves'!$D$1:$L$1,1))),"")</f>
        <v>0.29842714341636833</v>
      </c>
      <c r="AI7" s="103">
        <f>IFERROR(IF('BMP P Tracking Table'!$AF7=2,VLOOKUP(CONCATENATE('BMP P Tracking Table'!$U7," ",'BMP P Tracking Table'!$AD7),'Performance Curves'!$C$1:$L$46,_xlfn.SINGLE(MATCH('BMP P Tracking Table'!$AF7,'Performance Curves'!$D$1:$L$1,1))+1,FALSE),'BMP P Tracking Table'!$AG7*'BMP P Tracking Table'!$AH7+VLOOKUP(CONCATENATE('BMP P Tracking Table'!$U7," ",'BMP P Tracking Table'!$AD7),'Performance Curves'!$C$1:$L$46,_xlfn.SINGLE(MATCH('BMP P Tracking Table'!$AF7,'Performance Curves'!$D$1:$L$1,1))+1,FALSE)),"")</f>
        <v>0.62193708573665474</v>
      </c>
      <c r="AJ7" s="104">
        <f>IFERROR('BMP P Tracking Table'!$AI7*'BMP P Tracking Table'!$AE7,"")</f>
        <v>2.0642029681890994</v>
      </c>
      <c r="AK7" s="65"/>
      <c r="AL7" s="65" t="s">
        <v>62</v>
      </c>
      <c r="AM7" s="98"/>
      <c r="AN7" s="64">
        <v>1</v>
      </c>
      <c r="AO7" s="102">
        <f t="shared" si="0"/>
        <v>2.0642029681890994</v>
      </c>
      <c r="AP7" s="127"/>
      <c r="AQ7" s="127"/>
      <c r="AR7" s="127"/>
      <c r="AS7" s="127"/>
      <c r="AT7" s="127"/>
      <c r="AU7" s="127"/>
      <c r="AV7" s="127"/>
      <c r="AW7" s="126"/>
      <c r="AX7" s="131"/>
      <c r="AY7" s="131"/>
      <c r="AZ7" s="128" t="str">
        <f>IF('BMP P Tracking Table'!$AL7="Yes",IF('BMP P Tracking Table'!$AM7="No",'BMP P Tracking Table'!$V7*VLOOKUP('BMP P Tracking Table'!$R7,'Loading Rates'!$B$1:$L$24,4,FALSE)+IF('BMP P Tracking Table'!$W7="By HSG",'BMP P Tracking Table'!$X7*VLOOKUP('BMP P Tracking Table'!$R7,'Loading Rates'!$B$1:$L$24,6,FALSE)+'BMP P Tracking Table'!$Y7*VLOOKUP('BMP P Tracking Table'!$R7,'Loading Rates'!$B$1:$L$24,7,FALSE)+'BMP P Tracking Table'!$Z7*VLOOKUP('BMP P Tracking Table'!$R7,'Loading Rates'!$B$1:$L$24,8,FALSE)+'BMP P Tracking Table'!$AA7*VLOOKUP('BMP P Tracking Table'!$R7,'Loading Rates'!$B$1:$L$24,9,FALSE),'BMP P Tracking Table'!$AB7*VLOOKUP('BMP P Tracking Table'!$R7,'Loading Rates'!$B$1:$L$24,10,FALSE)),'BMP P Tracking Table'!$AP7*VLOOKUP('BMP P Tracking Table'!$R7,'Loading Rates'!$B$1:$L$24,4,FALSE)+IF('BMP P Tracking Table'!$AQ7="By HSG",'BMP P Tracking Table'!$AR7*VLOOKUP('BMP P Tracking Table'!$R7,'Loading Rates'!$B$1:$L$24,6,FALSE)+'BMP P Tracking Table'!$AS7*VLOOKUP('BMP P Tracking Table'!$R7,'Loading Rates'!$B$1:$L$24,7,FALSE)+'BMP P Tracking Table'!$AT7*VLOOKUP('BMP P Tracking Table'!$R7,'Loading Rates'!$B$1:$L$24,8,FALSE)+'BMP P Tracking Table'!$AU7*VLOOKUP('BMP P Tracking Table'!$R7,'Loading Rates'!$B$1:$L$24,9,FALSE),'BMP P Tracking Table'!$AV7*VLOOKUP('BMP P Tracking Table'!$R7,'Loading Rates'!$B$1:$L$24,10,FALSE))),"")</f>
        <v/>
      </c>
      <c r="BA7" s="128">
        <f>IFERROR(IF('BMP P Tracking Table'!$AM7="Yes",MIN(2,IF('BMP P Tracking Table'!$AQ7="Total Pervious",(-(3630*'BMP P Tracking Table'!$AP7+20.691*'BMP P Tracking Table'!$AV7)+SQRT((3630*'BMP P Tracking Table'!$AP7+20.691*'BMP P Tracking Table'!$AV7)^2-(4*(996.798*'BMP P Tracking Table'!$AV7)*-'BMP P Tracking Table'!$AX7)))/(2*(996.798*'BMP P Tracking Table'!$AV7)),IF(SUM('BMP P Tracking Table'!$AR7:$AU7)=0,'BMP P Tracking Table'!$AV7/(-3630*'BMP P Tracking Table'!$AP7),(-(3630*'BMP P Tracking Table'!$AP7+20.691*'BMP P Tracking Table'!$AU7-216.711*'BMP P Tracking Table'!$AT7-83.853*'BMP P Tracking Table'!$AS7-42.834*'BMP P Tracking Table'!$AR7)+SQRT((3630*'BMP P Tracking Table'!$AP7+20.691*'BMP P Tracking Table'!$AU7-216.711*'BMP P Tracking Table'!$AT7-83.853*'BMP P Tracking Table'!$AS7-42.834*'BMP P Tracking Table'!$AR7)^2-(4*(149.919*'BMP P Tracking Table'!$AR7+236.676*'BMP P Tracking Table'!$AS7+726*'BMP P Tracking Table'!$AT7+996.798*'BMP P Tracking Table'!$AU7)*-'BMP P Tracking Table'!$AX7)))/(2*(149.919*'BMP P Tracking Table'!$AR7+236.676*'BMP P Tracking Table'!$AS7+726*'BMP P Tracking Table'!$AT7+996.798*'BMP P Tracking Table'!$AU7))))),MIN(2,IF('BMP P Tracking Table'!$AQ7="Total Pervious",(-(3630*'BMP P Tracking Table'!$V7+20.691*'BMP P Tracking Table'!$AB7)+SQRT((3630*'BMP P Tracking Table'!$V7+20.691*'BMP P Tracking Table'!$AB7)^2-(4*(996.798*'BMP P Tracking Table'!$AB7)*-'BMP P Tracking Table'!$AX7)))/(2*(996.798*'BMP P Tracking Table'!$AB7)),IF(SUM('BMP P Tracking Table'!$X7:$AA7)=0,'BMP P Tracking Table'!$AX7/(-3630*'BMP P Tracking Table'!$V7),(-(3630*'BMP P Tracking Table'!$V7+20.691*'BMP P Tracking Table'!$AA7-216.711*'BMP P Tracking Table'!$Z7-83.853*'BMP P Tracking Table'!$Y7-42.834*'BMP P Tracking Table'!$X7)+SQRT((3630*'BMP P Tracking Table'!$V7+20.691*'BMP P Tracking Table'!$AA7-216.711*'BMP P Tracking Table'!$Z7-83.853*'BMP P Tracking Table'!$Y7-42.834*'BMP P Tracking Table'!$X7)^2-(4*(149.919*'BMP P Tracking Table'!$X7+236.676*'BMP P Tracking Table'!$Y7+726*'BMP P Tracking Table'!$Z7+996.798*'BMP P Tracking Table'!$AA7)*-'BMP P Tracking Table'!$AX7)))/(2*(149.919*'BMP P Tracking Table'!$X7+236.676*'BMP P Tracking Table'!$Y7+726*'BMP P Tracking Table'!$Z7+996.798*'BMP P Tracking Table'!$AA7)))))),"")</f>
        <v>0</v>
      </c>
      <c r="BB7" s="130" t="str">
        <f>IFERROR((VLOOKUP(CONCATENATE('BMP P Tracking Table'!$AW7," ",'BMP P Tracking Table'!$AY7),'Performance Curves'!$C$1:$L$46,_xlfn.SINGLE(MATCH('BMP P Tracking Table'!$BA7,'Performance Curves'!$D$1:$L$1,1))+2,FALSE)-VLOOKUP(CONCATENATE('BMP P Tracking Table'!$AW7," ",'BMP P Tracking Table'!$AY7),'Performance Curves'!$C$1:$L$46,_xlfn.SINGLE(MATCH('BMP P Tracking Table'!$BA7,'Performance Curves'!$D$1:$L$1,1))+1,FALSE)),"")</f>
        <v/>
      </c>
      <c r="BC7" s="130">
        <f>IFERROR(('BMP P Tracking Table'!$BA7-INDEX('Performance Curves'!$D$1:$L$1,1,MATCH('BMP P Tracking Table'!$BA7,'Performance Curves'!$D$1:$L$1,1)))/(INDEX('Performance Curves'!$D$1:$L$1,1,MATCH('BMP P Tracking Table'!$BA7,'Performance Curves'!$D$1:$L$1,1)+1)-INDEX('Performance Curves'!$D$1:$L$1,1,MATCH('BMP P Tracking Table'!$BA7,'Performance Curves'!$D$1:$L$1,1))),"")</f>
        <v>0</v>
      </c>
      <c r="BD7" s="129" t="str" cm="1">
        <f t="array" ref="BD7">IFERROR(IF('BMP P Tracking Table'!$BA7=2,VLOOKUP(CONCATENATE('BMP P Tracking Table'!$AW7," ",'BMP P Tracking Table'!$AY7),'Performance Curves'!$C$1:$L$44,_xlfn.SINGLE(MATCH('BMP P Tracking Table'!$BA7,'Performance Curves'!$D$1:$L$1,1))+1,FALSE),'BMP P Tracking Table'!$BB7*'BMP P Tracking Table'!$BC7+VLOOKUP(CONCATENATE('BMP P Tracking Table'!$AW7," ",'BMP P Tracking Table'!$AY7),'Performance Curves'!$C$1:$L$44,_xlfn.SINGLE(MATCH('BMP P Tracking Table'!$BA7,'Performance Curves'!$D$1:$L$1,1))+1,FALSE)),"")</f>
        <v/>
      </c>
      <c r="BE7" s="128" t="str">
        <f>IFERROR('BMP P Tracking Table'!$BD7*'BMP P Tracking Table'!$AZ7,"")</f>
        <v/>
      </c>
      <c r="BF7" s="127"/>
      <c r="BG7" s="132">
        <f t="shared" si="3"/>
        <v>0</v>
      </c>
      <c r="BH7" t="s">
        <v>345</v>
      </c>
      <c r="BI7" s="36" t="str">
        <f t="shared" si="1"/>
        <v>1‐1074 SN 002</v>
      </c>
      <c r="BJ7" s="36" t="str">
        <f t="shared" si="2"/>
        <v>Fairview Drive/Main St Gravel Wetland</v>
      </c>
    </row>
    <row r="8" spans="1:73" s="133" customFormat="1">
      <c r="A8" s="133" t="s">
        <v>285</v>
      </c>
      <c r="B8" s="134" t="s">
        <v>300</v>
      </c>
      <c r="C8" s="134" t="s">
        <v>575</v>
      </c>
      <c r="D8" s="134" t="s">
        <v>324</v>
      </c>
      <c r="E8" s="124" t="s">
        <v>9</v>
      </c>
      <c r="F8" s="135"/>
      <c r="G8" s="135"/>
      <c r="H8" s="134" t="s">
        <v>300</v>
      </c>
      <c r="I8" s="134"/>
      <c r="J8" s="134" t="s">
        <v>66</v>
      </c>
      <c r="K8" s="136"/>
      <c r="L8" s="124" t="s">
        <v>111</v>
      </c>
      <c r="M8" s="134">
        <v>2020</v>
      </c>
      <c r="N8" s="231">
        <v>44135</v>
      </c>
      <c r="O8" s="134"/>
      <c r="P8" s="134"/>
      <c r="Q8" s="134" t="s">
        <v>37</v>
      </c>
      <c r="R8" s="134" t="str">
        <f>IFERROR(VLOOKUP('BMP P Tracking Table'!$Q8,Dropdowns!$C$2:$E$15,3,FALSE),"")</f>
        <v>Malletts Bay Direct Drainage</v>
      </c>
      <c r="S8" s="134" t="str">
        <f>IFERROR(VLOOKUP('BMP P Tracking Table'!$R8,Dropdowns!$Q$3:$R$23,2,FALSE),"")</f>
        <v>Malletts Bay</v>
      </c>
      <c r="T8" s="134" t="s">
        <v>66</v>
      </c>
      <c r="U8" s="134" t="s">
        <v>164</v>
      </c>
      <c r="V8" s="137">
        <v>4.0409600000000001</v>
      </c>
      <c r="W8" s="124" t="s">
        <v>219</v>
      </c>
      <c r="X8" s="134"/>
      <c r="Y8" s="134"/>
      <c r="Z8" s="134"/>
      <c r="AA8" s="134"/>
      <c r="AB8" s="137">
        <v>28.759039999999999</v>
      </c>
      <c r="AC8" s="138">
        <v>38811.96</v>
      </c>
      <c r="AD8" s="134" t="s">
        <v>208</v>
      </c>
      <c r="AE8" s="139">
        <f>IFERROR('BMP P Tracking Table'!$V8*VLOOKUP('BMP P Tracking Table'!$R8,'Loading Rates'!$B$1:$L$24,4,FALSE)+IF('BMP P Tracking Table'!$W8="By HSG",'BMP P Tracking Table'!$X8*VLOOKUP('BMP P Tracking Table'!$R8,'Loading Rates'!$B$1:$L$24,6,FALSE)+'BMP P Tracking Table'!$Y8*VLOOKUP('BMP P Tracking Table'!$R8,'Loading Rates'!$B$1:$L$24,7,FALSE)+'BMP P Tracking Table'!$Z8*VLOOKUP('BMP P Tracking Table'!$R8,'Loading Rates'!$B$1:$L$24,8,FALSE)+'BMP P Tracking Table'!$AA8*VLOOKUP('BMP P Tracking Table'!$R8,'Loading Rates'!$B$1:$L$24,9,FALSE),'BMP P Tracking Table'!$AB8*VLOOKUP('BMP P Tracking Table'!$R8,'Loading Rates'!$B$1:$L$24,10,FALSE)),"")</f>
        <v>3.6789004799999998</v>
      </c>
      <c r="AF8" s="139">
        <f>IFERROR(MIN(2,IF('BMP P Tracking Table'!$W8="Total Pervious",(-(3630*'BMP P Tracking Table'!$V8+20.691*'BMP P Tracking Table'!$AB8)+SQRT((3630*'BMP P Tracking Table'!$V8+20.691*'BMP P Tracking Table'!$AB8)^2-(4*(996.798*'BMP P Tracking Table'!$AB8)*-'BMP P Tracking Table'!$AC8)))/(2*(996.798*'BMP P Tracking Table'!$AB8)),IF(SUM('BMP P Tracking Table'!$X8:$AA8)=0,'BMP P Tracking Table'!$AC8/(-3630*'BMP P Tracking Table'!$V8),(-(3630*'BMP P Tracking Table'!$V8+20.691*'BMP P Tracking Table'!$AA8-216.711*'BMP P Tracking Table'!$Z8-83.853*'BMP P Tracking Table'!$Y8-42.834*'BMP P Tracking Table'!$X8)+SQRT((3630*'BMP P Tracking Table'!$V8+20.691*'BMP P Tracking Table'!$AA8-216.711*'BMP P Tracking Table'!$Z8-83.853*'BMP P Tracking Table'!$Y8-42.834*'BMP P Tracking Table'!$X8)^2-(4*(149.919*'BMP P Tracking Table'!$X8+236.676*'BMP P Tracking Table'!$Y8+726*'BMP P Tracking Table'!$Z8+996.798*'BMP P Tracking Table'!$AA8)*-'BMP P Tracking Table'!$AC8)))/(2*(149.919*'BMP P Tracking Table'!$X8+236.676*'BMP P Tracking Table'!$Y8+726*'BMP P Tracking Table'!$Z8+996.798*'BMP P Tracking Table'!$AA8))))),"")</f>
        <v>0.92741111643700047</v>
      </c>
      <c r="AG8" s="139">
        <f>IFERROR((VLOOKUP(CONCATENATE('BMP P Tracking Table'!$U8," ",'BMP P Tracking Table'!$AD8),'Performance Curves'!$C$1:$L$46,_xlfn.SINGLE(MATCH('BMP P Tracking Table'!$AF8,'Performance Curves'!$D$1:$L$1,1))+2,FALSE)-VLOOKUP(CONCATENATE('BMP P Tracking Table'!$U8," ",'BMP P Tracking Table'!$AD8),'Performance Curves'!$C$1:$L$46,_xlfn.SINGLE(MATCH('BMP P Tracking Table'!$AF8,'Performance Curves'!$D$1:$L$1,1))+1,FALSE)),"")</f>
        <v>4.9999999999999933E-2</v>
      </c>
      <c r="AH8" s="139">
        <f>IFERROR(('BMP P Tracking Table'!$AF8-INDEX('Performance Curves'!$D$1:$L$1,1,MATCH('BMP P Tracking Table'!$AF8,'Performance Curves'!$D$1:$L$1,1)))/(INDEX('Performance Curves'!$D$1:$L$1,1,MATCH('BMP P Tracking Table'!$AF8,'Performance Curves'!$D$1:$L$1,1)+1)-INDEX('Performance Curves'!$D$1:$L$1,1,MATCH('BMP P Tracking Table'!$AF8,'Performance Curves'!$D$1:$L$1,1))),"")</f>
        <v>0.63705558218500224</v>
      </c>
      <c r="AI8" s="140">
        <f>IFERROR(IF('BMP P Tracking Table'!$AF8=2,VLOOKUP(CONCATENATE('BMP P Tracking Table'!$U8," ",'BMP P Tracking Table'!$AD8),'Performance Curves'!$C$1:$L$46,_xlfn.SINGLE(MATCH('BMP P Tracking Table'!$AF8,'Performance Curves'!$D$1:$L$1,1))+1,FALSE),'BMP P Tracking Table'!$AG8*'BMP P Tracking Table'!$AH8+VLOOKUP(CONCATENATE('BMP P Tracking Table'!$U8," ",'BMP P Tracking Table'!$AD8),'Performance Curves'!$C$1:$L$46,_xlfn.SINGLE(MATCH('BMP P Tracking Table'!$AF8,'Performance Curves'!$D$1:$L$1,1))+1,FALSE)),"")</f>
        <v>0.92185277910925012</v>
      </c>
      <c r="AJ8" s="139">
        <f>IFERROR('BMP P Tracking Table'!$AI8*'BMP P Tracking Table'!$AE8,"")</f>
        <v>3.3914046315543542</v>
      </c>
      <c r="AK8" s="134"/>
      <c r="AL8" s="134" t="s">
        <v>62</v>
      </c>
      <c r="AM8" s="137"/>
      <c r="AN8" s="141">
        <v>1</v>
      </c>
      <c r="AO8" s="142">
        <f t="shared" si="0"/>
        <v>3.3914046315543542</v>
      </c>
      <c r="AP8" s="137"/>
      <c r="AQ8" s="137"/>
      <c r="AR8" s="137"/>
      <c r="AS8" s="137"/>
      <c r="AT8" s="137"/>
      <c r="AU8" s="137"/>
      <c r="AV8" s="137"/>
      <c r="AW8" s="134"/>
      <c r="AX8" s="143"/>
      <c r="AY8" s="143"/>
      <c r="AZ8" s="139" t="str">
        <f>IF('BMP P Tracking Table'!$AL8="Yes",IF('BMP P Tracking Table'!$AM8="No",'BMP P Tracking Table'!$V8*VLOOKUP('BMP P Tracking Table'!$R8,'Loading Rates'!$B$1:$L$24,4,FALSE)+IF('BMP P Tracking Table'!$W8="By HSG",'BMP P Tracking Table'!$X8*VLOOKUP('BMP P Tracking Table'!$R8,'Loading Rates'!$B$1:$L$24,6,FALSE)+'BMP P Tracking Table'!$Y8*VLOOKUP('BMP P Tracking Table'!$R8,'Loading Rates'!$B$1:$L$24,7,FALSE)+'BMP P Tracking Table'!$Z8*VLOOKUP('BMP P Tracking Table'!$R8,'Loading Rates'!$B$1:$L$24,8,FALSE)+'BMP P Tracking Table'!$AA8*VLOOKUP('BMP P Tracking Table'!$R8,'Loading Rates'!$B$1:$L$24,9,FALSE),'BMP P Tracking Table'!$AB8*VLOOKUP('BMP P Tracking Table'!$R8,'Loading Rates'!$B$1:$L$24,10,FALSE)),'BMP P Tracking Table'!$AP8*VLOOKUP('BMP P Tracking Table'!$R8,'Loading Rates'!$B$1:$L$24,4,FALSE)+IF('BMP P Tracking Table'!$AQ8="By HSG",'BMP P Tracking Table'!$AR8*VLOOKUP('BMP P Tracking Table'!$R8,'Loading Rates'!$B$1:$L$24,6,FALSE)+'BMP P Tracking Table'!$AS8*VLOOKUP('BMP P Tracking Table'!$R8,'Loading Rates'!$B$1:$L$24,7,FALSE)+'BMP P Tracking Table'!$AT8*VLOOKUP('BMP P Tracking Table'!$R8,'Loading Rates'!$B$1:$L$24,8,FALSE)+'BMP P Tracking Table'!$AU8*VLOOKUP('BMP P Tracking Table'!$R8,'Loading Rates'!$B$1:$L$24,9,FALSE),'BMP P Tracking Table'!$AV8*VLOOKUP('BMP P Tracking Table'!$R8,'Loading Rates'!$B$1:$L$24,10,FALSE))),"")</f>
        <v/>
      </c>
      <c r="BA8" s="139">
        <f>IFERROR(IF('BMP P Tracking Table'!$AM8="Yes",MIN(2,IF('BMP P Tracking Table'!$AQ8="Total Pervious",(-(3630*'BMP P Tracking Table'!$AP8+20.691*'BMP P Tracking Table'!$AV8)+SQRT((3630*'BMP P Tracking Table'!$AP8+20.691*'BMP P Tracking Table'!$AV8)^2-(4*(996.798*'BMP P Tracking Table'!$AV8)*-'BMP P Tracking Table'!$AX8)))/(2*(996.798*'BMP P Tracking Table'!$AV8)),IF(SUM('BMP P Tracking Table'!$AR8:$AU8)=0,'BMP P Tracking Table'!$AV8/(-3630*'BMP P Tracking Table'!$AP8),(-(3630*'BMP P Tracking Table'!$AP8+20.691*'BMP P Tracking Table'!$AU8-216.711*'BMP P Tracking Table'!$AT8-83.853*'BMP P Tracking Table'!$AS8-42.834*'BMP P Tracking Table'!$AR8)+SQRT((3630*'BMP P Tracking Table'!$AP8+20.691*'BMP P Tracking Table'!$AU8-216.711*'BMP P Tracking Table'!$AT8-83.853*'BMP P Tracking Table'!$AS8-42.834*'BMP P Tracking Table'!$AR8)^2-(4*(149.919*'BMP P Tracking Table'!$AR8+236.676*'BMP P Tracking Table'!$AS8+726*'BMP P Tracking Table'!$AT8+996.798*'BMP P Tracking Table'!$AU8)*-'BMP P Tracking Table'!$AX8)))/(2*(149.919*'BMP P Tracking Table'!$AR8+236.676*'BMP P Tracking Table'!$AS8+726*'BMP P Tracking Table'!$AT8+996.798*'BMP P Tracking Table'!$AU8))))),MIN(2,IF('BMP P Tracking Table'!$AQ8="Total Pervious",(-(3630*'BMP P Tracking Table'!$V8+20.691*'BMP P Tracking Table'!$AB8)+SQRT((3630*'BMP P Tracking Table'!$V8+20.691*'BMP P Tracking Table'!$AB8)^2-(4*(996.798*'BMP P Tracking Table'!$AB8)*-'BMP P Tracking Table'!$AX8)))/(2*(996.798*'BMP P Tracking Table'!$AB8)),IF(SUM('BMP P Tracking Table'!$X8:$AA8)=0,'BMP P Tracking Table'!$AX8/(-3630*'BMP P Tracking Table'!$V8),(-(3630*'BMP P Tracking Table'!$V8+20.691*'BMP P Tracking Table'!$AA8-216.711*'BMP P Tracking Table'!$Z8-83.853*'BMP P Tracking Table'!$Y8-42.834*'BMP P Tracking Table'!$X8)+SQRT((3630*'BMP P Tracking Table'!$V8+20.691*'BMP P Tracking Table'!$AA8-216.711*'BMP P Tracking Table'!$Z8-83.853*'BMP P Tracking Table'!$Y8-42.834*'BMP P Tracking Table'!$X8)^2-(4*(149.919*'BMP P Tracking Table'!$X8+236.676*'BMP P Tracking Table'!$Y8+726*'BMP P Tracking Table'!$Z8+996.798*'BMP P Tracking Table'!$AA8)*-'BMP P Tracking Table'!$AX8)))/(2*(149.919*'BMP P Tracking Table'!$X8+236.676*'BMP P Tracking Table'!$Y8+726*'BMP P Tracking Table'!$Z8+996.798*'BMP P Tracking Table'!$AA8)))))),"")</f>
        <v>0</v>
      </c>
      <c r="BB8" s="142" t="str">
        <f>IFERROR((VLOOKUP(CONCATENATE('BMP P Tracking Table'!$AW8," ",'BMP P Tracking Table'!$AY8),'Performance Curves'!$C$1:$L$46,_xlfn.SINGLE(MATCH('BMP P Tracking Table'!$BA8,'Performance Curves'!$D$1:$L$1,1))+2,FALSE)-VLOOKUP(CONCATENATE('BMP P Tracking Table'!$AW8," ",'BMP P Tracking Table'!$AY8),'Performance Curves'!$C$1:$L$46,_xlfn.SINGLE(MATCH('BMP P Tracking Table'!$BA8,'Performance Curves'!$D$1:$L$1,1))+1,FALSE)),"")</f>
        <v/>
      </c>
      <c r="BC8" s="142">
        <f>IFERROR(('BMP P Tracking Table'!$BA8-INDEX('Performance Curves'!$D$1:$L$1,1,MATCH('BMP P Tracking Table'!$BA8,'Performance Curves'!$D$1:$L$1,1)))/(INDEX('Performance Curves'!$D$1:$L$1,1,MATCH('BMP P Tracking Table'!$BA8,'Performance Curves'!$D$1:$L$1,1)+1)-INDEX('Performance Curves'!$D$1:$L$1,1,MATCH('BMP P Tracking Table'!$BA8,'Performance Curves'!$D$1:$L$1,1))),"")</f>
        <v>0</v>
      </c>
      <c r="BD8" s="140" t="str" cm="1">
        <f t="array" ref="BD8">IFERROR(IF('BMP P Tracking Table'!$BA8=2,VLOOKUP(CONCATENATE('BMP P Tracking Table'!$AW8," ",'BMP P Tracking Table'!$AY8),'Performance Curves'!$C$1:$L$44,_xlfn.SINGLE(MATCH('BMP P Tracking Table'!$BA8,'Performance Curves'!$D$1:$L$1,1))+1,FALSE),'BMP P Tracking Table'!$BB8*'BMP P Tracking Table'!$BC8+VLOOKUP(CONCATENATE('BMP P Tracking Table'!$AW8," ",'BMP P Tracking Table'!$AY8),'Performance Curves'!$C$1:$L$44,_xlfn.SINGLE(MATCH('BMP P Tracking Table'!$BA8,'Performance Curves'!$D$1:$L$1,1))+1,FALSE)),"")</f>
        <v/>
      </c>
      <c r="BE8" s="139" t="str">
        <f>IFERROR('BMP P Tracking Table'!$BD8*'BMP P Tracking Table'!$AZ8,"")</f>
        <v/>
      </c>
      <c r="BF8" s="137"/>
      <c r="BG8" s="144">
        <f t="shared" si="3"/>
        <v>0</v>
      </c>
      <c r="BH8" s="133" t="s">
        <v>336</v>
      </c>
      <c r="BI8" s="36" t="str">
        <f t="shared" si="1"/>
        <v>1‐1186</v>
      </c>
      <c r="BJ8" s="36" t="str">
        <f t="shared" si="2"/>
        <v>Sydney Drive - Woodlands II‐ Lang Farm Parcel</v>
      </c>
    </row>
    <row r="9" spans="1:73">
      <c r="A9" s="36" t="s">
        <v>286</v>
      </c>
      <c r="B9" s="65" t="s">
        <v>301</v>
      </c>
      <c r="C9" s="65" t="s">
        <v>784</v>
      </c>
      <c r="D9" s="65" t="s">
        <v>324</v>
      </c>
      <c r="E9" s="63" t="s">
        <v>9</v>
      </c>
      <c r="F9" s="94"/>
      <c r="G9" s="94"/>
      <c r="H9" s="65" t="s">
        <v>330</v>
      </c>
      <c r="I9" s="65"/>
      <c r="J9" s="65" t="s">
        <v>66</v>
      </c>
      <c r="K9" s="95"/>
      <c r="L9" s="65" t="s">
        <v>179</v>
      </c>
      <c r="M9" s="65">
        <v>2022</v>
      </c>
      <c r="N9" s="65"/>
      <c r="O9" s="65"/>
      <c r="P9" s="65"/>
      <c r="Q9" s="65" t="s">
        <v>37</v>
      </c>
      <c r="R9" s="65" t="str">
        <f>IFERROR(VLOOKUP('BMP P Tracking Table'!$Q9,Dropdowns!$C$2:$E$15,3,FALSE),"")</f>
        <v>Malletts Bay Direct Drainage</v>
      </c>
      <c r="S9" s="65" t="str">
        <f>IFERROR(VLOOKUP('BMP P Tracking Table'!$R9,Dropdowns!$Q$3:$R$23,2,FALSE),"")</f>
        <v>Malletts Bay</v>
      </c>
      <c r="T9" s="65" t="s">
        <v>66</v>
      </c>
      <c r="U9" s="65" t="s">
        <v>163</v>
      </c>
      <c r="V9" s="137">
        <v>1.83</v>
      </c>
      <c r="W9" s="63" t="s">
        <v>219</v>
      </c>
      <c r="X9" s="65"/>
      <c r="Y9" s="65"/>
      <c r="Z9" s="65"/>
      <c r="AA9" s="65"/>
      <c r="AB9" s="98">
        <v>0.67</v>
      </c>
      <c r="AC9" s="97">
        <v>13285.78</v>
      </c>
      <c r="AD9" s="65"/>
      <c r="AE9" s="104">
        <f>IFERROR('BMP P Tracking Table'!$V9*VLOOKUP('BMP P Tracking Table'!$R9,'Loading Rates'!$B$1:$L$24,4,FALSE)+IF('BMP P Tracking Table'!$W9="By HSG",'BMP P Tracking Table'!$X9*VLOOKUP('BMP P Tracking Table'!$R9,'Loading Rates'!$B$1:$L$24,6,FALSE)+'BMP P Tracking Table'!$Y9*VLOOKUP('BMP P Tracking Table'!$R9,'Loading Rates'!$B$1:$L$24,7,FALSE)+'BMP P Tracking Table'!$Z9*VLOOKUP('BMP P Tracking Table'!$R9,'Loading Rates'!$B$1:$L$24,8,FALSE)+'BMP P Tracking Table'!$AA9*VLOOKUP('BMP P Tracking Table'!$R9,'Loading Rates'!$B$1:$L$24,9,FALSE),'BMP P Tracking Table'!$AB9*VLOOKUP('BMP P Tracking Table'!$R9,'Loading Rates'!$B$1:$L$24,10,FALSE)),"")</f>
        <v>1.51779</v>
      </c>
      <c r="AF9" s="104">
        <f>IFERROR(MIN(2,IF('BMP P Tracking Table'!$W9="Total Pervious",(-(3630*'BMP P Tracking Table'!$V9+20.691*'BMP P Tracking Table'!$AB9)+SQRT((3630*'BMP P Tracking Table'!$V9+20.691*'BMP P Tracking Table'!$AB9)^2-(4*(996.798*'BMP P Tracking Table'!$AB9)*-'BMP P Tracking Table'!$AC9)))/(2*(996.798*'BMP P Tracking Table'!$AB9)),IF(SUM('BMP P Tracking Table'!$X9:$AA9)=0,'BMP P Tracking Table'!$AC9/(-3630*'BMP P Tracking Table'!$V9),(-(3630*'BMP P Tracking Table'!$V9+20.691*'BMP P Tracking Table'!$AA9-216.711*'BMP P Tracking Table'!$Z9-83.853*'BMP P Tracking Table'!$Y9-42.834*'BMP P Tracking Table'!$X9)+SQRT((3630*'BMP P Tracking Table'!$V9+20.691*'BMP P Tracking Table'!$AA9-216.711*'BMP P Tracking Table'!$Z9-83.853*'BMP P Tracking Table'!$Y9-42.834*'BMP P Tracking Table'!$X9)^2-(4*(149.919*'BMP P Tracking Table'!$X9+236.676*'BMP P Tracking Table'!$Y9+726*'BMP P Tracking Table'!$Z9+996.798*'BMP P Tracking Table'!$AA9)*-'BMP P Tracking Table'!$AC9)))/(2*(149.919*'BMP P Tracking Table'!$X9+236.676*'BMP P Tracking Table'!$Y9+726*'BMP P Tracking Table'!$Z9+996.798*'BMP P Tracking Table'!$AA9))))),"")</f>
        <v>1.7043875960304933</v>
      </c>
      <c r="AG9" s="104">
        <f>IFERROR((VLOOKUP(CONCATENATE('BMP P Tracking Table'!$U9," ",'BMP P Tracking Table'!$AD9),'Performance Curves'!$C$1:$L$46,_xlfn.SINGLE(MATCH('BMP P Tracking Table'!$AF9,'Performance Curves'!$D$1:$L$1,1))+2,FALSE)-VLOOKUP(CONCATENATE('BMP P Tracking Table'!$U9," ",'BMP P Tracking Table'!$AD9),'Performance Curves'!$C$1:$L$46,_xlfn.SINGLE(MATCH('BMP P Tracking Table'!$AF9,'Performance Curves'!$D$1:$L$1,1))+1,FALSE)),"")</f>
        <v>5.0000000000000044E-2</v>
      </c>
      <c r="AH9" s="104">
        <f>IFERROR(('BMP P Tracking Table'!$AF9-INDEX('Performance Curves'!$D$1:$L$1,1,MATCH('BMP P Tracking Table'!$AF9,'Performance Curves'!$D$1:$L$1,1)))/(INDEX('Performance Curves'!$D$1:$L$1,1,MATCH('BMP P Tracking Table'!$AF9,'Performance Curves'!$D$1:$L$1,1)+1)-INDEX('Performance Curves'!$D$1:$L$1,1,MATCH('BMP P Tracking Table'!$AF9,'Performance Curves'!$D$1:$L$1,1))),"")</f>
        <v>0.40877519206098656</v>
      </c>
      <c r="AI9" s="103">
        <f>IFERROR(IF('BMP P Tracking Table'!$AF9=2,VLOOKUP(CONCATENATE('BMP P Tracking Table'!$U9," ",'BMP P Tracking Table'!$AD9),'Performance Curves'!$C$1:$L$46,_xlfn.SINGLE(MATCH('BMP P Tracking Table'!$AF9,'Performance Curves'!$D$1:$L$1,1))+1,FALSE),'BMP P Tracking Table'!$AG9*'BMP P Tracking Table'!$AH9+VLOOKUP(CONCATENATE('BMP P Tracking Table'!$U9," ",'BMP P Tracking Table'!$AD9),'Performance Curves'!$C$1:$L$46,_xlfn.SINGLE(MATCH('BMP P Tracking Table'!$AF9,'Performance Curves'!$D$1:$L$1,1))+1,FALSE)),"")</f>
        <v>0.60043875960304927</v>
      </c>
      <c r="AJ9" s="104">
        <f>IFERROR('BMP P Tracking Table'!$AI9*'BMP P Tracking Table'!$AE9,"")</f>
        <v>0.91133994493791215</v>
      </c>
      <c r="AK9" s="65"/>
      <c r="AL9" s="65" t="s">
        <v>62</v>
      </c>
      <c r="AM9" s="98"/>
      <c r="AN9" s="64">
        <v>1</v>
      </c>
      <c r="AO9" s="102">
        <f t="shared" si="0"/>
        <v>0.91133994493791215</v>
      </c>
      <c r="AP9" s="98"/>
      <c r="AQ9" s="98"/>
      <c r="AR9" s="98"/>
      <c r="AS9" s="98"/>
      <c r="AT9" s="98"/>
      <c r="AU9" s="98"/>
      <c r="AV9" s="98"/>
      <c r="AW9" s="65"/>
      <c r="AX9" s="99"/>
      <c r="AY9" s="99"/>
      <c r="AZ9" s="104" t="str">
        <f>IF('BMP P Tracking Table'!$AL9="Yes",IF('BMP P Tracking Table'!$AM9="No",'BMP P Tracking Table'!$V9*VLOOKUP('BMP P Tracking Table'!$R9,'Loading Rates'!$B$1:$L$24,4,FALSE)+IF('BMP P Tracking Table'!$W9="By HSG",'BMP P Tracking Table'!$X9*VLOOKUP('BMP P Tracking Table'!$R9,'Loading Rates'!$B$1:$L$24,6,FALSE)+'BMP P Tracking Table'!$Y9*VLOOKUP('BMP P Tracking Table'!$R9,'Loading Rates'!$B$1:$L$24,7,FALSE)+'BMP P Tracking Table'!$Z9*VLOOKUP('BMP P Tracking Table'!$R9,'Loading Rates'!$B$1:$L$24,8,FALSE)+'BMP P Tracking Table'!$AA9*VLOOKUP('BMP P Tracking Table'!$R9,'Loading Rates'!$B$1:$L$24,9,FALSE),'BMP P Tracking Table'!$AB9*VLOOKUP('BMP P Tracking Table'!$R9,'Loading Rates'!$B$1:$L$24,10,FALSE)),'BMP P Tracking Table'!$AP9*VLOOKUP('BMP P Tracking Table'!$R9,'Loading Rates'!$B$1:$L$24,4,FALSE)+IF('BMP P Tracking Table'!$AQ9="By HSG",'BMP P Tracking Table'!$AR9*VLOOKUP('BMP P Tracking Table'!$R9,'Loading Rates'!$B$1:$L$24,6,FALSE)+'BMP P Tracking Table'!$AS9*VLOOKUP('BMP P Tracking Table'!$R9,'Loading Rates'!$B$1:$L$24,7,FALSE)+'BMP P Tracking Table'!$AT9*VLOOKUP('BMP P Tracking Table'!$R9,'Loading Rates'!$B$1:$L$24,8,FALSE)+'BMP P Tracking Table'!$AU9*VLOOKUP('BMP P Tracking Table'!$R9,'Loading Rates'!$B$1:$L$24,9,FALSE),'BMP P Tracking Table'!$AV9*VLOOKUP('BMP P Tracking Table'!$R9,'Loading Rates'!$B$1:$L$24,10,FALSE))),"")</f>
        <v/>
      </c>
      <c r="BA9" s="104">
        <f>IFERROR(IF('BMP P Tracking Table'!$AM9="Yes",MIN(2,IF('BMP P Tracking Table'!$AQ9="Total Pervious",(-(3630*'BMP P Tracking Table'!$AP9+20.691*'BMP P Tracking Table'!$AV9)+SQRT((3630*'BMP P Tracking Table'!$AP9+20.691*'BMP P Tracking Table'!$AV9)^2-(4*(996.798*'BMP P Tracking Table'!$AV9)*-'BMP P Tracking Table'!$AX9)))/(2*(996.798*'BMP P Tracking Table'!$AV9)),IF(SUM('BMP P Tracking Table'!$AR9:$AU9)=0,'BMP P Tracking Table'!$AV9/(-3630*'BMP P Tracking Table'!$AP9),(-(3630*'BMP P Tracking Table'!$AP9+20.691*'BMP P Tracking Table'!$AU9-216.711*'BMP P Tracking Table'!$AT9-83.853*'BMP P Tracking Table'!$AS9-42.834*'BMP P Tracking Table'!$AR9)+SQRT((3630*'BMP P Tracking Table'!$AP9+20.691*'BMP P Tracking Table'!$AU9-216.711*'BMP P Tracking Table'!$AT9-83.853*'BMP P Tracking Table'!$AS9-42.834*'BMP P Tracking Table'!$AR9)^2-(4*(149.919*'BMP P Tracking Table'!$AR9+236.676*'BMP P Tracking Table'!$AS9+726*'BMP P Tracking Table'!$AT9+996.798*'BMP P Tracking Table'!$AU9)*-'BMP P Tracking Table'!$AX9)))/(2*(149.919*'BMP P Tracking Table'!$AR9+236.676*'BMP P Tracking Table'!$AS9+726*'BMP P Tracking Table'!$AT9+996.798*'BMP P Tracking Table'!$AU9))))),MIN(2,IF('BMP P Tracking Table'!$AQ9="Total Pervious",(-(3630*'BMP P Tracking Table'!$V9+20.691*'BMP P Tracking Table'!$AB9)+SQRT((3630*'BMP P Tracking Table'!$V9+20.691*'BMP P Tracking Table'!$AB9)^2-(4*(996.798*'BMP P Tracking Table'!$AB9)*-'BMP P Tracking Table'!$AX9)))/(2*(996.798*'BMP P Tracking Table'!$AB9)),IF(SUM('BMP P Tracking Table'!$X9:$AA9)=0,'BMP P Tracking Table'!$AX9/(-3630*'BMP P Tracking Table'!$V9),(-(3630*'BMP P Tracking Table'!$V9+20.691*'BMP P Tracking Table'!$AA9-216.711*'BMP P Tracking Table'!$Z9-83.853*'BMP P Tracking Table'!$Y9-42.834*'BMP P Tracking Table'!$X9)+SQRT((3630*'BMP P Tracking Table'!$V9+20.691*'BMP P Tracking Table'!$AA9-216.711*'BMP P Tracking Table'!$Z9-83.853*'BMP P Tracking Table'!$Y9-42.834*'BMP P Tracking Table'!$X9)^2-(4*(149.919*'BMP P Tracking Table'!$X9+236.676*'BMP P Tracking Table'!$Y9+726*'BMP P Tracking Table'!$Z9+996.798*'BMP P Tracking Table'!$AA9)*-'BMP P Tracking Table'!$AX9)))/(2*(149.919*'BMP P Tracking Table'!$X9+236.676*'BMP P Tracking Table'!$Y9+726*'BMP P Tracking Table'!$Z9+996.798*'BMP P Tracking Table'!$AA9)))))),"")</f>
        <v>0</v>
      </c>
      <c r="BB9" s="102" t="str">
        <f>IFERROR((VLOOKUP(CONCATENATE('BMP P Tracking Table'!$AW9," ",'BMP P Tracking Table'!$AY9),'Performance Curves'!$C$1:$L$46,_xlfn.SINGLE(MATCH('BMP P Tracking Table'!$BA9,'Performance Curves'!$D$1:$L$1,1))+2,FALSE)-VLOOKUP(CONCATENATE('BMP P Tracking Table'!$AW9," ",'BMP P Tracking Table'!$AY9),'Performance Curves'!$C$1:$L$46,_xlfn.SINGLE(MATCH('BMP P Tracking Table'!$BA9,'Performance Curves'!$D$1:$L$1,1))+1,FALSE)),"")</f>
        <v/>
      </c>
      <c r="BC9" s="102">
        <f>IFERROR(('BMP P Tracking Table'!$BA9-INDEX('Performance Curves'!$D$1:$L$1,1,MATCH('BMP P Tracking Table'!$BA9,'Performance Curves'!$D$1:$L$1,1)))/(INDEX('Performance Curves'!$D$1:$L$1,1,MATCH('BMP P Tracking Table'!$BA9,'Performance Curves'!$D$1:$L$1,1)+1)-INDEX('Performance Curves'!$D$1:$L$1,1,MATCH('BMP P Tracking Table'!$BA9,'Performance Curves'!$D$1:$L$1,1))),"")</f>
        <v>0</v>
      </c>
      <c r="BD9" s="103" t="str" cm="1">
        <f t="array" ref="BD9">IFERROR(IF('BMP P Tracking Table'!$BA9=2,VLOOKUP(CONCATENATE('BMP P Tracking Table'!$AW9," ",'BMP P Tracking Table'!$AY9),'Performance Curves'!$C$1:$L$44,_xlfn.SINGLE(MATCH('BMP P Tracking Table'!$BA9,'Performance Curves'!$D$1:$L$1,1))+1,FALSE),'BMP P Tracking Table'!$BB9*'BMP P Tracking Table'!$BC9+VLOOKUP(CONCATENATE('BMP P Tracking Table'!$AW9," ",'BMP P Tracking Table'!$AY9),'Performance Curves'!$C$1:$L$44,_xlfn.SINGLE(MATCH('BMP P Tracking Table'!$BA9,'Performance Curves'!$D$1:$L$1,1))+1,FALSE)),"")</f>
        <v/>
      </c>
      <c r="BE9" s="104" t="str">
        <f>IFERROR('BMP P Tracking Table'!$BD9*'BMP P Tracking Table'!$AZ9,"")</f>
        <v/>
      </c>
      <c r="BF9" s="98"/>
      <c r="BG9" s="37">
        <f t="shared" si="3"/>
        <v>0</v>
      </c>
      <c r="BH9" s="36" t="s">
        <v>337</v>
      </c>
      <c r="BI9" s="36" t="str">
        <f t="shared" si="1"/>
        <v>1‐1319_p1_South</v>
      </c>
      <c r="BJ9" s="36" t="str">
        <f t="shared" si="2"/>
        <v>Church of Jesus Christ of Latter Day Saints, South Vault</v>
      </c>
      <c r="BS9" s="36"/>
    </row>
    <row r="10" spans="1:73">
      <c r="A10" s="36" t="s">
        <v>287</v>
      </c>
      <c r="B10" s="65" t="s">
        <v>302</v>
      </c>
      <c r="C10" s="65" t="s">
        <v>785</v>
      </c>
      <c r="D10" s="65" t="s">
        <v>324</v>
      </c>
      <c r="E10" s="63" t="s">
        <v>9</v>
      </c>
      <c r="F10" s="94"/>
      <c r="G10" s="94"/>
      <c r="H10" s="65" t="s">
        <v>330</v>
      </c>
      <c r="I10" s="65"/>
      <c r="J10" s="65" t="s">
        <v>66</v>
      </c>
      <c r="K10" s="95"/>
      <c r="L10" s="65" t="s">
        <v>179</v>
      </c>
      <c r="M10" s="65">
        <v>2022</v>
      </c>
      <c r="N10" s="65"/>
      <c r="O10" s="65"/>
      <c r="P10" s="65"/>
      <c r="Q10" s="65" t="s">
        <v>37</v>
      </c>
      <c r="R10" s="65" t="str">
        <f>IFERROR(VLOOKUP('BMP P Tracking Table'!$Q10,Dropdowns!$C$2:$E$15,3,FALSE),"")</f>
        <v>Malletts Bay Direct Drainage</v>
      </c>
      <c r="S10" s="65" t="str">
        <f>IFERROR(VLOOKUP('BMP P Tracking Table'!$R10,Dropdowns!$Q$3:$R$23,2,FALSE),"")</f>
        <v>Malletts Bay</v>
      </c>
      <c r="T10" s="65" t="s">
        <v>62</v>
      </c>
      <c r="U10" s="65" t="s">
        <v>794</v>
      </c>
      <c r="V10" s="137">
        <v>10.35</v>
      </c>
      <c r="W10" s="63" t="s">
        <v>219</v>
      </c>
      <c r="X10" s="65"/>
      <c r="Y10" s="65"/>
      <c r="Z10" s="65"/>
      <c r="AA10" s="65"/>
      <c r="AB10" s="98">
        <v>15.55</v>
      </c>
      <c r="AC10" s="97">
        <v>74400.479999999996</v>
      </c>
      <c r="AD10" s="65"/>
      <c r="AE10" s="104">
        <f>IFERROR('BMP P Tracking Table'!$V10*VLOOKUP('BMP P Tracking Table'!$R10,'Loading Rates'!$B$1:$L$24,4,FALSE)+IF('BMP P Tracking Table'!$W10="By HSG",'BMP P Tracking Table'!$X10*VLOOKUP('BMP P Tracking Table'!$R10,'Loading Rates'!$B$1:$L$24,6,FALSE)+'BMP P Tracking Table'!$Y10*VLOOKUP('BMP P Tracking Table'!$R10,'Loading Rates'!$B$1:$L$24,7,FALSE)+'BMP P Tracking Table'!$Z10*VLOOKUP('BMP P Tracking Table'!$R10,'Loading Rates'!$B$1:$L$24,8,FALSE)+'BMP P Tracking Table'!$AA10*VLOOKUP('BMP P Tracking Table'!$R10,'Loading Rates'!$B$1:$L$24,9,FALSE),'BMP P Tracking Table'!$AB10*VLOOKUP('BMP P Tracking Table'!$R10,'Loading Rates'!$B$1:$L$24,10,FALSE)),"")</f>
        <v>8.7253499999999988</v>
      </c>
      <c r="AF10" s="104">
        <f>IFERROR(MIN(2,IF('BMP P Tracking Table'!$W10="Total Pervious",(-(3630*'BMP P Tracking Table'!$V10+20.691*'BMP P Tracking Table'!$AB10)+SQRT((3630*'BMP P Tracking Table'!$V10+20.691*'BMP P Tracking Table'!$AB10)^2-(4*(996.798*'BMP P Tracking Table'!$AB10)*-'BMP P Tracking Table'!$AC10)))/(2*(996.798*'BMP P Tracking Table'!$AB10)),IF(SUM('BMP P Tracking Table'!$X10:$AA10)=0,'BMP P Tracking Table'!$AC10/(-3630*'BMP P Tracking Table'!$V10),(-(3630*'BMP P Tracking Table'!$V10+20.691*'BMP P Tracking Table'!$AA10-216.711*'BMP P Tracking Table'!$Z10-83.853*'BMP P Tracking Table'!$Y10-42.834*'BMP P Tracking Table'!$X10)+SQRT((3630*'BMP P Tracking Table'!$V10+20.691*'BMP P Tracking Table'!$AA10-216.711*'BMP P Tracking Table'!$Z10-83.853*'BMP P Tracking Table'!$Y10-42.834*'BMP P Tracking Table'!$X10)^2-(4*(149.919*'BMP P Tracking Table'!$X10+236.676*'BMP P Tracking Table'!$Y10+726*'BMP P Tracking Table'!$Z10+996.798*'BMP P Tracking Table'!$AA10)*-'BMP P Tracking Table'!$AC10)))/(2*(149.919*'BMP P Tracking Table'!$X10+236.676*'BMP P Tracking Table'!$Y10+726*'BMP P Tracking Table'!$Z10+996.798*'BMP P Tracking Table'!$AA10))))),"")</f>
        <v>1.2864741059790727</v>
      </c>
      <c r="AG10" s="104">
        <f>IFERROR((VLOOKUP(CONCATENATE('BMP P Tracking Table'!$U10," ",'BMP P Tracking Table'!$AD10),'Performance Curves'!$C$1:$L$46,_xlfn.SINGLE(MATCH('BMP P Tracking Table'!$AF10,'Performance Curves'!$D$1:$L$1,1))+2,FALSE)-VLOOKUP(CONCATENATE('BMP P Tracking Table'!$U10," ",'BMP P Tracking Table'!$AD10),'Performance Curves'!$C$1:$L$46,_xlfn.SINGLE(MATCH('BMP P Tracking Table'!$AF10,'Performance Curves'!$D$1:$L$1,1))+1,FALSE)),"")</f>
        <v>1.0000000000000009E-2</v>
      </c>
      <c r="AH10" s="104">
        <f>IFERROR(('BMP P Tracking Table'!$AF10-INDEX('Performance Curves'!$D$1:$L$1,1,MATCH('BMP P Tracking Table'!$AF10,'Performance Curves'!$D$1:$L$1,1)))/(INDEX('Performance Curves'!$D$1:$L$1,1,MATCH('BMP P Tracking Table'!$AF10,'Performance Curves'!$D$1:$L$1,1)+1)-INDEX('Performance Curves'!$D$1:$L$1,1,MATCH('BMP P Tracking Table'!$AF10,'Performance Curves'!$D$1:$L$1,1))),"")</f>
        <v>0.57294821195814549</v>
      </c>
      <c r="AI10" s="103">
        <f>IFERROR(IF('BMP P Tracking Table'!$AF10=2,VLOOKUP(CONCATENATE('BMP P Tracking Table'!$U10," ",'BMP P Tracking Table'!$AD10),'Performance Curves'!$C$1:$L$46,_xlfn.SINGLE(MATCH('BMP P Tracking Table'!$AF10,'Performance Curves'!$D$1:$L$1,1))+1,FALSE),'BMP P Tracking Table'!$AG10*'BMP P Tracking Table'!$AH10+VLOOKUP(CONCATENATE('BMP P Tracking Table'!$U10," ",'BMP P Tracking Table'!$AD10),'Performance Curves'!$C$1:$L$46,_xlfn.SINGLE(MATCH('BMP P Tracking Table'!$AF10,'Performance Curves'!$D$1:$L$1,1))+1,FALSE)),"")</f>
        <v>0.12572948211958146</v>
      </c>
      <c r="AJ10" s="104">
        <f>IFERROR('BMP P Tracking Table'!$AI10*'BMP P Tracking Table'!$AE10,"")</f>
        <v>1.0970337368120899</v>
      </c>
      <c r="AK10" s="65"/>
      <c r="AL10" s="65" t="s">
        <v>62</v>
      </c>
      <c r="AM10" s="98"/>
      <c r="AN10" s="64">
        <v>1</v>
      </c>
      <c r="AO10" s="102">
        <f t="shared" si="0"/>
        <v>1.0970337368120899</v>
      </c>
      <c r="AP10" s="98"/>
      <c r="AQ10" s="98"/>
      <c r="AR10" s="98"/>
      <c r="AS10" s="98"/>
      <c r="AT10" s="98"/>
      <c r="AU10" s="98"/>
      <c r="AV10" s="98"/>
      <c r="AW10" s="65"/>
      <c r="AX10" s="99"/>
      <c r="AY10" s="99"/>
      <c r="AZ10" s="104" t="str">
        <f>IF('BMP P Tracking Table'!$AL10="Yes",IF('BMP P Tracking Table'!$AM10="No",'BMP P Tracking Table'!$V10*VLOOKUP('BMP P Tracking Table'!$R10,'Loading Rates'!$B$1:$L$24,4,FALSE)+IF('BMP P Tracking Table'!$W10="By HSG",'BMP P Tracking Table'!$X10*VLOOKUP('BMP P Tracking Table'!$R10,'Loading Rates'!$B$1:$L$24,6,FALSE)+'BMP P Tracking Table'!$Y10*VLOOKUP('BMP P Tracking Table'!$R10,'Loading Rates'!$B$1:$L$24,7,FALSE)+'BMP P Tracking Table'!$Z10*VLOOKUP('BMP P Tracking Table'!$R10,'Loading Rates'!$B$1:$L$24,8,FALSE)+'BMP P Tracking Table'!$AA10*VLOOKUP('BMP P Tracking Table'!$R10,'Loading Rates'!$B$1:$L$24,9,FALSE),'BMP P Tracking Table'!$AB10*VLOOKUP('BMP P Tracking Table'!$R10,'Loading Rates'!$B$1:$L$24,10,FALSE)),'BMP P Tracking Table'!$AP10*VLOOKUP('BMP P Tracking Table'!$R10,'Loading Rates'!$B$1:$L$24,4,FALSE)+IF('BMP P Tracking Table'!$AQ10="By HSG",'BMP P Tracking Table'!$AR10*VLOOKUP('BMP P Tracking Table'!$R10,'Loading Rates'!$B$1:$L$24,6,FALSE)+'BMP P Tracking Table'!$AS10*VLOOKUP('BMP P Tracking Table'!$R10,'Loading Rates'!$B$1:$L$24,7,FALSE)+'BMP P Tracking Table'!$AT10*VLOOKUP('BMP P Tracking Table'!$R10,'Loading Rates'!$B$1:$L$24,8,FALSE)+'BMP P Tracking Table'!$AU10*VLOOKUP('BMP P Tracking Table'!$R10,'Loading Rates'!$B$1:$L$24,9,FALSE),'BMP P Tracking Table'!$AV10*VLOOKUP('BMP P Tracking Table'!$R10,'Loading Rates'!$B$1:$L$24,10,FALSE))),"")</f>
        <v/>
      </c>
      <c r="BA10" s="104">
        <f>IFERROR(IF('BMP P Tracking Table'!$AM10="Yes",MIN(2,IF('BMP P Tracking Table'!$AQ10="Total Pervious",(-(3630*'BMP P Tracking Table'!$AP10+20.691*'BMP P Tracking Table'!$AV10)+SQRT((3630*'BMP P Tracking Table'!$AP10+20.691*'BMP P Tracking Table'!$AV10)^2-(4*(996.798*'BMP P Tracking Table'!$AV10)*-'BMP P Tracking Table'!$AX10)))/(2*(996.798*'BMP P Tracking Table'!$AV10)),IF(SUM('BMP P Tracking Table'!$AR10:$AU10)=0,'BMP P Tracking Table'!$AV10/(-3630*'BMP P Tracking Table'!$AP10),(-(3630*'BMP P Tracking Table'!$AP10+20.691*'BMP P Tracking Table'!$AU10-216.711*'BMP P Tracking Table'!$AT10-83.853*'BMP P Tracking Table'!$AS10-42.834*'BMP P Tracking Table'!$AR10)+SQRT((3630*'BMP P Tracking Table'!$AP10+20.691*'BMP P Tracking Table'!$AU10-216.711*'BMP P Tracking Table'!$AT10-83.853*'BMP P Tracking Table'!$AS10-42.834*'BMP P Tracking Table'!$AR10)^2-(4*(149.919*'BMP P Tracking Table'!$AR10+236.676*'BMP P Tracking Table'!$AS10+726*'BMP P Tracking Table'!$AT10+996.798*'BMP P Tracking Table'!$AU10)*-'BMP P Tracking Table'!$AX10)))/(2*(149.919*'BMP P Tracking Table'!$AR10+236.676*'BMP P Tracking Table'!$AS10+726*'BMP P Tracking Table'!$AT10+996.798*'BMP P Tracking Table'!$AU10))))),MIN(2,IF('BMP P Tracking Table'!$AQ10="Total Pervious",(-(3630*'BMP P Tracking Table'!$V10+20.691*'BMP P Tracking Table'!$AB10)+SQRT((3630*'BMP P Tracking Table'!$V10+20.691*'BMP P Tracking Table'!$AB10)^2-(4*(996.798*'BMP P Tracking Table'!$AB10)*-'BMP P Tracking Table'!$AX10)))/(2*(996.798*'BMP P Tracking Table'!$AB10)),IF(SUM('BMP P Tracking Table'!$X10:$AA10)=0,'BMP P Tracking Table'!$AX10/(-3630*'BMP P Tracking Table'!$V10),(-(3630*'BMP P Tracking Table'!$V10+20.691*'BMP P Tracking Table'!$AA10-216.711*'BMP P Tracking Table'!$Z10-83.853*'BMP P Tracking Table'!$Y10-42.834*'BMP P Tracking Table'!$X10)+SQRT((3630*'BMP P Tracking Table'!$V10+20.691*'BMP P Tracking Table'!$AA10-216.711*'BMP P Tracking Table'!$Z10-83.853*'BMP P Tracking Table'!$Y10-42.834*'BMP P Tracking Table'!$X10)^2-(4*(149.919*'BMP P Tracking Table'!$X10+236.676*'BMP P Tracking Table'!$Y10+726*'BMP P Tracking Table'!$Z10+996.798*'BMP P Tracking Table'!$AA10)*-'BMP P Tracking Table'!$AX10)))/(2*(149.919*'BMP P Tracking Table'!$X10+236.676*'BMP P Tracking Table'!$Y10+726*'BMP P Tracking Table'!$Z10+996.798*'BMP P Tracking Table'!$AA10)))))),"")</f>
        <v>0</v>
      </c>
      <c r="BB10" s="102" t="str">
        <f>IFERROR((VLOOKUP(CONCATENATE('BMP P Tracking Table'!$AW10," ",'BMP P Tracking Table'!$AY10),'Performance Curves'!$C$1:$L$46,_xlfn.SINGLE(MATCH('BMP P Tracking Table'!$BA10,'Performance Curves'!$D$1:$L$1,1))+2,FALSE)-VLOOKUP(CONCATENATE('BMP P Tracking Table'!$AW10," ",'BMP P Tracking Table'!$AY10),'Performance Curves'!$C$1:$L$46,_xlfn.SINGLE(MATCH('BMP P Tracking Table'!$BA10,'Performance Curves'!$D$1:$L$1,1))+1,FALSE)),"")</f>
        <v/>
      </c>
      <c r="BC10" s="102">
        <f>IFERROR(('BMP P Tracking Table'!$BA10-INDEX('Performance Curves'!$D$1:$L$1,1,MATCH('BMP P Tracking Table'!$BA10,'Performance Curves'!$D$1:$L$1,1)))/(INDEX('Performance Curves'!$D$1:$L$1,1,MATCH('BMP P Tracking Table'!$BA10,'Performance Curves'!$D$1:$L$1,1)+1)-INDEX('Performance Curves'!$D$1:$L$1,1,MATCH('BMP P Tracking Table'!$BA10,'Performance Curves'!$D$1:$L$1,1))),"")</f>
        <v>0</v>
      </c>
      <c r="BD10" s="103" t="str" cm="1">
        <f t="array" ref="BD10">IFERROR(IF('BMP P Tracking Table'!$BA10=2,VLOOKUP(CONCATENATE('BMP P Tracking Table'!$AW10," ",'BMP P Tracking Table'!$AY10),'Performance Curves'!$C$1:$L$44,_xlfn.SINGLE(MATCH('BMP P Tracking Table'!$BA10,'Performance Curves'!$D$1:$L$1,1))+1,FALSE),'BMP P Tracking Table'!$BB10*'BMP P Tracking Table'!$BC10+VLOOKUP(CONCATENATE('BMP P Tracking Table'!$AW10," ",'BMP P Tracking Table'!$AY10),'Performance Curves'!$C$1:$L$44,_xlfn.SINGLE(MATCH('BMP P Tracking Table'!$BA10,'Performance Curves'!$D$1:$L$1,1))+1,FALSE)),"")</f>
        <v/>
      </c>
      <c r="BE10" s="104" t="str">
        <f>IFERROR('BMP P Tracking Table'!$BD10*'BMP P Tracking Table'!$AZ10,"")</f>
        <v/>
      </c>
      <c r="BF10" s="98"/>
      <c r="BG10" s="37">
        <f t="shared" si="3"/>
        <v>0</v>
      </c>
      <c r="BH10" s="36" t="s">
        <v>338</v>
      </c>
      <c r="BI10" s="36" t="str">
        <f t="shared" si="1"/>
        <v>1‐1319_p2_North</v>
      </c>
      <c r="BJ10" s="36" t="str">
        <f t="shared" si="2"/>
        <v>Church of Jesus Christ of Latter Day Saints, North Vault</v>
      </c>
      <c r="BS10" s="36"/>
    </row>
    <row r="11" spans="1:73" s="121" customFormat="1">
      <c r="A11" s="108" t="s">
        <v>296</v>
      </c>
      <c r="B11" s="109" t="s">
        <v>296</v>
      </c>
      <c r="C11" s="110" t="s">
        <v>314</v>
      </c>
      <c r="D11" s="110" t="s">
        <v>327</v>
      </c>
      <c r="E11" s="63" t="s">
        <v>9</v>
      </c>
      <c r="F11" s="111"/>
      <c r="G11" s="111"/>
      <c r="H11" s="110"/>
      <c r="I11" s="110"/>
      <c r="J11" s="110" t="s">
        <v>66</v>
      </c>
      <c r="K11" s="112"/>
      <c r="L11" s="110" t="s">
        <v>111</v>
      </c>
      <c r="M11" s="110"/>
      <c r="N11" s="110"/>
      <c r="O11" s="110"/>
      <c r="P11" s="110"/>
      <c r="Q11" s="110" t="s">
        <v>37</v>
      </c>
      <c r="R11" s="110" t="str">
        <f>IFERROR(VLOOKUP('BMP P Tracking Table'!$Q11,Dropdowns!$C$2:$E$15,3,FALSE),"")</f>
        <v>Malletts Bay Direct Drainage</v>
      </c>
      <c r="S11" s="110" t="str">
        <f>IFERROR(VLOOKUP('BMP P Tracking Table'!$R11,Dropdowns!$Q$3:$R$23,2,FALSE),"")</f>
        <v>Malletts Bay</v>
      </c>
      <c r="T11" s="110" t="s">
        <v>62</v>
      </c>
      <c r="U11" s="110" t="s">
        <v>215</v>
      </c>
      <c r="V11" s="116"/>
      <c r="W11" s="63" t="s">
        <v>219</v>
      </c>
      <c r="X11" s="110"/>
      <c r="Y11" s="110"/>
      <c r="Z11" s="110"/>
      <c r="AA11" s="110"/>
      <c r="AB11" s="116"/>
      <c r="AC11" s="113"/>
      <c r="AD11" s="110"/>
      <c r="AE11" s="114">
        <f>IFERROR('BMP P Tracking Table'!$V11*VLOOKUP('BMP P Tracking Table'!$R11,'Loading Rates'!$B$1:$L$24,4,FALSE)+IF('BMP P Tracking Table'!$W11="By HSG",'BMP P Tracking Table'!$X11*VLOOKUP('BMP P Tracking Table'!$R11,'Loading Rates'!$B$1:$L$24,6,FALSE)+'BMP P Tracking Table'!$Y11*VLOOKUP('BMP P Tracking Table'!$R11,'Loading Rates'!$B$1:$L$24,7,FALSE)+'BMP P Tracking Table'!$Z11*VLOOKUP('BMP P Tracking Table'!$R11,'Loading Rates'!$B$1:$L$24,8,FALSE)+'BMP P Tracking Table'!$AA11*VLOOKUP('BMP P Tracking Table'!$R11,'Loading Rates'!$B$1:$L$24,9,FALSE),'BMP P Tracking Table'!$AB11*VLOOKUP('BMP P Tracking Table'!$R11,'Loading Rates'!$B$1:$L$24,10,FALSE)),"")</f>
        <v>0</v>
      </c>
      <c r="AF11" s="114" t="str">
        <f>IFERROR(MIN(2,IF('BMP P Tracking Table'!$W11="Total Pervious",(-(3630*'BMP P Tracking Table'!$V11+20.691*'BMP P Tracking Table'!$AB11)+SQRT((3630*'BMP P Tracking Table'!$V11+20.691*'BMP P Tracking Table'!$AB11)^2-(4*(996.798*'BMP P Tracking Table'!$AB11)*-'BMP P Tracking Table'!$AC11)))/(2*(996.798*'BMP P Tracking Table'!$AB11)),IF(SUM('BMP P Tracking Table'!$X11:$AA11)=0,'BMP P Tracking Table'!$AC11/(-3630*'BMP P Tracking Table'!$V11),(-(3630*'BMP P Tracking Table'!$V11+20.691*'BMP P Tracking Table'!$AA11-216.711*'BMP P Tracking Table'!$Z11-83.853*'BMP P Tracking Table'!$Y11-42.834*'BMP P Tracking Table'!$X11)+SQRT((3630*'BMP P Tracking Table'!$V11+20.691*'BMP P Tracking Table'!$AA11-216.711*'BMP P Tracking Table'!$Z11-83.853*'BMP P Tracking Table'!$Y11-42.834*'BMP P Tracking Table'!$X11)^2-(4*(149.919*'BMP P Tracking Table'!$X11+236.676*'BMP P Tracking Table'!$Y11+726*'BMP P Tracking Table'!$Z11+996.798*'BMP P Tracking Table'!$AA11)*-'BMP P Tracking Table'!$AC11)))/(2*(149.919*'BMP P Tracking Table'!$X11+236.676*'BMP P Tracking Table'!$Y11+726*'BMP P Tracking Table'!$Z11+996.798*'BMP P Tracking Table'!$AA11))))),"")</f>
        <v/>
      </c>
      <c r="AG11" s="114" t="str">
        <f>IFERROR((VLOOKUP(CONCATENATE('BMP P Tracking Table'!$U11," ",'BMP P Tracking Table'!$AD11),'Performance Curves'!$C$1:$L$46,_xlfn.SINGLE(MATCH('BMP P Tracking Table'!$AF11,'Performance Curves'!$D$1:$L$1,1))+2,FALSE)-VLOOKUP(CONCATENATE('BMP P Tracking Table'!$U11," ",'BMP P Tracking Table'!$AD11),'Performance Curves'!$C$1:$L$46,_xlfn.SINGLE(MATCH('BMP P Tracking Table'!$AF11,'Performance Curves'!$D$1:$L$1,1))+1,FALSE)),"")</f>
        <v/>
      </c>
      <c r="AH11" s="114" t="str">
        <f>IFERROR(('BMP P Tracking Table'!$AF11-INDEX('Performance Curves'!$D$1:$L$1,1,MATCH('BMP P Tracking Table'!$AF11,'Performance Curves'!$D$1:$L$1,1)))/(INDEX('Performance Curves'!$D$1:$L$1,1,MATCH('BMP P Tracking Table'!$AF11,'Performance Curves'!$D$1:$L$1,1)+1)-INDEX('Performance Curves'!$D$1:$L$1,1,MATCH('BMP P Tracking Table'!$AF11,'Performance Curves'!$D$1:$L$1,1))),"")</f>
        <v/>
      </c>
      <c r="AI11" s="115" t="str">
        <f>IFERROR(IF('BMP P Tracking Table'!$AF11=2,VLOOKUP(CONCATENATE('BMP P Tracking Table'!$U11," ",'BMP P Tracking Table'!$AD11),'Performance Curves'!$C$1:$L$46,_xlfn.SINGLE(MATCH('BMP P Tracking Table'!$AF11,'Performance Curves'!$D$1:$L$1,1))+1,FALSE),'BMP P Tracking Table'!$AG11*'BMP P Tracking Table'!$AH11+VLOOKUP(CONCATENATE('BMP P Tracking Table'!$U11," ",'BMP P Tracking Table'!$AD11),'Performance Curves'!$C$1:$L$46,_xlfn.SINGLE(MATCH('BMP P Tracking Table'!$AF11,'Performance Curves'!$D$1:$L$1,1))+1,FALSE)),"")</f>
        <v/>
      </c>
      <c r="AJ11" s="114" t="str">
        <f>IFERROR('BMP P Tracking Table'!$AI11*'BMP P Tracking Table'!$AE11,"")</f>
        <v/>
      </c>
      <c r="AK11" s="110"/>
      <c r="AL11" s="110"/>
      <c r="AM11" s="116"/>
      <c r="AN11" s="117">
        <v>1</v>
      </c>
      <c r="AO11" s="118" t="str">
        <f t="shared" si="0"/>
        <v/>
      </c>
      <c r="AP11" s="116"/>
      <c r="AQ11" s="116"/>
      <c r="AR11" s="116"/>
      <c r="AS11" s="116"/>
      <c r="AT11" s="116"/>
      <c r="AU11" s="116"/>
      <c r="AV11" s="116"/>
      <c r="AW11" s="110"/>
      <c r="AX11" s="119"/>
      <c r="AY11" s="119"/>
      <c r="AZ11" s="114" t="str">
        <f>IF('BMP P Tracking Table'!$AL11="Yes",IF('BMP P Tracking Table'!$AM11="No",'BMP P Tracking Table'!$V11*VLOOKUP('BMP P Tracking Table'!$R11,'Loading Rates'!$B$1:$L$24,4,FALSE)+IF('BMP P Tracking Table'!$W11="By HSG",'BMP P Tracking Table'!$X11*VLOOKUP('BMP P Tracking Table'!$R11,'Loading Rates'!$B$1:$L$24,6,FALSE)+'BMP P Tracking Table'!$Y11*VLOOKUP('BMP P Tracking Table'!$R11,'Loading Rates'!$B$1:$L$24,7,FALSE)+'BMP P Tracking Table'!$Z11*VLOOKUP('BMP P Tracking Table'!$R11,'Loading Rates'!$B$1:$L$24,8,FALSE)+'BMP P Tracking Table'!$AA11*VLOOKUP('BMP P Tracking Table'!$R11,'Loading Rates'!$B$1:$L$24,9,FALSE),'BMP P Tracking Table'!$AB11*VLOOKUP('BMP P Tracking Table'!$R11,'Loading Rates'!$B$1:$L$24,10,FALSE)),'BMP P Tracking Table'!$AP11*VLOOKUP('BMP P Tracking Table'!$R11,'Loading Rates'!$B$1:$L$24,4,FALSE)+IF('BMP P Tracking Table'!$AQ11="By HSG",'BMP P Tracking Table'!$AR11*VLOOKUP('BMP P Tracking Table'!$R11,'Loading Rates'!$B$1:$L$24,6,FALSE)+'BMP P Tracking Table'!$AS11*VLOOKUP('BMP P Tracking Table'!$R11,'Loading Rates'!$B$1:$L$24,7,FALSE)+'BMP P Tracking Table'!$AT11*VLOOKUP('BMP P Tracking Table'!$R11,'Loading Rates'!$B$1:$L$24,8,FALSE)+'BMP P Tracking Table'!$AU11*VLOOKUP('BMP P Tracking Table'!$R11,'Loading Rates'!$B$1:$L$24,9,FALSE),'BMP P Tracking Table'!$AV11*VLOOKUP('BMP P Tracking Table'!$R11,'Loading Rates'!$B$1:$L$24,10,FALSE))),"")</f>
        <v/>
      </c>
      <c r="BA11" s="114" t="str">
        <f>IFERROR(IF('BMP P Tracking Table'!$AM11="Yes",MIN(2,IF('BMP P Tracking Table'!$AQ11="Total Pervious",(-(3630*'BMP P Tracking Table'!$AP11+20.691*'BMP P Tracking Table'!$AV11)+SQRT((3630*'BMP P Tracking Table'!$AP11+20.691*'BMP P Tracking Table'!$AV11)^2-(4*(996.798*'BMP P Tracking Table'!$AV11)*-'BMP P Tracking Table'!$AX11)))/(2*(996.798*'BMP P Tracking Table'!$AV11)),IF(SUM('BMP P Tracking Table'!$AR11:$AU11)=0,'BMP P Tracking Table'!$AV11/(-3630*'BMP P Tracking Table'!$AP11),(-(3630*'BMP P Tracking Table'!$AP11+20.691*'BMP P Tracking Table'!$AU11-216.711*'BMP P Tracking Table'!$AT11-83.853*'BMP P Tracking Table'!$AS11-42.834*'BMP P Tracking Table'!$AR11)+SQRT((3630*'BMP P Tracking Table'!$AP11+20.691*'BMP P Tracking Table'!$AU11-216.711*'BMP P Tracking Table'!$AT11-83.853*'BMP P Tracking Table'!$AS11-42.834*'BMP P Tracking Table'!$AR11)^2-(4*(149.919*'BMP P Tracking Table'!$AR11+236.676*'BMP P Tracking Table'!$AS11+726*'BMP P Tracking Table'!$AT11+996.798*'BMP P Tracking Table'!$AU11)*-'BMP P Tracking Table'!$AX11)))/(2*(149.919*'BMP P Tracking Table'!$AR11+236.676*'BMP P Tracking Table'!$AS11+726*'BMP P Tracking Table'!$AT11+996.798*'BMP P Tracking Table'!$AU11))))),MIN(2,IF('BMP P Tracking Table'!$AQ11="Total Pervious",(-(3630*'BMP P Tracking Table'!$V11+20.691*'BMP P Tracking Table'!$AB11)+SQRT((3630*'BMP P Tracking Table'!$V11+20.691*'BMP P Tracking Table'!$AB11)^2-(4*(996.798*'BMP P Tracking Table'!$AB11)*-'BMP P Tracking Table'!$AX11)))/(2*(996.798*'BMP P Tracking Table'!$AB11)),IF(SUM('BMP P Tracking Table'!$X11:$AA11)=0,'BMP P Tracking Table'!$AX11/(-3630*'BMP P Tracking Table'!$V11),(-(3630*'BMP P Tracking Table'!$V11+20.691*'BMP P Tracking Table'!$AA11-216.711*'BMP P Tracking Table'!$Z11-83.853*'BMP P Tracking Table'!$Y11-42.834*'BMP P Tracking Table'!$X11)+SQRT((3630*'BMP P Tracking Table'!$V11+20.691*'BMP P Tracking Table'!$AA11-216.711*'BMP P Tracking Table'!$Z11-83.853*'BMP P Tracking Table'!$Y11-42.834*'BMP P Tracking Table'!$X11)^2-(4*(149.919*'BMP P Tracking Table'!$X11+236.676*'BMP P Tracking Table'!$Y11+726*'BMP P Tracking Table'!$Z11+996.798*'BMP P Tracking Table'!$AA11)*-'BMP P Tracking Table'!$AX11)))/(2*(149.919*'BMP P Tracking Table'!$X11+236.676*'BMP P Tracking Table'!$Y11+726*'BMP P Tracking Table'!$Z11+996.798*'BMP P Tracking Table'!$AA11)))))),"")</f>
        <v/>
      </c>
      <c r="BB11" s="118" t="str">
        <f>IFERROR((VLOOKUP(CONCATENATE('BMP P Tracking Table'!$AW11," ",'BMP P Tracking Table'!$AY11),'Performance Curves'!$C$1:$L$46,_xlfn.SINGLE(MATCH('BMP P Tracking Table'!$BA11,'Performance Curves'!$D$1:$L$1,1))+2,FALSE)-VLOOKUP(CONCATENATE('BMP P Tracking Table'!$AW11," ",'BMP P Tracking Table'!$AY11),'Performance Curves'!$C$1:$L$46,_xlfn.SINGLE(MATCH('BMP P Tracking Table'!$BA11,'Performance Curves'!$D$1:$L$1,1))+1,FALSE)),"")</f>
        <v/>
      </c>
      <c r="BC11" s="118" t="str">
        <f>IFERROR(('BMP P Tracking Table'!$BA11-INDEX('Performance Curves'!$D$1:$L$1,1,MATCH('BMP P Tracking Table'!$BA11,'Performance Curves'!$D$1:$L$1,1)))/(INDEX('Performance Curves'!$D$1:$L$1,1,MATCH('BMP P Tracking Table'!$BA11,'Performance Curves'!$D$1:$L$1,1)+1)-INDEX('Performance Curves'!$D$1:$L$1,1,MATCH('BMP P Tracking Table'!$BA11,'Performance Curves'!$D$1:$L$1,1))),"")</f>
        <v/>
      </c>
      <c r="BD11" s="115" t="str" cm="1">
        <f t="array" ref="BD11">IFERROR(IF('BMP P Tracking Table'!$BA11=2,VLOOKUP(CONCATENATE('BMP P Tracking Table'!$AW11," ",'BMP P Tracking Table'!$AY11),'Performance Curves'!$C$1:$L$44,_xlfn.SINGLE(MATCH('BMP P Tracking Table'!$BA11,'Performance Curves'!$D$1:$L$1,1))+1,FALSE),'BMP P Tracking Table'!$BB11*'BMP P Tracking Table'!$BC11+VLOOKUP(CONCATENATE('BMP P Tracking Table'!$AW11," ",'BMP P Tracking Table'!$AY11),'Performance Curves'!$C$1:$L$44,_xlfn.SINGLE(MATCH('BMP P Tracking Table'!$BA11,'Performance Curves'!$D$1:$L$1,1))+1,FALSE)),"")</f>
        <v/>
      </c>
      <c r="BE11" s="114" t="str">
        <f>IFERROR('BMP P Tracking Table'!$BD11*'BMP P Tracking Table'!$AZ11,"")</f>
        <v/>
      </c>
      <c r="BF11" s="116"/>
      <c r="BG11" s="120">
        <f t="shared" si="3"/>
        <v>0</v>
      </c>
      <c r="BH11" s="121" t="s">
        <v>335</v>
      </c>
      <c r="BI11" s="36" t="str">
        <f t="shared" si="1"/>
        <v>1081</v>
      </c>
      <c r="BJ11" s="36" t="str">
        <f t="shared" si="2"/>
        <v>Old Stage Rd/Rt‐15 (Essex STP 030‐1(17))</v>
      </c>
    </row>
    <row r="12" spans="1:73">
      <c r="A12" s="36" t="s">
        <v>768</v>
      </c>
      <c r="B12" s="65" t="s">
        <v>769</v>
      </c>
      <c r="C12" s="65" t="s">
        <v>770</v>
      </c>
      <c r="D12" s="65" t="s">
        <v>324</v>
      </c>
      <c r="E12" s="65" t="s">
        <v>10</v>
      </c>
      <c r="F12" s="94"/>
      <c r="G12" s="94"/>
      <c r="H12" s="65" t="s">
        <v>769</v>
      </c>
      <c r="I12" s="65"/>
      <c r="J12" s="65" t="s">
        <v>62</v>
      </c>
      <c r="K12" s="95"/>
      <c r="L12" s="65" t="s">
        <v>179</v>
      </c>
      <c r="M12" s="65">
        <v>2020</v>
      </c>
      <c r="N12" s="65"/>
      <c r="O12" s="65"/>
      <c r="P12" s="65"/>
      <c r="Q12" s="65" t="s">
        <v>37</v>
      </c>
      <c r="R12" s="65" t="str">
        <f>IFERROR(VLOOKUP('BMP P Tracking Table'!$Q12,Dropdowns!$C$2:$E$15,3,FALSE),"")</f>
        <v>Malletts Bay Direct Drainage</v>
      </c>
      <c r="S12" s="65" t="str">
        <f>IFERROR(VLOOKUP('BMP P Tracking Table'!$R12,Dropdowns!$Q$3:$R$23,2,FALSE),"")</f>
        <v>Malletts Bay</v>
      </c>
      <c r="T12" s="65" t="s">
        <v>66</v>
      </c>
      <c r="U12" s="65" t="s">
        <v>215</v>
      </c>
      <c r="V12" s="137">
        <v>14.400327000000001</v>
      </c>
      <c r="W12" s="63" t="s">
        <v>219</v>
      </c>
      <c r="X12" s="65"/>
      <c r="Y12" s="65"/>
      <c r="Z12" s="65"/>
      <c r="AA12" s="65"/>
      <c r="AB12" s="98">
        <v>33.809673000000004</v>
      </c>
      <c r="AC12" s="97">
        <v>161433.35999999999</v>
      </c>
      <c r="AD12" s="65"/>
      <c r="AE12" s="104">
        <f>IFERROR('BMP P Tracking Table'!$V12*VLOOKUP('BMP P Tracking Table'!$R12,'Loading Rates'!$B$1:$L$24,4,FALSE)+IF('BMP P Tracking Table'!$W12="By HSG",'BMP P Tracking Table'!$X12*VLOOKUP('BMP P Tracking Table'!$R12,'Loading Rates'!$B$1:$L$24,6,FALSE)+'BMP P Tracking Table'!$Y12*VLOOKUP('BMP P Tracking Table'!$R12,'Loading Rates'!$B$1:$L$24,7,FALSE)+'BMP P Tracking Table'!$Z12*VLOOKUP('BMP P Tracking Table'!$R12,'Loading Rates'!$B$1:$L$24,8,FALSE)+'BMP P Tracking Table'!$AA12*VLOOKUP('BMP P Tracking Table'!$R12,'Loading Rates'!$B$1:$L$24,9,FALSE),'BMP P Tracking Table'!$AB12*VLOOKUP('BMP P Tracking Table'!$R12,'Loading Rates'!$B$1:$L$24,10,FALSE)),"")</f>
        <v>12.285985851</v>
      </c>
      <c r="AF12" s="104">
        <f>IFERROR(MIN(2,IF('BMP P Tracking Table'!$W12="Total Pervious",(-(3630*'BMP P Tracking Table'!$V12+20.691*'BMP P Tracking Table'!$AB12)+SQRT((3630*'BMP P Tracking Table'!$V12+20.691*'BMP P Tracking Table'!$AB12)^2-(4*(996.798*'BMP P Tracking Table'!$AB12)*-'BMP P Tracking Table'!$AC12)))/(2*(996.798*'BMP P Tracking Table'!$AB12)),IF(SUM('BMP P Tracking Table'!$X12:$AA12)=0,'BMP P Tracking Table'!$AC12/(-3630*'BMP P Tracking Table'!$V12),(-(3630*'BMP P Tracking Table'!$V12+20.691*'BMP P Tracking Table'!$AA12-216.711*'BMP P Tracking Table'!$Z12-83.853*'BMP P Tracking Table'!$Y12-42.834*'BMP P Tracking Table'!$X12)+SQRT((3630*'BMP P Tracking Table'!$V12+20.691*'BMP P Tracking Table'!$AA12-216.711*'BMP P Tracking Table'!$Z12-83.853*'BMP P Tracking Table'!$Y12-42.834*'BMP P Tracking Table'!$X12)^2-(4*(149.919*'BMP P Tracking Table'!$X12+236.676*'BMP P Tracking Table'!$Y12+726*'BMP P Tracking Table'!$Z12+996.798*'BMP P Tracking Table'!$AA12)*-'BMP P Tracking Table'!$AC12)))/(2*(149.919*'BMP P Tracking Table'!$X12+236.676*'BMP P Tracking Table'!$Y12+726*'BMP P Tracking Table'!$Z12+996.798*'BMP P Tracking Table'!$AA12))))),"")</f>
        <v>1.5395474637780082</v>
      </c>
      <c r="AG12" s="104">
        <f>IFERROR((VLOOKUP(CONCATENATE('BMP P Tracking Table'!$U12," ",'BMP P Tracking Table'!$AD12),'Performance Curves'!$C$1:$L$46,_xlfn.SINGLE(MATCH('BMP P Tracking Table'!$AF12,'Performance Curves'!$D$1:$L$1,1))+2,FALSE)-VLOOKUP(CONCATENATE('BMP P Tracking Table'!$U12," ",'BMP P Tracking Table'!$AD12),'Performance Curves'!$C$1:$L$46,_xlfn.SINGLE(MATCH('BMP P Tracking Table'!$AF12,'Performance Curves'!$D$1:$L$1,1))+1,FALSE)),"")</f>
        <v>1.0000000000000009E-2</v>
      </c>
      <c r="AH12" s="104">
        <f>IFERROR(('BMP P Tracking Table'!$AF12-INDEX('Performance Curves'!$D$1:$L$1,1,MATCH('BMP P Tracking Table'!$AF12,'Performance Curves'!$D$1:$L$1,1)))/(INDEX('Performance Curves'!$D$1:$L$1,1,MATCH('BMP P Tracking Table'!$AF12,'Performance Curves'!$D$1:$L$1,1)+1)-INDEX('Performance Curves'!$D$1:$L$1,1,MATCH('BMP P Tracking Table'!$AF12,'Performance Curves'!$D$1:$L$1,1))),"")</f>
        <v>7.9094927556016437E-2</v>
      </c>
      <c r="AI12" s="103">
        <f>IFERROR(IF('BMP P Tracking Table'!$AF12=2,VLOOKUP(CONCATENATE('BMP P Tracking Table'!$U12," ",'BMP P Tracking Table'!$AD12),'Performance Curves'!$C$1:$L$46,_xlfn.SINGLE(MATCH('BMP P Tracking Table'!$AF12,'Performance Curves'!$D$1:$L$1,1))+1,FALSE),'BMP P Tracking Table'!$AG12*'BMP P Tracking Table'!$AH12+VLOOKUP(CONCATENATE('BMP P Tracking Table'!$U12," ",'BMP P Tracking Table'!$AD12),'Performance Curves'!$C$1:$L$46,_xlfn.SINGLE(MATCH('BMP P Tracking Table'!$AF12,'Performance Curves'!$D$1:$L$1,1))+1,FALSE)),"")</f>
        <v>0.13079094927556018</v>
      </c>
      <c r="AJ12" s="104">
        <f>IFERROR('BMP P Tracking Table'!$AI12*'BMP P Tracking Table'!$AE12,"")</f>
        <v>1.6068957522383909</v>
      </c>
      <c r="AK12" s="65"/>
      <c r="AL12" s="65"/>
      <c r="AM12" s="98"/>
      <c r="AN12" s="64">
        <v>1</v>
      </c>
      <c r="AO12" s="102">
        <f t="shared" si="0"/>
        <v>1.6068957522383909</v>
      </c>
      <c r="AP12" s="98"/>
      <c r="AQ12" s="98"/>
      <c r="AR12" s="98"/>
      <c r="AS12" s="98"/>
      <c r="AT12" s="98"/>
      <c r="AU12" s="98"/>
      <c r="AV12" s="98"/>
      <c r="AW12" s="65"/>
      <c r="AX12" s="99"/>
      <c r="AY12" s="99"/>
      <c r="AZ12" s="104" t="str">
        <f>IF('BMP P Tracking Table'!$AL12="Yes",IF('BMP P Tracking Table'!$AM12="No",'BMP P Tracking Table'!$V12*VLOOKUP('BMP P Tracking Table'!$R12,'Loading Rates'!$B$1:$L$24,4,FALSE)+IF('BMP P Tracking Table'!$W12="By HSG",'BMP P Tracking Table'!$X12*VLOOKUP('BMP P Tracking Table'!$R12,'Loading Rates'!$B$1:$L$24,6,FALSE)+'BMP P Tracking Table'!$Y12*VLOOKUP('BMP P Tracking Table'!$R12,'Loading Rates'!$B$1:$L$24,7,FALSE)+'BMP P Tracking Table'!$Z12*VLOOKUP('BMP P Tracking Table'!$R12,'Loading Rates'!$B$1:$L$24,8,FALSE)+'BMP P Tracking Table'!$AA12*VLOOKUP('BMP P Tracking Table'!$R12,'Loading Rates'!$B$1:$L$24,9,FALSE),'BMP P Tracking Table'!$AB12*VLOOKUP('BMP P Tracking Table'!$R12,'Loading Rates'!$B$1:$L$24,10,FALSE)),'BMP P Tracking Table'!$AP12*VLOOKUP('BMP P Tracking Table'!$R12,'Loading Rates'!$B$1:$L$24,4,FALSE)+IF('BMP P Tracking Table'!$AQ12="By HSG",'BMP P Tracking Table'!$AR12*VLOOKUP('BMP P Tracking Table'!$R12,'Loading Rates'!$B$1:$L$24,6,FALSE)+'BMP P Tracking Table'!$AS12*VLOOKUP('BMP P Tracking Table'!$R12,'Loading Rates'!$B$1:$L$24,7,FALSE)+'BMP P Tracking Table'!$AT12*VLOOKUP('BMP P Tracking Table'!$R12,'Loading Rates'!$B$1:$L$24,8,FALSE)+'BMP P Tracking Table'!$AU12*VLOOKUP('BMP P Tracking Table'!$R12,'Loading Rates'!$B$1:$L$24,9,FALSE),'BMP P Tracking Table'!$AV12*VLOOKUP('BMP P Tracking Table'!$R12,'Loading Rates'!$B$1:$L$24,10,FALSE))),"")</f>
        <v/>
      </c>
      <c r="BA12" s="104">
        <f>IFERROR(IF('BMP P Tracking Table'!$AM12="Yes",MIN(2,IF('BMP P Tracking Table'!$AQ12="Total Pervious",(-(3630*'BMP P Tracking Table'!$AP12+20.691*'BMP P Tracking Table'!$AV12)+SQRT((3630*'BMP P Tracking Table'!$AP12+20.691*'BMP P Tracking Table'!$AV12)^2-(4*(996.798*'BMP P Tracking Table'!$AV12)*-'BMP P Tracking Table'!$AX12)))/(2*(996.798*'BMP P Tracking Table'!$AV12)),IF(SUM('BMP P Tracking Table'!$AR12:$AU12)=0,'BMP P Tracking Table'!$AV12/(-3630*'BMP P Tracking Table'!$AP12),(-(3630*'BMP P Tracking Table'!$AP12+20.691*'BMP P Tracking Table'!$AU12-216.711*'BMP P Tracking Table'!$AT12-83.853*'BMP P Tracking Table'!$AS12-42.834*'BMP P Tracking Table'!$AR12)+SQRT((3630*'BMP P Tracking Table'!$AP12+20.691*'BMP P Tracking Table'!$AU12-216.711*'BMP P Tracking Table'!$AT12-83.853*'BMP P Tracking Table'!$AS12-42.834*'BMP P Tracking Table'!$AR12)^2-(4*(149.919*'BMP P Tracking Table'!$AR12+236.676*'BMP P Tracking Table'!$AS12+726*'BMP P Tracking Table'!$AT12+996.798*'BMP P Tracking Table'!$AU12)*-'BMP P Tracking Table'!$AX12)))/(2*(149.919*'BMP P Tracking Table'!$AR12+236.676*'BMP P Tracking Table'!$AS12+726*'BMP P Tracking Table'!$AT12+996.798*'BMP P Tracking Table'!$AU12))))),MIN(2,IF('BMP P Tracking Table'!$AQ12="Total Pervious",(-(3630*'BMP P Tracking Table'!$V12+20.691*'BMP P Tracking Table'!$AB12)+SQRT((3630*'BMP P Tracking Table'!$V12+20.691*'BMP P Tracking Table'!$AB12)^2-(4*(996.798*'BMP P Tracking Table'!$AB12)*-'BMP P Tracking Table'!$AX12)))/(2*(996.798*'BMP P Tracking Table'!$AB12)),IF(SUM('BMP P Tracking Table'!$X12:$AA12)=0,'BMP P Tracking Table'!$AX12/(-3630*'BMP P Tracking Table'!$V12),(-(3630*'BMP P Tracking Table'!$V12+20.691*'BMP P Tracking Table'!$AA12-216.711*'BMP P Tracking Table'!$Z12-83.853*'BMP P Tracking Table'!$Y12-42.834*'BMP P Tracking Table'!$X12)+SQRT((3630*'BMP P Tracking Table'!$V12+20.691*'BMP P Tracking Table'!$AA12-216.711*'BMP P Tracking Table'!$Z12-83.853*'BMP P Tracking Table'!$Y12-42.834*'BMP P Tracking Table'!$X12)^2-(4*(149.919*'BMP P Tracking Table'!$X12+236.676*'BMP P Tracking Table'!$Y12+726*'BMP P Tracking Table'!$Z12+996.798*'BMP P Tracking Table'!$AA12)*-'BMP P Tracking Table'!$AX12)))/(2*(149.919*'BMP P Tracking Table'!$X12+236.676*'BMP P Tracking Table'!$Y12+726*'BMP P Tracking Table'!$Z12+996.798*'BMP P Tracking Table'!$AA12)))))),"")</f>
        <v>0</v>
      </c>
      <c r="BB12" s="102" t="str">
        <f>IFERROR((VLOOKUP(CONCATENATE('BMP P Tracking Table'!$AW12," ",'BMP P Tracking Table'!$AY12),'Performance Curves'!$C$1:$L$46,_xlfn.SINGLE(MATCH('BMP P Tracking Table'!$BA12,'Performance Curves'!$D$1:$L$1,1))+2,FALSE)-VLOOKUP(CONCATENATE('BMP P Tracking Table'!$AW12," ",'BMP P Tracking Table'!$AY12),'Performance Curves'!$C$1:$L$46,_xlfn.SINGLE(MATCH('BMP P Tracking Table'!$BA12,'Performance Curves'!$D$1:$L$1,1))+1,FALSE)),"")</f>
        <v/>
      </c>
      <c r="BC12" s="102">
        <f>IFERROR(('BMP P Tracking Table'!$BA12-INDEX('Performance Curves'!$D$1:$L$1,1,MATCH('BMP P Tracking Table'!$BA12,'Performance Curves'!$D$1:$L$1,1)))/(INDEX('Performance Curves'!$D$1:$L$1,1,MATCH('BMP P Tracking Table'!$BA12,'Performance Curves'!$D$1:$L$1,1)+1)-INDEX('Performance Curves'!$D$1:$L$1,1,MATCH('BMP P Tracking Table'!$BA12,'Performance Curves'!$D$1:$L$1,1))),"")</f>
        <v>0</v>
      </c>
      <c r="BD12" s="103" t="str" cm="1">
        <f t="array" ref="BD12">IFERROR(IF('BMP P Tracking Table'!$BA12=2,VLOOKUP(CONCATENATE('BMP P Tracking Table'!$AW12," ",'BMP P Tracking Table'!$AY12),'Performance Curves'!$C$1:$L$44,_xlfn.SINGLE(MATCH('BMP P Tracking Table'!$BA12,'Performance Curves'!$D$1:$L$1,1))+1,FALSE),'BMP P Tracking Table'!$BB12*'BMP P Tracking Table'!$BC12+VLOOKUP(CONCATENATE('BMP P Tracking Table'!$AW12," ",'BMP P Tracking Table'!$AY12),'Performance Curves'!$C$1:$L$44,_xlfn.SINGLE(MATCH('BMP P Tracking Table'!$BA12,'Performance Curves'!$D$1:$L$1,1))+1,FALSE)),"")</f>
        <v/>
      </c>
      <c r="BE12" s="104" t="str">
        <f>IFERROR('BMP P Tracking Table'!$BD12*'BMP P Tracking Table'!$AZ12,"")</f>
        <v/>
      </c>
      <c r="BF12" s="98"/>
      <c r="BG12" s="37">
        <f t="shared" si="3"/>
        <v>0</v>
      </c>
      <c r="BH12" s="36" t="s">
        <v>339</v>
      </c>
      <c r="BI12" s="36" t="str">
        <f t="shared" si="1"/>
        <v>2‐0289</v>
      </c>
      <c r="BJ12" s="36" t="str">
        <f t="shared" si="2"/>
        <v>Countryside Cluster Homes A,B,C and Essex Parks East and West</v>
      </c>
      <c r="BS12" s="36"/>
    </row>
    <row r="13" spans="1:73">
      <c r="A13" s="36" t="s">
        <v>771</v>
      </c>
      <c r="B13" s="36" t="s">
        <v>771</v>
      </c>
      <c r="C13" s="65" t="s">
        <v>790</v>
      </c>
      <c r="D13" s="65" t="s">
        <v>324</v>
      </c>
      <c r="E13" s="65" t="s">
        <v>10</v>
      </c>
      <c r="F13" s="94">
        <v>44.492621</v>
      </c>
      <c r="G13" s="94">
        <v>-73.097318000000001</v>
      </c>
      <c r="H13" s="36" t="s">
        <v>771</v>
      </c>
      <c r="I13" s="65"/>
      <c r="J13" s="65" t="s">
        <v>66</v>
      </c>
      <c r="K13" s="95">
        <v>308903.67999999999</v>
      </c>
      <c r="L13" s="65" t="s">
        <v>111</v>
      </c>
      <c r="M13" s="65"/>
      <c r="N13" s="96">
        <v>44140</v>
      </c>
      <c r="O13" s="96">
        <v>44140</v>
      </c>
      <c r="P13" s="65" t="s">
        <v>62</v>
      </c>
      <c r="Q13" s="65" t="s">
        <v>37</v>
      </c>
      <c r="R13" s="65" t="str">
        <f>IFERROR(VLOOKUP('BMP P Tracking Table'!$Q13,Dropdowns!$C$2:$E$15,3,FALSE),"")</f>
        <v>Malletts Bay Direct Drainage</v>
      </c>
      <c r="S13" s="65" t="str">
        <f>IFERROR(VLOOKUP('BMP P Tracking Table'!$R13,Dropdowns!$Q$3:$R$23,2,FALSE),"")</f>
        <v>Malletts Bay</v>
      </c>
      <c r="T13" s="65" t="s">
        <v>66</v>
      </c>
      <c r="U13" s="134" t="s">
        <v>46</v>
      </c>
      <c r="V13" s="137">
        <v>11.39</v>
      </c>
      <c r="W13" s="63" t="s">
        <v>219</v>
      </c>
      <c r="X13" s="65"/>
      <c r="Y13" s="65"/>
      <c r="Z13" s="65"/>
      <c r="AA13" s="65"/>
      <c r="AB13" s="98">
        <v>6.28</v>
      </c>
      <c r="AC13" s="97">
        <v>70153</v>
      </c>
      <c r="AD13" s="65"/>
      <c r="AE13" s="104">
        <f>IFERROR('BMP P Tracking Table'!$V13*VLOOKUP('BMP P Tracking Table'!$R13,'Loading Rates'!$B$1:$L$24,4,FALSE)+IF('BMP P Tracking Table'!$W13="By HSG",'BMP P Tracking Table'!$X13*VLOOKUP('BMP P Tracking Table'!$R13,'Loading Rates'!$B$1:$L$24,6,FALSE)+'BMP P Tracking Table'!$Y13*VLOOKUP('BMP P Tracking Table'!$R13,'Loading Rates'!$B$1:$L$24,7,FALSE)+'BMP P Tracking Table'!$Z13*VLOOKUP('BMP P Tracking Table'!$R13,'Loading Rates'!$B$1:$L$24,8,FALSE)+'BMP P Tracking Table'!$AA13*VLOOKUP('BMP P Tracking Table'!$R13,'Loading Rates'!$B$1:$L$24,9,FALSE),'BMP P Tracking Table'!$AB13*VLOOKUP('BMP P Tracking Table'!$R13,'Loading Rates'!$B$1:$L$24,10,FALSE)),"")</f>
        <v>9.4721100000000007</v>
      </c>
      <c r="AF13" s="104">
        <f>IFERROR(MIN(2,IF('BMP P Tracking Table'!$W13="Total Pervious",(-(3630*'BMP P Tracking Table'!$V13+20.691*'BMP P Tracking Table'!$AB13)+SQRT((3630*'BMP P Tracking Table'!$V13+20.691*'BMP P Tracking Table'!$AB13)^2-(4*(996.798*'BMP P Tracking Table'!$AB13)*-'BMP P Tracking Table'!$AC13)))/(2*(996.798*'BMP P Tracking Table'!$AB13)),IF(SUM('BMP P Tracking Table'!$X13:$AA13)=0,'BMP P Tracking Table'!$AC13/(-3630*'BMP P Tracking Table'!$V13),(-(3630*'BMP P Tracking Table'!$V13+20.691*'BMP P Tracking Table'!$AA13-216.711*'BMP P Tracking Table'!$Z13-83.853*'BMP P Tracking Table'!$Y13-42.834*'BMP P Tracking Table'!$X13)+SQRT((3630*'BMP P Tracking Table'!$V13+20.691*'BMP P Tracking Table'!$AA13-216.711*'BMP P Tracking Table'!$Z13-83.853*'BMP P Tracking Table'!$Y13-42.834*'BMP P Tracking Table'!$X13)^2-(4*(149.919*'BMP P Tracking Table'!$X13+236.676*'BMP P Tracking Table'!$Y13+726*'BMP P Tracking Table'!$Z13+996.798*'BMP P Tracking Table'!$AA13)*-'BMP P Tracking Table'!$AC13)))/(2*(149.919*'BMP P Tracking Table'!$X13+236.676*'BMP P Tracking Table'!$Y13+726*'BMP P Tracking Table'!$Z13+996.798*'BMP P Tracking Table'!$AA13))))),"")</f>
        <v>1.3969096276118234</v>
      </c>
      <c r="AG13" s="104">
        <f>IFERROR((VLOOKUP(CONCATENATE('BMP P Tracking Table'!$U13," ",'BMP P Tracking Table'!$AD13),'Performance Curves'!$C$1:$L$46,_xlfn.SINGLE(MATCH('BMP P Tracking Table'!$AF13,'Performance Curves'!$D$1:$L$1,1))+2,FALSE)-VLOOKUP(CONCATENATE('BMP P Tracking Table'!$U13," ",'BMP P Tracking Table'!$AD13),'Performance Curves'!$C$1:$L$46,_xlfn.SINGLE(MATCH('BMP P Tracking Table'!$AF13,'Performance Curves'!$D$1:$L$1,1))+1,FALSE)),"")</f>
        <v>4.0000000000000036E-2</v>
      </c>
      <c r="AH13" s="104">
        <f>IFERROR(('BMP P Tracking Table'!$AF13-INDEX('Performance Curves'!$D$1:$L$1,1,MATCH('BMP P Tracking Table'!$AF13,'Performance Curves'!$D$1:$L$1,1)))/(INDEX('Performance Curves'!$D$1:$L$1,1,MATCH('BMP P Tracking Table'!$AF13,'Performance Curves'!$D$1:$L$1,1)+1)-INDEX('Performance Curves'!$D$1:$L$1,1,MATCH('BMP P Tracking Table'!$AF13,'Performance Curves'!$D$1:$L$1,1))),"")</f>
        <v>0.79381925522364671</v>
      </c>
      <c r="AI13" s="103">
        <f>IFERROR(IF('BMP P Tracking Table'!$AF13=2,VLOOKUP(CONCATENATE('BMP P Tracking Table'!$U13," ",'BMP P Tracking Table'!$AD13),'Performance Curves'!$C$1:$L$46,_xlfn.SINGLE(MATCH('BMP P Tracking Table'!$AF13,'Performance Curves'!$D$1:$L$1,1))+1,FALSE),'BMP P Tracking Table'!$AG13*'BMP P Tracking Table'!$AH13+VLOOKUP(CONCATENATE('BMP P Tracking Table'!$U13," ",'BMP P Tracking Table'!$AD13),'Performance Curves'!$C$1:$L$46,_xlfn.SINGLE(MATCH('BMP P Tracking Table'!$AF13,'Performance Curves'!$D$1:$L$1,1))+1,FALSE)),"")</f>
        <v>0.64175277020894583</v>
      </c>
      <c r="AJ13" s="104">
        <f>IFERROR('BMP P Tracking Table'!$AI13*'BMP P Tracking Table'!$AE13,"")</f>
        <v>6.0787528322238584</v>
      </c>
      <c r="AK13" s="65"/>
      <c r="AL13" s="65"/>
      <c r="AM13" s="98"/>
      <c r="AN13" s="64">
        <v>1</v>
      </c>
      <c r="AO13" s="102">
        <f t="shared" si="0"/>
        <v>6.0787528322238584</v>
      </c>
      <c r="AP13" s="98"/>
      <c r="AQ13" s="98"/>
      <c r="AR13" s="98"/>
      <c r="AS13" s="98"/>
      <c r="AT13" s="98"/>
      <c r="AU13" s="98"/>
      <c r="AV13" s="98"/>
      <c r="AW13" s="65"/>
      <c r="AX13" s="99"/>
      <c r="AY13" s="99"/>
      <c r="AZ13" s="104" t="str">
        <f>IF('BMP P Tracking Table'!$AL13="Yes",IF('BMP P Tracking Table'!$AM13="No",'BMP P Tracking Table'!$V13*VLOOKUP('BMP P Tracking Table'!$R13,'Loading Rates'!$B$1:$L$24,4,FALSE)+IF('BMP P Tracking Table'!$W13="By HSG",'BMP P Tracking Table'!$X13*VLOOKUP('BMP P Tracking Table'!$R13,'Loading Rates'!$B$1:$L$24,6,FALSE)+'BMP P Tracking Table'!$Y13*VLOOKUP('BMP P Tracking Table'!$R13,'Loading Rates'!$B$1:$L$24,7,FALSE)+'BMP P Tracking Table'!$Z13*VLOOKUP('BMP P Tracking Table'!$R13,'Loading Rates'!$B$1:$L$24,8,FALSE)+'BMP P Tracking Table'!$AA13*VLOOKUP('BMP P Tracking Table'!$R13,'Loading Rates'!$B$1:$L$24,9,FALSE),'BMP P Tracking Table'!$AB13*VLOOKUP('BMP P Tracking Table'!$R13,'Loading Rates'!$B$1:$L$24,10,FALSE)),'BMP P Tracking Table'!$AP13*VLOOKUP('BMP P Tracking Table'!$R13,'Loading Rates'!$B$1:$L$24,4,FALSE)+IF('BMP P Tracking Table'!$AQ13="By HSG",'BMP P Tracking Table'!$AR13*VLOOKUP('BMP P Tracking Table'!$R13,'Loading Rates'!$B$1:$L$24,6,FALSE)+'BMP P Tracking Table'!$AS13*VLOOKUP('BMP P Tracking Table'!$R13,'Loading Rates'!$B$1:$L$24,7,FALSE)+'BMP P Tracking Table'!$AT13*VLOOKUP('BMP P Tracking Table'!$R13,'Loading Rates'!$B$1:$L$24,8,FALSE)+'BMP P Tracking Table'!$AU13*VLOOKUP('BMP P Tracking Table'!$R13,'Loading Rates'!$B$1:$L$24,9,FALSE),'BMP P Tracking Table'!$AV13*VLOOKUP('BMP P Tracking Table'!$R13,'Loading Rates'!$B$1:$L$24,10,FALSE))),"")</f>
        <v/>
      </c>
      <c r="BA13" s="104">
        <f>IFERROR(IF('BMP P Tracking Table'!$AM13="Yes",MIN(2,IF('BMP P Tracking Table'!$AQ13="Total Pervious",(-(3630*'BMP P Tracking Table'!$AP13+20.691*'BMP P Tracking Table'!$AV13)+SQRT((3630*'BMP P Tracking Table'!$AP13+20.691*'BMP P Tracking Table'!$AV13)^2-(4*(996.798*'BMP P Tracking Table'!$AV13)*-'BMP P Tracking Table'!$AX13)))/(2*(996.798*'BMP P Tracking Table'!$AV13)),IF(SUM('BMP P Tracking Table'!$AR13:$AU13)=0,'BMP P Tracking Table'!$AV13/(-3630*'BMP P Tracking Table'!$AP13),(-(3630*'BMP P Tracking Table'!$AP13+20.691*'BMP P Tracking Table'!$AU13-216.711*'BMP P Tracking Table'!$AT13-83.853*'BMP P Tracking Table'!$AS13-42.834*'BMP P Tracking Table'!$AR13)+SQRT((3630*'BMP P Tracking Table'!$AP13+20.691*'BMP P Tracking Table'!$AU13-216.711*'BMP P Tracking Table'!$AT13-83.853*'BMP P Tracking Table'!$AS13-42.834*'BMP P Tracking Table'!$AR13)^2-(4*(149.919*'BMP P Tracking Table'!$AR13+236.676*'BMP P Tracking Table'!$AS13+726*'BMP P Tracking Table'!$AT13+996.798*'BMP P Tracking Table'!$AU13)*-'BMP P Tracking Table'!$AX13)))/(2*(149.919*'BMP P Tracking Table'!$AR13+236.676*'BMP P Tracking Table'!$AS13+726*'BMP P Tracking Table'!$AT13+996.798*'BMP P Tracking Table'!$AU13))))),MIN(2,IF('BMP P Tracking Table'!$AQ13="Total Pervious",(-(3630*'BMP P Tracking Table'!$V13+20.691*'BMP P Tracking Table'!$AB13)+SQRT((3630*'BMP P Tracking Table'!$V13+20.691*'BMP P Tracking Table'!$AB13)^2-(4*(996.798*'BMP P Tracking Table'!$AB13)*-'BMP P Tracking Table'!$AX13)))/(2*(996.798*'BMP P Tracking Table'!$AB13)),IF(SUM('BMP P Tracking Table'!$X13:$AA13)=0,'BMP P Tracking Table'!$AX13/(-3630*'BMP P Tracking Table'!$V13),(-(3630*'BMP P Tracking Table'!$V13+20.691*'BMP P Tracking Table'!$AA13-216.711*'BMP P Tracking Table'!$Z13-83.853*'BMP P Tracking Table'!$Y13-42.834*'BMP P Tracking Table'!$X13)+SQRT((3630*'BMP P Tracking Table'!$V13+20.691*'BMP P Tracking Table'!$AA13-216.711*'BMP P Tracking Table'!$Z13-83.853*'BMP P Tracking Table'!$Y13-42.834*'BMP P Tracking Table'!$X13)^2-(4*(149.919*'BMP P Tracking Table'!$X13+236.676*'BMP P Tracking Table'!$Y13+726*'BMP P Tracking Table'!$Z13+996.798*'BMP P Tracking Table'!$AA13)*-'BMP P Tracking Table'!$AX13)))/(2*(149.919*'BMP P Tracking Table'!$X13+236.676*'BMP P Tracking Table'!$Y13+726*'BMP P Tracking Table'!$Z13+996.798*'BMP P Tracking Table'!$AA13)))))),"")</f>
        <v>0</v>
      </c>
      <c r="BB13" s="102" t="str">
        <f>IFERROR((VLOOKUP(CONCATENATE('BMP P Tracking Table'!$AW13," ",'BMP P Tracking Table'!$AY13),'Performance Curves'!$C$1:$L$46,_xlfn.SINGLE(MATCH('BMP P Tracking Table'!$BA13,'Performance Curves'!$D$1:$L$1,1))+2,FALSE)-VLOOKUP(CONCATENATE('BMP P Tracking Table'!$AW13," ",'BMP P Tracking Table'!$AY13),'Performance Curves'!$C$1:$L$46,_xlfn.SINGLE(MATCH('BMP P Tracking Table'!$BA13,'Performance Curves'!$D$1:$L$1,1))+1,FALSE)),"")</f>
        <v/>
      </c>
      <c r="BC13" s="102">
        <f>IFERROR(('BMP P Tracking Table'!$BA13-INDEX('Performance Curves'!$D$1:$L$1,1,MATCH('BMP P Tracking Table'!$BA13,'Performance Curves'!$D$1:$L$1,1)))/(INDEX('Performance Curves'!$D$1:$L$1,1,MATCH('BMP P Tracking Table'!$BA13,'Performance Curves'!$D$1:$L$1,1)+1)-INDEX('Performance Curves'!$D$1:$L$1,1,MATCH('BMP P Tracking Table'!$BA13,'Performance Curves'!$D$1:$L$1,1))),"")</f>
        <v>0</v>
      </c>
      <c r="BD13" s="103" t="str" cm="1">
        <f t="array" ref="BD13">IFERROR(IF('BMP P Tracking Table'!$BA13=2,VLOOKUP(CONCATENATE('BMP P Tracking Table'!$AW13," ",'BMP P Tracking Table'!$AY13),'Performance Curves'!$C$1:$L$44,_xlfn.SINGLE(MATCH('BMP P Tracking Table'!$BA13,'Performance Curves'!$D$1:$L$1,1))+1,FALSE),'BMP P Tracking Table'!$BB13*'BMP P Tracking Table'!$BC13+VLOOKUP(CONCATENATE('BMP P Tracking Table'!$AW13," ",'BMP P Tracking Table'!$AY13),'Performance Curves'!$C$1:$L$44,_xlfn.SINGLE(MATCH('BMP P Tracking Table'!$BA13,'Performance Curves'!$D$1:$L$1,1))+1,FALSE)),"")</f>
        <v/>
      </c>
      <c r="BE13" s="104" t="str">
        <f>IFERROR('BMP P Tracking Table'!$BD13*'BMP P Tracking Table'!$AZ13,"")</f>
        <v/>
      </c>
      <c r="BF13" s="98"/>
      <c r="BG13" s="37">
        <f t="shared" si="3"/>
        <v>0</v>
      </c>
      <c r="BH13" s="36" t="s">
        <v>340</v>
      </c>
      <c r="BI13" s="36" t="str">
        <f t="shared" si="1"/>
        <v>2-0317/2-0952</v>
      </c>
      <c r="BJ13" s="36" t="str">
        <f t="shared" si="2"/>
        <v>Mansfield Brickyard Gravel Wetland</v>
      </c>
      <c r="BS13" s="36"/>
    </row>
    <row r="14" spans="1:73">
      <c r="A14" s="36" t="s">
        <v>288</v>
      </c>
      <c r="B14" s="65" t="s">
        <v>303</v>
      </c>
      <c r="C14" s="65" t="s">
        <v>315</v>
      </c>
      <c r="D14" s="65" t="s">
        <v>324</v>
      </c>
      <c r="E14" s="65" t="s">
        <v>9</v>
      </c>
      <c r="F14" s="94"/>
      <c r="G14" s="94"/>
      <c r="H14" s="65" t="s">
        <v>342</v>
      </c>
      <c r="I14" s="65"/>
      <c r="J14" s="65" t="s">
        <v>62</v>
      </c>
      <c r="K14" s="95"/>
      <c r="L14" s="65" t="s">
        <v>111</v>
      </c>
      <c r="M14" s="65"/>
      <c r="N14" s="65"/>
      <c r="O14" s="65"/>
      <c r="P14" s="65"/>
      <c r="Q14" s="65" t="s">
        <v>37</v>
      </c>
      <c r="R14" s="65" t="str">
        <f>IFERROR(VLOOKUP('BMP P Tracking Table'!$Q14,Dropdowns!$C$2:$E$15,3,FALSE),"")</f>
        <v>Malletts Bay Direct Drainage</v>
      </c>
      <c r="S14" s="65" t="str">
        <f>IFERROR(VLOOKUP('BMP P Tracking Table'!$R14,Dropdowns!$Q$3:$R$23,2,FALSE),"")</f>
        <v>Malletts Bay</v>
      </c>
      <c r="T14" s="65" t="s">
        <v>62</v>
      </c>
      <c r="U14" s="65" t="s">
        <v>332</v>
      </c>
      <c r="V14" s="98">
        <v>0.75006399999999995</v>
      </c>
      <c r="W14" s="63" t="s">
        <v>219</v>
      </c>
      <c r="X14" s="65"/>
      <c r="Y14" s="65"/>
      <c r="Z14" s="65"/>
      <c r="AA14" s="65"/>
      <c r="AB14" s="98">
        <v>2.869936</v>
      </c>
      <c r="AC14" s="97">
        <v>7143.84</v>
      </c>
      <c r="AD14" s="65"/>
      <c r="AE14" s="104">
        <f>IFERROR('BMP P Tracking Table'!$V14*VLOOKUP('BMP P Tracking Table'!$R14,'Loading Rates'!$B$1:$L$24,4,FALSE)+IF('BMP P Tracking Table'!$W14="By HSG",'BMP P Tracking Table'!$X14*VLOOKUP('BMP P Tracking Table'!$R14,'Loading Rates'!$B$1:$L$24,6,FALSE)+'BMP P Tracking Table'!$Y14*VLOOKUP('BMP P Tracking Table'!$R14,'Loading Rates'!$B$1:$L$24,7,FALSE)+'BMP P Tracking Table'!$Z14*VLOOKUP('BMP P Tracking Table'!$R14,'Loading Rates'!$B$1:$L$24,8,FALSE)+'BMP P Tracking Table'!$AA14*VLOOKUP('BMP P Tracking Table'!$R14,'Loading Rates'!$B$1:$L$24,9,FALSE),'BMP P Tracking Table'!$AB14*VLOOKUP('BMP P Tracking Table'!$R14,'Loading Rates'!$B$1:$L$24,10,FALSE)),"")</f>
        <v>0.65324203199999986</v>
      </c>
      <c r="AF14" s="104">
        <f>IFERROR(MIN(2,IF('BMP P Tracking Table'!$W14="Total Pervious",(-(3630*'BMP P Tracking Table'!$V14+20.691*'BMP P Tracking Table'!$AB14)+SQRT((3630*'BMP P Tracking Table'!$V14+20.691*'BMP P Tracking Table'!$AB14)^2-(4*(996.798*'BMP P Tracking Table'!$AB14)*-'BMP P Tracking Table'!$AC14)))/(2*(996.798*'BMP P Tracking Table'!$AB14)),IF(SUM('BMP P Tracking Table'!$X14:$AA14)=0,'BMP P Tracking Table'!$AC14/(-3630*'BMP P Tracking Table'!$V14),(-(3630*'BMP P Tracking Table'!$V14+20.691*'BMP P Tracking Table'!$AA14-216.711*'BMP P Tracking Table'!$Z14-83.853*'BMP P Tracking Table'!$Y14-42.834*'BMP P Tracking Table'!$X14)+SQRT((3630*'BMP P Tracking Table'!$V14+20.691*'BMP P Tracking Table'!$AA14-216.711*'BMP P Tracking Table'!$Z14-83.853*'BMP P Tracking Table'!$Y14-42.834*'BMP P Tracking Table'!$X14)^2-(4*(149.919*'BMP P Tracking Table'!$X14+236.676*'BMP P Tracking Table'!$Y14+726*'BMP P Tracking Table'!$Z14+996.798*'BMP P Tracking Table'!$AA14)*-'BMP P Tracking Table'!$AC14)))/(2*(149.919*'BMP P Tracking Table'!$X14+236.676*'BMP P Tracking Table'!$Y14+726*'BMP P Tracking Table'!$Z14+996.798*'BMP P Tracking Table'!$AA14))))),"")</f>
        <v>1.1671156123037325</v>
      </c>
      <c r="AG14" s="104" t="str">
        <f>IFERROR((VLOOKUP(CONCATENATE('BMP P Tracking Table'!$U14," ",'BMP P Tracking Table'!$AD14),'Performance Curves'!$C$1:$L$46,_xlfn.SINGLE(MATCH('BMP P Tracking Table'!$AF14,'Performance Curves'!$D$1:$L$1,1))+2,FALSE)-VLOOKUP(CONCATENATE('BMP P Tracking Table'!$U14," ",'BMP P Tracking Table'!$AD14),'Performance Curves'!$C$1:$L$46,_xlfn.SINGLE(MATCH('BMP P Tracking Table'!$AF14,'Performance Curves'!$D$1:$L$1,1))+1,FALSE)),"")</f>
        <v/>
      </c>
      <c r="AH14" s="104">
        <f>IFERROR(('BMP P Tracking Table'!$AF14-INDEX('Performance Curves'!$D$1:$L$1,1,MATCH('BMP P Tracking Table'!$AF14,'Performance Curves'!$D$1:$L$1,1)))/(INDEX('Performance Curves'!$D$1:$L$1,1,MATCH('BMP P Tracking Table'!$AF14,'Performance Curves'!$D$1:$L$1,1)+1)-INDEX('Performance Curves'!$D$1:$L$1,1,MATCH('BMP P Tracking Table'!$AF14,'Performance Curves'!$D$1:$L$1,1))),"")</f>
        <v>0.33423122460746502</v>
      </c>
      <c r="AI14" s="103" t="str">
        <f>IFERROR(IF('BMP P Tracking Table'!$AF14=2,VLOOKUP(CONCATENATE('BMP P Tracking Table'!$U14," ",'BMP P Tracking Table'!$AD14),'Performance Curves'!$C$1:$L$46,_xlfn.SINGLE(MATCH('BMP P Tracking Table'!$AF14,'Performance Curves'!$D$1:$L$1,1))+1,FALSE),'BMP P Tracking Table'!$AG14*'BMP P Tracking Table'!$AH14+VLOOKUP(CONCATENATE('BMP P Tracking Table'!$U14," ",'BMP P Tracking Table'!$AD14),'Performance Curves'!$C$1:$L$46,_xlfn.SINGLE(MATCH('BMP P Tracking Table'!$AF14,'Performance Curves'!$D$1:$L$1,1))+1,FALSE)),"")</f>
        <v/>
      </c>
      <c r="AJ14" s="104" t="str">
        <f>IFERROR('BMP P Tracking Table'!$AI14*'BMP P Tracking Table'!$AE14,"")</f>
        <v/>
      </c>
      <c r="AK14" s="98">
        <f>AE14*0.4</f>
        <v>0.26129681279999994</v>
      </c>
      <c r="AL14" s="65"/>
      <c r="AM14" s="98"/>
      <c r="AN14" s="64">
        <v>1</v>
      </c>
      <c r="AO14" s="102">
        <f t="shared" si="0"/>
        <v>0.26129681279999994</v>
      </c>
      <c r="AP14" s="98"/>
      <c r="AQ14" s="98"/>
      <c r="AR14" s="98"/>
      <c r="AS14" s="98"/>
      <c r="AT14" s="98"/>
      <c r="AU14" s="98"/>
      <c r="AV14" s="98"/>
      <c r="AW14" s="65"/>
      <c r="AX14" s="99"/>
      <c r="AY14" s="99"/>
      <c r="AZ14" s="104" t="str">
        <f>IF('BMP P Tracking Table'!$AL14="Yes",IF('BMP P Tracking Table'!$AM14="No",'BMP P Tracking Table'!$V14*VLOOKUP('BMP P Tracking Table'!$R14,'Loading Rates'!$B$1:$L$24,4,FALSE)+IF('BMP P Tracking Table'!$W14="By HSG",'BMP P Tracking Table'!$X14*VLOOKUP('BMP P Tracking Table'!$R14,'Loading Rates'!$B$1:$L$24,6,FALSE)+'BMP P Tracking Table'!$Y14*VLOOKUP('BMP P Tracking Table'!$R14,'Loading Rates'!$B$1:$L$24,7,FALSE)+'BMP P Tracking Table'!$Z14*VLOOKUP('BMP P Tracking Table'!$R14,'Loading Rates'!$B$1:$L$24,8,FALSE)+'BMP P Tracking Table'!$AA14*VLOOKUP('BMP P Tracking Table'!$R14,'Loading Rates'!$B$1:$L$24,9,FALSE),'BMP P Tracking Table'!$AB14*VLOOKUP('BMP P Tracking Table'!$R14,'Loading Rates'!$B$1:$L$24,10,FALSE)),'BMP P Tracking Table'!$AP14*VLOOKUP('BMP P Tracking Table'!$R14,'Loading Rates'!$B$1:$L$24,4,FALSE)+IF('BMP P Tracking Table'!$AQ14="By HSG",'BMP P Tracking Table'!$AR14*VLOOKUP('BMP P Tracking Table'!$R14,'Loading Rates'!$B$1:$L$24,6,FALSE)+'BMP P Tracking Table'!$AS14*VLOOKUP('BMP P Tracking Table'!$R14,'Loading Rates'!$B$1:$L$24,7,FALSE)+'BMP P Tracking Table'!$AT14*VLOOKUP('BMP P Tracking Table'!$R14,'Loading Rates'!$B$1:$L$24,8,FALSE)+'BMP P Tracking Table'!$AU14*VLOOKUP('BMP P Tracking Table'!$R14,'Loading Rates'!$B$1:$L$24,9,FALSE),'BMP P Tracking Table'!$AV14*VLOOKUP('BMP P Tracking Table'!$R14,'Loading Rates'!$B$1:$L$24,10,FALSE))),"")</f>
        <v/>
      </c>
      <c r="BA14" s="104">
        <f>IFERROR(IF('BMP P Tracking Table'!$AM14="Yes",MIN(2,IF('BMP P Tracking Table'!$AQ14="Total Pervious",(-(3630*'BMP P Tracking Table'!$AP14+20.691*'BMP P Tracking Table'!$AV14)+SQRT((3630*'BMP P Tracking Table'!$AP14+20.691*'BMP P Tracking Table'!$AV14)^2-(4*(996.798*'BMP P Tracking Table'!$AV14)*-'BMP P Tracking Table'!$AX14)))/(2*(996.798*'BMP P Tracking Table'!$AV14)),IF(SUM('BMP P Tracking Table'!$AR14:$AU14)=0,'BMP P Tracking Table'!$AV14/(-3630*'BMP P Tracking Table'!$AP14),(-(3630*'BMP P Tracking Table'!$AP14+20.691*'BMP P Tracking Table'!$AU14-216.711*'BMP P Tracking Table'!$AT14-83.853*'BMP P Tracking Table'!$AS14-42.834*'BMP P Tracking Table'!$AR14)+SQRT((3630*'BMP P Tracking Table'!$AP14+20.691*'BMP P Tracking Table'!$AU14-216.711*'BMP P Tracking Table'!$AT14-83.853*'BMP P Tracking Table'!$AS14-42.834*'BMP P Tracking Table'!$AR14)^2-(4*(149.919*'BMP P Tracking Table'!$AR14+236.676*'BMP P Tracking Table'!$AS14+726*'BMP P Tracking Table'!$AT14+996.798*'BMP P Tracking Table'!$AU14)*-'BMP P Tracking Table'!$AX14)))/(2*(149.919*'BMP P Tracking Table'!$AR14+236.676*'BMP P Tracking Table'!$AS14+726*'BMP P Tracking Table'!$AT14+996.798*'BMP P Tracking Table'!$AU14))))),MIN(2,IF('BMP P Tracking Table'!$AQ14="Total Pervious",(-(3630*'BMP P Tracking Table'!$V14+20.691*'BMP P Tracking Table'!$AB14)+SQRT((3630*'BMP P Tracking Table'!$V14+20.691*'BMP P Tracking Table'!$AB14)^2-(4*(996.798*'BMP P Tracking Table'!$AB14)*-'BMP P Tracking Table'!$AX14)))/(2*(996.798*'BMP P Tracking Table'!$AB14)),IF(SUM('BMP P Tracking Table'!$X14:$AA14)=0,'BMP P Tracking Table'!$AX14/(-3630*'BMP P Tracking Table'!$V14),(-(3630*'BMP P Tracking Table'!$V14+20.691*'BMP P Tracking Table'!$AA14-216.711*'BMP P Tracking Table'!$Z14-83.853*'BMP P Tracking Table'!$Y14-42.834*'BMP P Tracking Table'!$X14)+SQRT((3630*'BMP P Tracking Table'!$V14+20.691*'BMP P Tracking Table'!$AA14-216.711*'BMP P Tracking Table'!$Z14-83.853*'BMP P Tracking Table'!$Y14-42.834*'BMP P Tracking Table'!$X14)^2-(4*(149.919*'BMP P Tracking Table'!$X14+236.676*'BMP P Tracking Table'!$Y14+726*'BMP P Tracking Table'!$Z14+996.798*'BMP P Tracking Table'!$AA14)*-'BMP P Tracking Table'!$AX14)))/(2*(149.919*'BMP P Tracking Table'!$X14+236.676*'BMP P Tracking Table'!$Y14+726*'BMP P Tracking Table'!$Z14+996.798*'BMP P Tracking Table'!$AA14)))))),"")</f>
        <v>0</v>
      </c>
      <c r="BB14" s="102" t="str">
        <f>IFERROR((VLOOKUP(CONCATENATE('BMP P Tracking Table'!$AW14," ",'BMP P Tracking Table'!$AY14),'Performance Curves'!$C$1:$L$46,_xlfn.SINGLE(MATCH('BMP P Tracking Table'!$BA14,'Performance Curves'!$D$1:$L$1,1))+2,FALSE)-VLOOKUP(CONCATENATE('BMP P Tracking Table'!$AW14," ",'BMP P Tracking Table'!$AY14),'Performance Curves'!$C$1:$L$46,_xlfn.SINGLE(MATCH('BMP P Tracking Table'!$BA14,'Performance Curves'!$D$1:$L$1,1))+1,FALSE)),"")</f>
        <v/>
      </c>
      <c r="BC14" s="102">
        <f>IFERROR(('BMP P Tracking Table'!$BA14-INDEX('Performance Curves'!$D$1:$L$1,1,MATCH('BMP P Tracking Table'!$BA14,'Performance Curves'!$D$1:$L$1,1)))/(INDEX('Performance Curves'!$D$1:$L$1,1,MATCH('BMP P Tracking Table'!$BA14,'Performance Curves'!$D$1:$L$1,1)+1)-INDEX('Performance Curves'!$D$1:$L$1,1,MATCH('BMP P Tracking Table'!$BA14,'Performance Curves'!$D$1:$L$1,1))),"")</f>
        <v>0</v>
      </c>
      <c r="BD14" s="103" t="str" cm="1">
        <f t="array" ref="BD14">IFERROR(IF('BMP P Tracking Table'!$BA14=2,VLOOKUP(CONCATENATE('BMP P Tracking Table'!$AW14," ",'BMP P Tracking Table'!$AY14),'Performance Curves'!$C$1:$L$44,_xlfn.SINGLE(MATCH('BMP P Tracking Table'!$BA14,'Performance Curves'!$D$1:$L$1,1))+1,FALSE),'BMP P Tracking Table'!$BB14*'BMP P Tracking Table'!$BC14+VLOOKUP(CONCATENATE('BMP P Tracking Table'!$AW14," ",'BMP P Tracking Table'!$AY14),'Performance Curves'!$C$1:$L$44,_xlfn.SINGLE(MATCH('BMP P Tracking Table'!$BA14,'Performance Curves'!$D$1:$L$1,1))+1,FALSE)),"")</f>
        <v/>
      </c>
      <c r="BE14" s="104" t="str">
        <f>IFERROR('BMP P Tracking Table'!$BD14*'BMP P Tracking Table'!$AZ14,"")</f>
        <v/>
      </c>
      <c r="BF14" s="98"/>
      <c r="BG14" s="37">
        <f t="shared" si="3"/>
        <v>0</v>
      </c>
      <c r="BH14" s="36" t="s">
        <v>334</v>
      </c>
      <c r="BI14" s="36" t="str">
        <f t="shared" si="1"/>
        <v>5864‐INDS</v>
      </c>
      <c r="BJ14" s="36" t="str">
        <f t="shared" si="2"/>
        <v>Lang Family, LLC</v>
      </c>
      <c r="BS14" s="36"/>
    </row>
    <row r="15" spans="1:73">
      <c r="A15" s="36" t="s">
        <v>289</v>
      </c>
      <c r="B15" s="65" t="s">
        <v>304</v>
      </c>
      <c r="C15" s="65" t="s">
        <v>316</v>
      </c>
      <c r="D15" s="65" t="s">
        <v>326</v>
      </c>
      <c r="E15" s="65" t="s">
        <v>10</v>
      </c>
      <c r="F15" s="94"/>
      <c r="G15" s="94"/>
      <c r="H15" s="65" t="s">
        <v>343</v>
      </c>
      <c r="I15" s="65"/>
      <c r="J15" s="65" t="s">
        <v>66</v>
      </c>
      <c r="K15" s="95"/>
      <c r="L15" s="65" t="s">
        <v>111</v>
      </c>
      <c r="M15" s="65"/>
      <c r="N15" s="65"/>
      <c r="O15" s="65"/>
      <c r="P15" s="65"/>
      <c r="Q15" s="65" t="s">
        <v>37</v>
      </c>
      <c r="R15" s="65" t="str">
        <f>IFERROR(VLOOKUP('BMP P Tracking Table'!$Q15,Dropdowns!$C$2:$E$15,3,FALSE),"")</f>
        <v>Malletts Bay Direct Drainage</v>
      </c>
      <c r="S15" s="65" t="str">
        <f>IFERROR(VLOOKUP('BMP P Tracking Table'!$R15,Dropdowns!$Q$3:$R$23,2,FALSE),"")</f>
        <v>Malletts Bay</v>
      </c>
      <c r="T15" s="65" t="s">
        <v>66</v>
      </c>
      <c r="U15" s="65" t="s">
        <v>794</v>
      </c>
      <c r="V15" s="98">
        <v>13.891233</v>
      </c>
      <c r="W15" s="63" t="s">
        <v>219</v>
      </c>
      <c r="X15" s="65"/>
      <c r="Y15" s="65"/>
      <c r="Z15" s="65"/>
      <c r="AA15" s="65"/>
      <c r="AB15" s="98">
        <v>16.998767000000001</v>
      </c>
      <c r="AC15" s="97">
        <v>11891.880000000001</v>
      </c>
      <c r="AD15" s="65"/>
      <c r="AE15" s="104">
        <f>IFERROR('BMP P Tracking Table'!$V15*VLOOKUP('BMP P Tracking Table'!$R15,'Loading Rates'!$B$1:$L$24,4,FALSE)+IF('BMP P Tracking Table'!$W15="By HSG",'BMP P Tracking Table'!$X15*VLOOKUP('BMP P Tracking Table'!$R15,'Loading Rates'!$B$1:$L$24,6,FALSE)+'BMP P Tracking Table'!$Y15*VLOOKUP('BMP P Tracking Table'!$R15,'Loading Rates'!$B$1:$L$24,7,FALSE)+'BMP P Tracking Table'!$Z15*VLOOKUP('BMP P Tracking Table'!$R15,'Loading Rates'!$B$1:$L$24,8,FALSE)+'BMP P Tracking Table'!$AA15*VLOOKUP('BMP P Tracking Table'!$R15,'Loading Rates'!$B$1:$L$24,9,FALSE),'BMP P Tracking Table'!$AB15*VLOOKUP('BMP P Tracking Table'!$R15,'Loading Rates'!$B$1:$L$24,10,FALSE)),"")</f>
        <v>11.664252428999999</v>
      </c>
      <c r="AF15" s="104">
        <f>IFERROR(MIN(2,IF('BMP P Tracking Table'!$W15="Total Pervious",(-(3630*'BMP P Tracking Table'!$V15+20.691*'BMP P Tracking Table'!$AB15)+SQRT((3630*'BMP P Tracking Table'!$V15+20.691*'BMP P Tracking Table'!$AB15)^2-(4*(996.798*'BMP P Tracking Table'!$AB15)*-'BMP P Tracking Table'!$AC15)))/(2*(996.798*'BMP P Tracking Table'!$AB15)),IF(SUM('BMP P Tracking Table'!$X15:$AA15)=0,'BMP P Tracking Table'!$AC15/(-3630*'BMP P Tracking Table'!$V15),(-(3630*'BMP P Tracking Table'!$V15+20.691*'BMP P Tracking Table'!$AA15-216.711*'BMP P Tracking Table'!$Z15-83.853*'BMP P Tracking Table'!$Y15-42.834*'BMP P Tracking Table'!$X15)+SQRT((3630*'BMP P Tracking Table'!$V15+20.691*'BMP P Tracking Table'!$AA15-216.711*'BMP P Tracking Table'!$Z15-83.853*'BMP P Tracking Table'!$Y15-42.834*'BMP P Tracking Table'!$X15)^2-(4*(149.919*'BMP P Tracking Table'!$X15+236.676*'BMP P Tracking Table'!$Y15+726*'BMP P Tracking Table'!$Z15+996.798*'BMP P Tracking Table'!$AA15)*-'BMP P Tracking Table'!$AC15)))/(2*(149.919*'BMP P Tracking Table'!$X15+236.676*'BMP P Tracking Table'!$Y15+726*'BMP P Tracking Table'!$Z15+996.798*'BMP P Tracking Table'!$AA15))))),"")</f>
        <v>0.2182966103986245</v>
      </c>
      <c r="AG15" s="104">
        <f>IFERROR((VLOOKUP(CONCATENATE('BMP P Tracking Table'!$U15," ",'BMP P Tracking Table'!$AD15),'Performance Curves'!$C$1:$L$46,_xlfn.SINGLE(MATCH('BMP P Tracking Table'!$AF15,'Performance Curves'!$D$1:$L$1,1))+2,FALSE)-VLOOKUP(CONCATENATE('BMP P Tracking Table'!$U15," ",'BMP P Tracking Table'!$AD15),'Performance Curves'!$C$1:$L$46,_xlfn.SINGLE(MATCH('BMP P Tracking Table'!$AF15,'Performance Curves'!$D$1:$L$1,1))+1,FALSE)),"")</f>
        <v>2.0000000000000004E-2</v>
      </c>
      <c r="AH15" s="104">
        <f>IFERROR(('BMP P Tracking Table'!$AF15-INDEX('Performance Curves'!$D$1:$L$1,1,MATCH('BMP P Tracking Table'!$AF15,'Performance Curves'!$D$1:$L$1,1)))/(INDEX('Performance Curves'!$D$1:$L$1,1,MATCH('BMP P Tracking Table'!$AF15,'Performance Curves'!$D$1:$L$1,1)+1)-INDEX('Performance Curves'!$D$1:$L$1,1,MATCH('BMP P Tracking Table'!$AF15,'Performance Curves'!$D$1:$L$1,1))),"")</f>
        <v>9.1483051993122427E-2</v>
      </c>
      <c r="AI15" s="103">
        <f>IFERROR(IF('BMP P Tracking Table'!$AF15=2,VLOOKUP(CONCATENATE('BMP P Tracking Table'!$U15," ",'BMP P Tracking Table'!$AD15),'Performance Curves'!$C$1:$L$46,_xlfn.SINGLE(MATCH('BMP P Tracking Table'!$AF15,'Performance Curves'!$D$1:$L$1,1))+1,FALSE),'BMP P Tracking Table'!$AG15*'BMP P Tracking Table'!$AH15+VLOOKUP(CONCATENATE('BMP P Tracking Table'!$U15," ",'BMP P Tracking Table'!$AD15),'Performance Curves'!$C$1:$L$46,_xlfn.SINGLE(MATCH('BMP P Tracking Table'!$AF15,'Performance Curves'!$D$1:$L$1,1))+1,FALSE)),"")</f>
        <v>6.1829661039862448E-2</v>
      </c>
      <c r="AJ15" s="104">
        <f>IFERROR('BMP P Tracking Table'!$AI15*'BMP P Tracking Table'!$AE15,"")</f>
        <v>0.72119677396846216</v>
      </c>
      <c r="AK15" s="65"/>
      <c r="AL15" s="65"/>
      <c r="AM15" s="98"/>
      <c r="AN15" s="64">
        <v>1</v>
      </c>
      <c r="AO15" s="102">
        <f t="shared" si="0"/>
        <v>0.72119677396846216</v>
      </c>
      <c r="AP15" s="98"/>
      <c r="AQ15" s="98"/>
      <c r="AR15" s="98"/>
      <c r="AS15" s="98"/>
      <c r="AT15" s="98"/>
      <c r="AU15" s="98"/>
      <c r="AV15" s="98"/>
      <c r="AW15" s="65"/>
      <c r="AX15" s="99"/>
      <c r="AY15" s="99"/>
      <c r="AZ15" s="104" t="str">
        <f>IF('BMP P Tracking Table'!$AL15="Yes",IF('BMP P Tracking Table'!$AM15="No",'BMP P Tracking Table'!$V15*VLOOKUP('BMP P Tracking Table'!$R15,'Loading Rates'!$B$1:$L$24,4,FALSE)+IF('BMP P Tracking Table'!$W15="By HSG",'BMP P Tracking Table'!$X15*VLOOKUP('BMP P Tracking Table'!$R15,'Loading Rates'!$B$1:$L$24,6,FALSE)+'BMP P Tracking Table'!$Y15*VLOOKUP('BMP P Tracking Table'!$R15,'Loading Rates'!$B$1:$L$24,7,FALSE)+'BMP P Tracking Table'!$Z15*VLOOKUP('BMP P Tracking Table'!$R15,'Loading Rates'!$B$1:$L$24,8,FALSE)+'BMP P Tracking Table'!$AA15*VLOOKUP('BMP P Tracking Table'!$R15,'Loading Rates'!$B$1:$L$24,9,FALSE),'BMP P Tracking Table'!$AB15*VLOOKUP('BMP P Tracking Table'!$R15,'Loading Rates'!$B$1:$L$24,10,FALSE)),'BMP P Tracking Table'!$AP15*VLOOKUP('BMP P Tracking Table'!$R15,'Loading Rates'!$B$1:$L$24,4,FALSE)+IF('BMP P Tracking Table'!$AQ15="By HSG",'BMP P Tracking Table'!$AR15*VLOOKUP('BMP P Tracking Table'!$R15,'Loading Rates'!$B$1:$L$24,6,FALSE)+'BMP P Tracking Table'!$AS15*VLOOKUP('BMP P Tracking Table'!$R15,'Loading Rates'!$B$1:$L$24,7,FALSE)+'BMP P Tracking Table'!$AT15*VLOOKUP('BMP P Tracking Table'!$R15,'Loading Rates'!$B$1:$L$24,8,FALSE)+'BMP P Tracking Table'!$AU15*VLOOKUP('BMP P Tracking Table'!$R15,'Loading Rates'!$B$1:$L$24,9,FALSE),'BMP P Tracking Table'!$AV15*VLOOKUP('BMP P Tracking Table'!$R15,'Loading Rates'!$B$1:$L$24,10,FALSE))),"")</f>
        <v/>
      </c>
      <c r="BA15" s="104">
        <f>IFERROR(IF('BMP P Tracking Table'!$AM15="Yes",MIN(2,IF('BMP P Tracking Table'!$AQ15="Total Pervious",(-(3630*'BMP P Tracking Table'!$AP15+20.691*'BMP P Tracking Table'!$AV15)+SQRT((3630*'BMP P Tracking Table'!$AP15+20.691*'BMP P Tracking Table'!$AV15)^2-(4*(996.798*'BMP P Tracking Table'!$AV15)*-'BMP P Tracking Table'!$AX15)))/(2*(996.798*'BMP P Tracking Table'!$AV15)),IF(SUM('BMP P Tracking Table'!$AR15:$AU15)=0,'BMP P Tracking Table'!$AV15/(-3630*'BMP P Tracking Table'!$AP15),(-(3630*'BMP P Tracking Table'!$AP15+20.691*'BMP P Tracking Table'!$AU15-216.711*'BMP P Tracking Table'!$AT15-83.853*'BMP P Tracking Table'!$AS15-42.834*'BMP P Tracking Table'!$AR15)+SQRT((3630*'BMP P Tracking Table'!$AP15+20.691*'BMP P Tracking Table'!$AU15-216.711*'BMP P Tracking Table'!$AT15-83.853*'BMP P Tracking Table'!$AS15-42.834*'BMP P Tracking Table'!$AR15)^2-(4*(149.919*'BMP P Tracking Table'!$AR15+236.676*'BMP P Tracking Table'!$AS15+726*'BMP P Tracking Table'!$AT15+996.798*'BMP P Tracking Table'!$AU15)*-'BMP P Tracking Table'!$AX15)))/(2*(149.919*'BMP P Tracking Table'!$AR15+236.676*'BMP P Tracking Table'!$AS15+726*'BMP P Tracking Table'!$AT15+996.798*'BMP P Tracking Table'!$AU15))))),MIN(2,IF('BMP P Tracking Table'!$AQ15="Total Pervious",(-(3630*'BMP P Tracking Table'!$V15+20.691*'BMP P Tracking Table'!$AB15)+SQRT((3630*'BMP P Tracking Table'!$V15+20.691*'BMP P Tracking Table'!$AB15)^2-(4*(996.798*'BMP P Tracking Table'!$AB15)*-'BMP P Tracking Table'!$AX15)))/(2*(996.798*'BMP P Tracking Table'!$AB15)),IF(SUM('BMP P Tracking Table'!$X15:$AA15)=0,'BMP P Tracking Table'!$AX15/(-3630*'BMP P Tracking Table'!$V15),(-(3630*'BMP P Tracking Table'!$V15+20.691*'BMP P Tracking Table'!$AA15-216.711*'BMP P Tracking Table'!$Z15-83.853*'BMP P Tracking Table'!$Y15-42.834*'BMP P Tracking Table'!$X15)+SQRT((3630*'BMP P Tracking Table'!$V15+20.691*'BMP P Tracking Table'!$AA15-216.711*'BMP P Tracking Table'!$Z15-83.853*'BMP P Tracking Table'!$Y15-42.834*'BMP P Tracking Table'!$X15)^2-(4*(149.919*'BMP P Tracking Table'!$X15+236.676*'BMP P Tracking Table'!$Y15+726*'BMP P Tracking Table'!$Z15+996.798*'BMP P Tracking Table'!$AA15)*-'BMP P Tracking Table'!$AX15)))/(2*(149.919*'BMP P Tracking Table'!$X15+236.676*'BMP P Tracking Table'!$Y15+726*'BMP P Tracking Table'!$Z15+996.798*'BMP P Tracking Table'!$AA15)))))),"")</f>
        <v>0</v>
      </c>
      <c r="BB15" s="102" t="str">
        <f>IFERROR((VLOOKUP(CONCATENATE('BMP P Tracking Table'!$AW15," ",'BMP P Tracking Table'!$AY15),'Performance Curves'!$C$1:$L$46,_xlfn.SINGLE(MATCH('BMP P Tracking Table'!$BA15,'Performance Curves'!$D$1:$L$1,1))+2,FALSE)-VLOOKUP(CONCATENATE('BMP P Tracking Table'!$AW15," ",'BMP P Tracking Table'!$AY15),'Performance Curves'!$C$1:$L$46,_xlfn.SINGLE(MATCH('BMP P Tracking Table'!$BA15,'Performance Curves'!$D$1:$L$1,1))+1,FALSE)),"")</f>
        <v/>
      </c>
      <c r="BC15" s="102">
        <f>IFERROR(('BMP P Tracking Table'!$BA15-INDEX('Performance Curves'!$D$1:$L$1,1,MATCH('BMP P Tracking Table'!$BA15,'Performance Curves'!$D$1:$L$1,1)))/(INDEX('Performance Curves'!$D$1:$L$1,1,MATCH('BMP P Tracking Table'!$BA15,'Performance Curves'!$D$1:$L$1,1)+1)-INDEX('Performance Curves'!$D$1:$L$1,1,MATCH('BMP P Tracking Table'!$BA15,'Performance Curves'!$D$1:$L$1,1))),"")</f>
        <v>0</v>
      </c>
      <c r="BD15" s="103" t="str" cm="1">
        <f t="array" ref="BD15">IFERROR(IF('BMP P Tracking Table'!$BA15=2,VLOOKUP(CONCATENATE('BMP P Tracking Table'!$AW15," ",'BMP P Tracking Table'!$AY15),'Performance Curves'!$C$1:$L$44,_xlfn.SINGLE(MATCH('BMP P Tracking Table'!$BA15,'Performance Curves'!$D$1:$L$1,1))+1,FALSE),'BMP P Tracking Table'!$BB15*'BMP P Tracking Table'!$BC15+VLOOKUP(CONCATENATE('BMP P Tracking Table'!$AW15," ",'BMP P Tracking Table'!$AY15),'Performance Curves'!$C$1:$L$44,_xlfn.SINGLE(MATCH('BMP P Tracking Table'!$BA15,'Performance Curves'!$D$1:$L$1,1))+1,FALSE)),"")</f>
        <v/>
      </c>
      <c r="BE15" s="104" t="str">
        <f>IFERROR('BMP P Tracking Table'!$BD15*'BMP P Tracking Table'!$AZ15,"")</f>
        <v/>
      </c>
      <c r="BF15" s="98"/>
      <c r="BG15" s="37">
        <f t="shared" si="3"/>
        <v>0</v>
      </c>
      <c r="BH15" s="36" t="s">
        <v>334</v>
      </c>
      <c r="BI15" s="36" t="str">
        <f t="shared" si="1"/>
        <v>4989‐INDO</v>
      </c>
      <c r="BJ15" s="36" t="str">
        <f t="shared" si="2"/>
        <v>5 Corners North</v>
      </c>
      <c r="BS15" s="36"/>
    </row>
    <row r="16" spans="1:73">
      <c r="A16" s="36" t="s">
        <v>290</v>
      </c>
      <c r="B16" s="65" t="s">
        <v>305</v>
      </c>
      <c r="C16" s="65" t="s">
        <v>317</v>
      </c>
      <c r="D16" s="65" t="s">
        <v>328</v>
      </c>
      <c r="E16" s="65" t="s">
        <v>10</v>
      </c>
      <c r="F16" s="94"/>
      <c r="G16" s="94"/>
      <c r="H16" s="65" t="s">
        <v>305</v>
      </c>
      <c r="I16" s="65"/>
      <c r="J16" s="65" t="s">
        <v>66</v>
      </c>
      <c r="K16" s="95"/>
      <c r="L16" s="65" t="s">
        <v>178</v>
      </c>
      <c r="M16" s="65"/>
      <c r="N16" s="65"/>
      <c r="O16" s="65"/>
      <c r="P16" s="65"/>
      <c r="Q16" s="65" t="s">
        <v>37</v>
      </c>
      <c r="R16" s="65" t="str">
        <f>IFERROR(VLOOKUP('BMP P Tracking Table'!$Q16,Dropdowns!$C$2:$E$15,3,FALSE),"")</f>
        <v>Malletts Bay Direct Drainage</v>
      </c>
      <c r="S16" s="65" t="str">
        <f>IFERROR(VLOOKUP('BMP P Tracking Table'!$R16,Dropdowns!$Q$3:$R$23,2,FALSE),"")</f>
        <v>Malletts Bay</v>
      </c>
      <c r="T16" s="65" t="s">
        <v>66</v>
      </c>
      <c r="U16" s="123" t="s">
        <v>164</v>
      </c>
      <c r="V16" s="98">
        <v>1.946</v>
      </c>
      <c r="W16" s="63" t="s">
        <v>219</v>
      </c>
      <c r="X16" s="65"/>
      <c r="Y16" s="65"/>
      <c r="Z16" s="65"/>
      <c r="AA16" s="65"/>
      <c r="AB16" s="98">
        <v>3.3040000000000003</v>
      </c>
      <c r="AC16" s="97">
        <v>4791.6000000000004</v>
      </c>
      <c r="AD16" s="65" t="s">
        <v>210</v>
      </c>
      <c r="AE16" s="104">
        <f>IFERROR('BMP P Tracking Table'!$V16*VLOOKUP('BMP P Tracking Table'!$R16,'Loading Rates'!$B$1:$L$24,4,FALSE)+IF('BMP P Tracking Table'!$W16="By HSG",'BMP P Tracking Table'!$X16*VLOOKUP('BMP P Tracking Table'!$R16,'Loading Rates'!$B$1:$L$24,6,FALSE)+'BMP P Tracking Table'!$Y16*VLOOKUP('BMP P Tracking Table'!$R16,'Loading Rates'!$B$1:$L$24,7,FALSE)+'BMP P Tracking Table'!$Z16*VLOOKUP('BMP P Tracking Table'!$R16,'Loading Rates'!$B$1:$L$24,8,FALSE)+'BMP P Tracking Table'!$AA16*VLOOKUP('BMP P Tracking Table'!$R16,'Loading Rates'!$B$1:$L$24,9,FALSE),'BMP P Tracking Table'!$AB16*VLOOKUP('BMP P Tracking Table'!$R16,'Loading Rates'!$B$1:$L$24,10,FALSE)),"")</f>
        <v>1.6450979999999997</v>
      </c>
      <c r="AF16" s="104">
        <f>IFERROR(MIN(2,IF('BMP P Tracking Table'!$W16="Total Pervious",(-(3630*'BMP P Tracking Table'!$V16+20.691*'BMP P Tracking Table'!$AB16)+SQRT((3630*'BMP P Tracking Table'!$V16+20.691*'BMP P Tracking Table'!$AB16)^2-(4*(996.798*'BMP P Tracking Table'!$AB16)*-'BMP P Tracking Table'!$AC16)))/(2*(996.798*'BMP P Tracking Table'!$AB16)),IF(SUM('BMP P Tracking Table'!$X16:$AA16)=0,'BMP P Tracking Table'!$AC16/(-3630*'BMP P Tracking Table'!$V16),(-(3630*'BMP P Tracking Table'!$V16+20.691*'BMP P Tracking Table'!$AA16-216.711*'BMP P Tracking Table'!$Z16-83.853*'BMP P Tracking Table'!$Y16-42.834*'BMP P Tracking Table'!$X16)+SQRT((3630*'BMP P Tracking Table'!$V16+20.691*'BMP P Tracking Table'!$AA16-216.711*'BMP P Tracking Table'!$Z16-83.853*'BMP P Tracking Table'!$Y16-42.834*'BMP P Tracking Table'!$X16)^2-(4*(149.919*'BMP P Tracking Table'!$X16+236.676*'BMP P Tracking Table'!$Y16+726*'BMP P Tracking Table'!$Z16+996.798*'BMP P Tracking Table'!$AA16)*-'BMP P Tracking Table'!$AC16)))/(2*(149.919*'BMP P Tracking Table'!$X16+236.676*'BMP P Tracking Table'!$Y16+726*'BMP P Tracking Table'!$Z16+996.798*'BMP P Tracking Table'!$AA16))))),"")</f>
        <v>0.53810664644947515</v>
      </c>
      <c r="AG16" s="104">
        <f>IFERROR((VLOOKUP(CONCATENATE('BMP P Tracking Table'!$U16," ",'BMP P Tracking Table'!$AD16),'Performance Curves'!$C$1:$L$46,_xlfn.SINGLE(MATCH('BMP P Tracking Table'!$AF16,'Performance Curves'!$D$1:$L$1,1))+2,FALSE)-VLOOKUP(CONCATENATE('BMP P Tracking Table'!$U16," ",'BMP P Tracking Table'!$AD16),'Performance Curves'!$C$1:$L$46,_xlfn.SINGLE(MATCH('BMP P Tracking Table'!$AF16,'Performance Curves'!$D$1:$L$1,1))+1,FALSE)),"")</f>
        <v>0.16000000000000003</v>
      </c>
      <c r="AH16" s="104">
        <f>IFERROR(('BMP P Tracking Table'!$AF16-INDEX('Performance Curves'!$D$1:$L$1,1,MATCH('BMP P Tracking Table'!$AF16,'Performance Curves'!$D$1:$L$1,1)))/(INDEX('Performance Curves'!$D$1:$L$1,1,MATCH('BMP P Tracking Table'!$AF16,'Performance Curves'!$D$1:$L$1,1)+1)-INDEX('Performance Curves'!$D$1:$L$1,1,MATCH('BMP P Tracking Table'!$AF16,'Performance Curves'!$D$1:$L$1,1))),"")</f>
        <v>0.69053323224737573</v>
      </c>
      <c r="AI16" s="103">
        <f>IFERROR(IF('BMP P Tracking Table'!$AF16=2,VLOOKUP(CONCATENATE('BMP P Tracking Table'!$U16," ",'BMP P Tracking Table'!$AD16),'Performance Curves'!$C$1:$L$46,_xlfn.SINGLE(MATCH('BMP P Tracking Table'!$AF16,'Performance Curves'!$D$1:$L$1,1))+1,FALSE),'BMP P Tracking Table'!$AG16*'BMP P Tracking Table'!$AH16+VLOOKUP(CONCATENATE('BMP P Tracking Table'!$U16," ",'BMP P Tracking Table'!$AD16),'Performance Curves'!$C$1:$L$46,_xlfn.SINGLE(MATCH('BMP P Tracking Table'!$AF16,'Performance Curves'!$D$1:$L$1,1))+1,FALSE)),"")</f>
        <v>0.68048531715958005</v>
      </c>
      <c r="AJ16" s="104">
        <f>IFERROR('BMP P Tracking Table'!$AI16*'BMP P Tracking Table'!$AE16,"")</f>
        <v>1.1194650342885906</v>
      </c>
      <c r="AK16" s="65"/>
      <c r="AL16" s="65"/>
      <c r="AM16" s="98"/>
      <c r="AN16" s="64">
        <v>1</v>
      </c>
      <c r="AO16" s="102">
        <f t="shared" si="0"/>
        <v>1.1194650342885906</v>
      </c>
      <c r="AP16" s="98"/>
      <c r="AQ16" s="98"/>
      <c r="AR16" s="98"/>
      <c r="AS16" s="98"/>
      <c r="AT16" s="98"/>
      <c r="AU16" s="98"/>
      <c r="AV16" s="98"/>
      <c r="AW16" s="65"/>
      <c r="AX16" s="99"/>
      <c r="AY16" s="99"/>
      <c r="AZ16" s="104" t="str">
        <f>IF('BMP P Tracking Table'!$AL16="Yes",IF('BMP P Tracking Table'!$AM16="No",'BMP P Tracking Table'!$V16*VLOOKUP('BMP P Tracking Table'!$R16,'Loading Rates'!$B$1:$L$24,4,FALSE)+IF('BMP P Tracking Table'!$W16="By HSG",'BMP P Tracking Table'!$X16*VLOOKUP('BMP P Tracking Table'!$R16,'Loading Rates'!$B$1:$L$24,6,FALSE)+'BMP P Tracking Table'!$Y16*VLOOKUP('BMP P Tracking Table'!$R16,'Loading Rates'!$B$1:$L$24,7,FALSE)+'BMP P Tracking Table'!$Z16*VLOOKUP('BMP P Tracking Table'!$R16,'Loading Rates'!$B$1:$L$24,8,FALSE)+'BMP P Tracking Table'!$AA16*VLOOKUP('BMP P Tracking Table'!$R16,'Loading Rates'!$B$1:$L$24,9,FALSE),'BMP P Tracking Table'!$AB16*VLOOKUP('BMP P Tracking Table'!$R16,'Loading Rates'!$B$1:$L$24,10,FALSE)),'BMP P Tracking Table'!$AP16*VLOOKUP('BMP P Tracking Table'!$R16,'Loading Rates'!$B$1:$L$24,4,FALSE)+IF('BMP P Tracking Table'!$AQ16="By HSG",'BMP P Tracking Table'!$AR16*VLOOKUP('BMP P Tracking Table'!$R16,'Loading Rates'!$B$1:$L$24,6,FALSE)+'BMP P Tracking Table'!$AS16*VLOOKUP('BMP P Tracking Table'!$R16,'Loading Rates'!$B$1:$L$24,7,FALSE)+'BMP P Tracking Table'!$AT16*VLOOKUP('BMP P Tracking Table'!$R16,'Loading Rates'!$B$1:$L$24,8,FALSE)+'BMP P Tracking Table'!$AU16*VLOOKUP('BMP P Tracking Table'!$R16,'Loading Rates'!$B$1:$L$24,9,FALSE),'BMP P Tracking Table'!$AV16*VLOOKUP('BMP P Tracking Table'!$R16,'Loading Rates'!$B$1:$L$24,10,FALSE))),"")</f>
        <v/>
      </c>
      <c r="BA16" s="104">
        <f>IFERROR(IF('BMP P Tracking Table'!$AM16="Yes",MIN(2,IF('BMP P Tracking Table'!$AQ16="Total Pervious",(-(3630*'BMP P Tracking Table'!$AP16+20.691*'BMP P Tracking Table'!$AV16)+SQRT((3630*'BMP P Tracking Table'!$AP16+20.691*'BMP P Tracking Table'!$AV16)^2-(4*(996.798*'BMP P Tracking Table'!$AV16)*-'BMP P Tracking Table'!$AX16)))/(2*(996.798*'BMP P Tracking Table'!$AV16)),IF(SUM('BMP P Tracking Table'!$AR16:$AU16)=0,'BMP P Tracking Table'!$AV16/(-3630*'BMP P Tracking Table'!$AP16),(-(3630*'BMP P Tracking Table'!$AP16+20.691*'BMP P Tracking Table'!$AU16-216.711*'BMP P Tracking Table'!$AT16-83.853*'BMP P Tracking Table'!$AS16-42.834*'BMP P Tracking Table'!$AR16)+SQRT((3630*'BMP P Tracking Table'!$AP16+20.691*'BMP P Tracking Table'!$AU16-216.711*'BMP P Tracking Table'!$AT16-83.853*'BMP P Tracking Table'!$AS16-42.834*'BMP P Tracking Table'!$AR16)^2-(4*(149.919*'BMP P Tracking Table'!$AR16+236.676*'BMP P Tracking Table'!$AS16+726*'BMP P Tracking Table'!$AT16+996.798*'BMP P Tracking Table'!$AU16)*-'BMP P Tracking Table'!$AX16)))/(2*(149.919*'BMP P Tracking Table'!$AR16+236.676*'BMP P Tracking Table'!$AS16+726*'BMP P Tracking Table'!$AT16+996.798*'BMP P Tracking Table'!$AU16))))),MIN(2,IF('BMP P Tracking Table'!$AQ16="Total Pervious",(-(3630*'BMP P Tracking Table'!$V16+20.691*'BMP P Tracking Table'!$AB16)+SQRT((3630*'BMP P Tracking Table'!$V16+20.691*'BMP P Tracking Table'!$AB16)^2-(4*(996.798*'BMP P Tracking Table'!$AB16)*-'BMP P Tracking Table'!$AX16)))/(2*(996.798*'BMP P Tracking Table'!$AB16)),IF(SUM('BMP P Tracking Table'!$X16:$AA16)=0,'BMP P Tracking Table'!$AX16/(-3630*'BMP P Tracking Table'!$V16),(-(3630*'BMP P Tracking Table'!$V16+20.691*'BMP P Tracking Table'!$AA16-216.711*'BMP P Tracking Table'!$Z16-83.853*'BMP P Tracking Table'!$Y16-42.834*'BMP P Tracking Table'!$X16)+SQRT((3630*'BMP P Tracking Table'!$V16+20.691*'BMP P Tracking Table'!$AA16-216.711*'BMP P Tracking Table'!$Z16-83.853*'BMP P Tracking Table'!$Y16-42.834*'BMP P Tracking Table'!$X16)^2-(4*(149.919*'BMP P Tracking Table'!$X16+236.676*'BMP P Tracking Table'!$Y16+726*'BMP P Tracking Table'!$Z16+996.798*'BMP P Tracking Table'!$AA16)*-'BMP P Tracking Table'!$AX16)))/(2*(149.919*'BMP P Tracking Table'!$X16+236.676*'BMP P Tracking Table'!$Y16+726*'BMP P Tracking Table'!$Z16+996.798*'BMP P Tracking Table'!$AA16)))))),"")</f>
        <v>0</v>
      </c>
      <c r="BB16" s="102" t="str">
        <f>IFERROR((VLOOKUP(CONCATENATE('BMP P Tracking Table'!$AW16," ",'BMP P Tracking Table'!$AY16),'Performance Curves'!$C$1:$L$46,_xlfn.SINGLE(MATCH('BMP P Tracking Table'!$BA16,'Performance Curves'!$D$1:$L$1,1))+2,FALSE)-VLOOKUP(CONCATENATE('BMP P Tracking Table'!$AW16," ",'BMP P Tracking Table'!$AY16),'Performance Curves'!$C$1:$L$46,_xlfn.SINGLE(MATCH('BMP P Tracking Table'!$BA16,'Performance Curves'!$D$1:$L$1,1))+1,FALSE)),"")</f>
        <v/>
      </c>
      <c r="BC16" s="102">
        <f>IFERROR(('BMP P Tracking Table'!$BA16-INDEX('Performance Curves'!$D$1:$L$1,1,MATCH('BMP P Tracking Table'!$BA16,'Performance Curves'!$D$1:$L$1,1)))/(INDEX('Performance Curves'!$D$1:$L$1,1,MATCH('BMP P Tracking Table'!$BA16,'Performance Curves'!$D$1:$L$1,1)+1)-INDEX('Performance Curves'!$D$1:$L$1,1,MATCH('BMP P Tracking Table'!$BA16,'Performance Curves'!$D$1:$L$1,1))),"")</f>
        <v>0</v>
      </c>
      <c r="BD16" s="103" t="str" cm="1">
        <f t="array" ref="BD16">IFERROR(IF('BMP P Tracking Table'!$BA16=2,VLOOKUP(CONCATENATE('BMP P Tracking Table'!$AW16," ",'BMP P Tracking Table'!$AY16),'Performance Curves'!$C$1:$L$44,_xlfn.SINGLE(MATCH('BMP P Tracking Table'!$BA16,'Performance Curves'!$D$1:$L$1,1))+1,FALSE),'BMP P Tracking Table'!$BB16*'BMP P Tracking Table'!$BC16+VLOOKUP(CONCATENATE('BMP P Tracking Table'!$AW16," ",'BMP P Tracking Table'!$AY16),'Performance Curves'!$C$1:$L$44,_xlfn.SINGLE(MATCH('BMP P Tracking Table'!$BA16,'Performance Curves'!$D$1:$L$1,1))+1,FALSE)),"")</f>
        <v/>
      </c>
      <c r="BE16" s="104" t="str">
        <f>IFERROR('BMP P Tracking Table'!$BD16*'BMP P Tracking Table'!$AZ16,"")</f>
        <v/>
      </c>
      <c r="BF16" s="98"/>
      <c r="BG16" s="37">
        <f t="shared" si="3"/>
        <v>0</v>
      </c>
      <c r="BI16" s="36" t="str">
        <f t="shared" si="1"/>
        <v>2‐0155</v>
      </c>
      <c r="BJ16" s="36" t="str">
        <f t="shared" si="2"/>
        <v>Countryside Dr Intersection</v>
      </c>
      <c r="BS16" s="36"/>
    </row>
    <row r="17" spans="1:65" s="36" customFormat="1">
      <c r="A17" s="36" t="s">
        <v>291</v>
      </c>
      <c r="B17" s="65" t="s">
        <v>306</v>
      </c>
      <c r="C17" s="65" t="s">
        <v>291</v>
      </c>
      <c r="D17" s="65" t="s">
        <v>328</v>
      </c>
      <c r="E17" s="65" t="s">
        <v>10</v>
      </c>
      <c r="F17" s="94"/>
      <c r="G17" s="94"/>
      <c r="H17" s="65" t="s">
        <v>306</v>
      </c>
      <c r="I17" s="65"/>
      <c r="J17" s="65" t="s">
        <v>66</v>
      </c>
      <c r="K17" s="95"/>
      <c r="L17" s="65" t="s">
        <v>178</v>
      </c>
      <c r="M17" s="65"/>
      <c r="N17" s="65"/>
      <c r="O17" s="65"/>
      <c r="P17" s="65"/>
      <c r="Q17" s="65" t="s">
        <v>37</v>
      </c>
      <c r="R17" s="65" t="str">
        <f>IFERROR(VLOOKUP('BMP P Tracking Table'!$Q17,Dropdowns!$C$2:$E$15,3,FALSE),"")</f>
        <v>Malletts Bay Direct Drainage</v>
      </c>
      <c r="S17" s="65" t="str">
        <f>IFERROR(VLOOKUP('BMP P Tracking Table'!$R17,Dropdowns!$Q$3:$R$23,2,FALSE),"")</f>
        <v>Malletts Bay</v>
      </c>
      <c r="T17" s="65" t="s">
        <v>66</v>
      </c>
      <c r="U17" s="65" t="s">
        <v>164</v>
      </c>
      <c r="V17" s="98">
        <v>8.7142649999999993</v>
      </c>
      <c r="W17" s="63" t="s">
        <v>219</v>
      </c>
      <c r="X17" s="65"/>
      <c r="Y17" s="65"/>
      <c r="Z17" s="65"/>
      <c r="AA17" s="65"/>
      <c r="AB17" s="98">
        <v>14.679734999999999</v>
      </c>
      <c r="AC17" s="97">
        <v>2047.32</v>
      </c>
      <c r="AD17" s="65" t="s">
        <v>205</v>
      </c>
      <c r="AE17" s="104">
        <f>IFERROR('BMP P Tracking Table'!$V17*VLOOKUP('BMP P Tracking Table'!$R17,'Loading Rates'!$B$1:$L$24,4,FALSE)+IF('BMP P Tracking Table'!$W17="By HSG",'BMP P Tracking Table'!$X17*VLOOKUP('BMP P Tracking Table'!$R17,'Loading Rates'!$B$1:$L$24,6,FALSE)+'BMP P Tracking Table'!$Y17*VLOOKUP('BMP P Tracking Table'!$R17,'Loading Rates'!$B$1:$L$24,7,FALSE)+'BMP P Tracking Table'!$Z17*VLOOKUP('BMP P Tracking Table'!$R17,'Loading Rates'!$B$1:$L$24,8,FALSE)+'BMP P Tracking Table'!$AA17*VLOOKUP('BMP P Tracking Table'!$R17,'Loading Rates'!$B$1:$L$24,9,FALSE),'BMP P Tracking Table'!$AB17*VLOOKUP('BMP P Tracking Table'!$R17,'Loading Rates'!$B$1:$L$24,10,FALSE)),"")</f>
        <v>7.3654254449999987</v>
      </c>
      <c r="AF17" s="104">
        <f>IFERROR(MIN(2,IF('BMP P Tracking Table'!$W17="Total Pervious",(-(3630*'BMP P Tracking Table'!$V17+20.691*'BMP P Tracking Table'!$AB17)+SQRT((3630*'BMP P Tracking Table'!$V17+20.691*'BMP P Tracking Table'!$AB17)^2-(4*(996.798*'BMP P Tracking Table'!$AB17)*-'BMP P Tracking Table'!$AC17)))/(2*(996.798*'BMP P Tracking Table'!$AB17)),IF(SUM('BMP P Tracking Table'!$X17:$AA17)=0,'BMP P Tracking Table'!$AC17/(-3630*'BMP P Tracking Table'!$V17),(-(3630*'BMP P Tracking Table'!$V17+20.691*'BMP P Tracking Table'!$AA17-216.711*'BMP P Tracking Table'!$Z17-83.853*'BMP P Tracking Table'!$Y17-42.834*'BMP P Tracking Table'!$X17)+SQRT((3630*'BMP P Tracking Table'!$V17+20.691*'BMP P Tracking Table'!$AA17-216.711*'BMP P Tracking Table'!$Z17-83.853*'BMP P Tracking Table'!$Y17-42.834*'BMP P Tracking Table'!$X17)^2-(4*(149.919*'BMP P Tracking Table'!$X17+236.676*'BMP P Tracking Table'!$Y17+726*'BMP P Tracking Table'!$Z17+996.798*'BMP P Tracking Table'!$AA17)*-'BMP P Tracking Table'!$AC17)))/(2*(149.919*'BMP P Tracking Table'!$X17+236.676*'BMP P Tracking Table'!$Y17+726*'BMP P Tracking Table'!$Z17+996.798*'BMP P Tracking Table'!$AA17))))),"")</f>
        <v>6.2326093252613582E-2</v>
      </c>
      <c r="AG17" s="104">
        <f>IFERROR((VLOOKUP(CONCATENATE('BMP P Tracking Table'!$U17," ",'BMP P Tracking Table'!$AD17),'Performance Curves'!$C$1:$L$46,_xlfn.SINGLE(MATCH('BMP P Tracking Table'!$AF17,'Performance Curves'!$D$1:$L$1,1))+2,FALSE)-VLOOKUP(CONCATENATE('BMP P Tracking Table'!$U17," ",'BMP P Tracking Table'!$AD17),'Performance Curves'!$C$1:$L$46,_xlfn.SINGLE(MATCH('BMP P Tracking Table'!$AF17,'Performance Curves'!$D$1:$L$1,1))+1,FALSE)),"")</f>
        <v>0.5</v>
      </c>
      <c r="AH17" s="104">
        <f>IFERROR(('BMP P Tracking Table'!$AF17-INDEX('Performance Curves'!$D$1:$L$1,1,MATCH('BMP P Tracking Table'!$AF17,'Performance Curves'!$D$1:$L$1,1)))/(INDEX('Performance Curves'!$D$1:$L$1,1,MATCH('BMP P Tracking Table'!$AF17,'Performance Curves'!$D$1:$L$1,1)+1)-INDEX('Performance Curves'!$D$1:$L$1,1,MATCH('BMP P Tracking Table'!$AF17,'Performance Curves'!$D$1:$L$1,1))),"")</f>
        <v>0.62326093252613579</v>
      </c>
      <c r="AI17" s="103">
        <f>IFERROR(IF('BMP P Tracking Table'!$AF17=2,VLOOKUP(CONCATENATE('BMP P Tracking Table'!$U17," ",'BMP P Tracking Table'!$AD17),'Performance Curves'!$C$1:$L$46,_xlfn.SINGLE(MATCH('BMP P Tracking Table'!$AF17,'Performance Curves'!$D$1:$L$1,1))+1,FALSE),'BMP P Tracking Table'!$AG17*'BMP P Tracking Table'!$AH17+VLOOKUP(CONCATENATE('BMP P Tracking Table'!$U17," ",'BMP P Tracking Table'!$AD17),'Performance Curves'!$C$1:$L$46,_xlfn.SINGLE(MATCH('BMP P Tracking Table'!$AF17,'Performance Curves'!$D$1:$L$1,1))+1,FALSE)),"")</f>
        <v>0.3116304662630679</v>
      </c>
      <c r="AJ17" s="104">
        <f>IFERROR('BMP P Tracking Table'!$AI17*'BMP P Tracking Table'!$AE17,"")</f>
        <v>2.2952909656512142</v>
      </c>
      <c r="AK17" s="65"/>
      <c r="AL17" s="65"/>
      <c r="AM17" s="98"/>
      <c r="AN17" s="64">
        <v>1</v>
      </c>
      <c r="AO17" s="102">
        <f t="shared" si="0"/>
        <v>2.2952909656512142</v>
      </c>
      <c r="AP17" s="98"/>
      <c r="AQ17" s="98"/>
      <c r="AR17" s="98"/>
      <c r="AS17" s="98"/>
      <c r="AT17" s="98"/>
      <c r="AU17" s="98"/>
      <c r="AV17" s="98"/>
      <c r="AW17" s="65"/>
      <c r="AX17" s="99"/>
      <c r="AY17" s="99"/>
      <c r="AZ17" s="104" t="str">
        <f>IF('BMP P Tracking Table'!$AL17="Yes",IF('BMP P Tracking Table'!$AM17="No",'BMP P Tracking Table'!$V17*VLOOKUP('BMP P Tracking Table'!$R17,'Loading Rates'!$B$1:$L$24,4,FALSE)+IF('BMP P Tracking Table'!$W17="By HSG",'BMP P Tracking Table'!$X17*VLOOKUP('BMP P Tracking Table'!$R17,'Loading Rates'!$B$1:$L$24,6,FALSE)+'BMP P Tracking Table'!$Y17*VLOOKUP('BMP P Tracking Table'!$R17,'Loading Rates'!$B$1:$L$24,7,FALSE)+'BMP P Tracking Table'!$Z17*VLOOKUP('BMP P Tracking Table'!$R17,'Loading Rates'!$B$1:$L$24,8,FALSE)+'BMP P Tracking Table'!$AA17*VLOOKUP('BMP P Tracking Table'!$R17,'Loading Rates'!$B$1:$L$24,9,FALSE),'BMP P Tracking Table'!$AB17*VLOOKUP('BMP P Tracking Table'!$R17,'Loading Rates'!$B$1:$L$24,10,FALSE)),'BMP P Tracking Table'!$AP17*VLOOKUP('BMP P Tracking Table'!$R17,'Loading Rates'!$B$1:$L$24,4,FALSE)+IF('BMP P Tracking Table'!$AQ17="By HSG",'BMP P Tracking Table'!$AR17*VLOOKUP('BMP P Tracking Table'!$R17,'Loading Rates'!$B$1:$L$24,6,FALSE)+'BMP P Tracking Table'!$AS17*VLOOKUP('BMP P Tracking Table'!$R17,'Loading Rates'!$B$1:$L$24,7,FALSE)+'BMP P Tracking Table'!$AT17*VLOOKUP('BMP P Tracking Table'!$R17,'Loading Rates'!$B$1:$L$24,8,FALSE)+'BMP P Tracking Table'!$AU17*VLOOKUP('BMP P Tracking Table'!$R17,'Loading Rates'!$B$1:$L$24,9,FALSE),'BMP P Tracking Table'!$AV17*VLOOKUP('BMP P Tracking Table'!$R17,'Loading Rates'!$B$1:$L$24,10,FALSE))),"")</f>
        <v/>
      </c>
      <c r="BA17" s="104">
        <f>IFERROR(IF('BMP P Tracking Table'!$AM17="Yes",MIN(2,IF('BMP P Tracking Table'!$AQ17="Total Pervious",(-(3630*'BMP P Tracking Table'!$AP17+20.691*'BMP P Tracking Table'!$AV17)+SQRT((3630*'BMP P Tracking Table'!$AP17+20.691*'BMP P Tracking Table'!$AV17)^2-(4*(996.798*'BMP P Tracking Table'!$AV17)*-'BMP P Tracking Table'!$AX17)))/(2*(996.798*'BMP P Tracking Table'!$AV17)),IF(SUM('BMP P Tracking Table'!$AR17:$AU17)=0,'BMP P Tracking Table'!$AV17/(-3630*'BMP P Tracking Table'!$AP17),(-(3630*'BMP P Tracking Table'!$AP17+20.691*'BMP P Tracking Table'!$AU17-216.711*'BMP P Tracking Table'!$AT17-83.853*'BMP P Tracking Table'!$AS17-42.834*'BMP P Tracking Table'!$AR17)+SQRT((3630*'BMP P Tracking Table'!$AP17+20.691*'BMP P Tracking Table'!$AU17-216.711*'BMP P Tracking Table'!$AT17-83.853*'BMP P Tracking Table'!$AS17-42.834*'BMP P Tracking Table'!$AR17)^2-(4*(149.919*'BMP P Tracking Table'!$AR17+236.676*'BMP P Tracking Table'!$AS17+726*'BMP P Tracking Table'!$AT17+996.798*'BMP P Tracking Table'!$AU17)*-'BMP P Tracking Table'!$AX17)))/(2*(149.919*'BMP P Tracking Table'!$AR17+236.676*'BMP P Tracking Table'!$AS17+726*'BMP P Tracking Table'!$AT17+996.798*'BMP P Tracking Table'!$AU17))))),MIN(2,IF('BMP P Tracking Table'!$AQ17="Total Pervious",(-(3630*'BMP P Tracking Table'!$V17+20.691*'BMP P Tracking Table'!$AB17)+SQRT((3630*'BMP P Tracking Table'!$V17+20.691*'BMP P Tracking Table'!$AB17)^2-(4*(996.798*'BMP P Tracking Table'!$AB17)*-'BMP P Tracking Table'!$AX17)))/(2*(996.798*'BMP P Tracking Table'!$AB17)),IF(SUM('BMP P Tracking Table'!$X17:$AA17)=0,'BMP P Tracking Table'!$AX17/(-3630*'BMP P Tracking Table'!$V17),(-(3630*'BMP P Tracking Table'!$V17+20.691*'BMP P Tracking Table'!$AA17-216.711*'BMP P Tracking Table'!$Z17-83.853*'BMP P Tracking Table'!$Y17-42.834*'BMP P Tracking Table'!$X17)+SQRT((3630*'BMP P Tracking Table'!$V17+20.691*'BMP P Tracking Table'!$AA17-216.711*'BMP P Tracking Table'!$Z17-83.853*'BMP P Tracking Table'!$Y17-42.834*'BMP P Tracking Table'!$X17)^2-(4*(149.919*'BMP P Tracking Table'!$X17+236.676*'BMP P Tracking Table'!$Y17+726*'BMP P Tracking Table'!$Z17+996.798*'BMP P Tracking Table'!$AA17)*-'BMP P Tracking Table'!$AX17)))/(2*(149.919*'BMP P Tracking Table'!$X17+236.676*'BMP P Tracking Table'!$Y17+726*'BMP P Tracking Table'!$Z17+996.798*'BMP P Tracking Table'!$AA17)))))),"")</f>
        <v>0</v>
      </c>
      <c r="BB17" s="102" t="str">
        <f>IFERROR((VLOOKUP(CONCATENATE('BMP P Tracking Table'!$AW17," ",'BMP P Tracking Table'!$AY17),'Performance Curves'!$C$1:$L$46,_xlfn.SINGLE(MATCH('BMP P Tracking Table'!$BA17,'Performance Curves'!$D$1:$L$1,1))+2,FALSE)-VLOOKUP(CONCATENATE('BMP P Tracking Table'!$AW17," ",'BMP P Tracking Table'!$AY17),'Performance Curves'!$C$1:$L$46,_xlfn.SINGLE(MATCH('BMP P Tracking Table'!$BA17,'Performance Curves'!$D$1:$L$1,1))+1,FALSE)),"")</f>
        <v/>
      </c>
      <c r="BC17" s="102">
        <f>IFERROR(('BMP P Tracking Table'!$BA17-INDEX('Performance Curves'!$D$1:$L$1,1,MATCH('BMP P Tracking Table'!$BA17,'Performance Curves'!$D$1:$L$1,1)))/(INDEX('Performance Curves'!$D$1:$L$1,1,MATCH('BMP P Tracking Table'!$BA17,'Performance Curves'!$D$1:$L$1,1)+1)-INDEX('Performance Curves'!$D$1:$L$1,1,MATCH('BMP P Tracking Table'!$BA17,'Performance Curves'!$D$1:$L$1,1))),"")</f>
        <v>0</v>
      </c>
      <c r="BD17" s="103" t="str" cm="1">
        <f t="array" ref="BD17">IFERROR(IF('BMP P Tracking Table'!$BA17=2,VLOOKUP(CONCATENATE('BMP P Tracking Table'!$AW17," ",'BMP P Tracking Table'!$AY17),'Performance Curves'!$C$1:$L$44,_xlfn.SINGLE(MATCH('BMP P Tracking Table'!$BA17,'Performance Curves'!$D$1:$L$1,1))+1,FALSE),'BMP P Tracking Table'!$BB17*'BMP P Tracking Table'!$BC17+VLOOKUP(CONCATENATE('BMP P Tracking Table'!$AW17," ",'BMP P Tracking Table'!$AY17),'Performance Curves'!$C$1:$L$44,_xlfn.SINGLE(MATCH('BMP P Tracking Table'!$BA17,'Performance Curves'!$D$1:$L$1,1))+1,FALSE)),"")</f>
        <v/>
      </c>
      <c r="BE17" s="104" t="str">
        <f>IFERROR('BMP P Tracking Table'!$BD17*'BMP P Tracking Table'!$AZ17,"")</f>
        <v/>
      </c>
      <c r="BF17" s="98"/>
      <c r="BG17" s="37">
        <f t="shared" si="3"/>
        <v>0</v>
      </c>
      <c r="BI17" s="36" t="str">
        <f t="shared" si="1"/>
        <v>2‐0187</v>
      </c>
      <c r="BJ17" s="36" t="str">
        <f t="shared" si="2"/>
        <v>Grove St.</v>
      </c>
    </row>
    <row r="18" spans="1:65" s="36" customFormat="1">
      <c r="A18" s="36" t="s">
        <v>292</v>
      </c>
      <c r="B18" s="65" t="s">
        <v>307</v>
      </c>
      <c r="C18" s="65" t="s">
        <v>318</v>
      </c>
      <c r="D18" s="65" t="s">
        <v>324</v>
      </c>
      <c r="E18" s="65" t="s">
        <v>9</v>
      </c>
      <c r="F18" s="94"/>
      <c r="G18" s="94"/>
      <c r="H18" s="65" t="s">
        <v>307</v>
      </c>
      <c r="I18" s="65"/>
      <c r="J18" s="65" t="s">
        <v>66</v>
      </c>
      <c r="K18" s="95"/>
      <c r="L18" s="65" t="s">
        <v>111</v>
      </c>
      <c r="M18" s="65"/>
      <c r="N18" s="65" t="s">
        <v>779</v>
      </c>
      <c r="O18" s="65"/>
      <c r="P18" s="65"/>
      <c r="Q18" s="65" t="s">
        <v>36</v>
      </c>
      <c r="R18" s="65" t="str">
        <f>IFERROR(VLOOKUP('BMP P Tracking Table'!$Q18,Dropdowns!$C$2:$E$15,3,FALSE),"")</f>
        <v>Winooski River</v>
      </c>
      <c r="S18" s="65" t="str">
        <f>IFERROR(VLOOKUP('BMP P Tracking Table'!$R18,Dropdowns!$Q$3:$R$23,2,FALSE),"")</f>
        <v>Main Lake</v>
      </c>
      <c r="T18" s="65" t="s">
        <v>62</v>
      </c>
      <c r="U18" s="65" t="s">
        <v>47</v>
      </c>
      <c r="V18" s="98">
        <v>0.74098419999999998</v>
      </c>
      <c r="W18" s="63" t="s">
        <v>219</v>
      </c>
      <c r="X18" s="65"/>
      <c r="Y18" s="65"/>
      <c r="Z18" s="65"/>
      <c r="AA18" s="65"/>
      <c r="AB18" s="98">
        <v>7.3015799999999964E-2</v>
      </c>
      <c r="AC18" s="97">
        <v>784.08</v>
      </c>
      <c r="AD18" s="65" t="s">
        <v>205</v>
      </c>
      <c r="AE18" s="104">
        <f>IFERROR('BMP P Tracking Table'!$V18*VLOOKUP('BMP P Tracking Table'!$R18,'Loading Rates'!$B$1:$L$24,4,FALSE)+IF('BMP P Tracking Table'!$W18="By HSG",'BMP P Tracking Table'!$X18*VLOOKUP('BMP P Tracking Table'!$R18,'Loading Rates'!$B$1:$L$24,6,FALSE)+'BMP P Tracking Table'!$Y18*VLOOKUP('BMP P Tracking Table'!$R18,'Loading Rates'!$B$1:$L$24,7,FALSE)+'BMP P Tracking Table'!$Z18*VLOOKUP('BMP P Tracking Table'!$R18,'Loading Rates'!$B$1:$L$24,8,FALSE)+'BMP P Tracking Table'!$AA18*VLOOKUP('BMP P Tracking Table'!$R18,'Loading Rates'!$B$1:$L$24,9,FALSE),'BMP P Tracking Table'!$AB18*VLOOKUP('BMP P Tracking Table'!$R18,'Loading Rates'!$B$1:$L$24,10,FALSE)),"")</f>
        <v>0.8445460011999999</v>
      </c>
      <c r="AF18" s="104">
        <f>IFERROR(MIN(2,IF('BMP P Tracking Table'!$W18="Total Pervious",(-(3630*'BMP P Tracking Table'!$V18+20.691*'BMP P Tracking Table'!$AB18)+SQRT((3630*'BMP P Tracking Table'!$V18+20.691*'BMP P Tracking Table'!$AB18)^2-(4*(996.798*'BMP P Tracking Table'!$AB18)*-'BMP P Tracking Table'!$AC18)))/(2*(996.798*'BMP P Tracking Table'!$AB18)),IF(SUM('BMP P Tracking Table'!$X18:$AA18)=0,'BMP P Tracking Table'!$AC18/(-3630*'BMP P Tracking Table'!$V18),(-(3630*'BMP P Tracking Table'!$V18+20.691*'BMP P Tracking Table'!$AA18-216.711*'BMP P Tracking Table'!$Z18-83.853*'BMP P Tracking Table'!$Y18-42.834*'BMP P Tracking Table'!$X18)+SQRT((3630*'BMP P Tracking Table'!$V18+20.691*'BMP P Tracking Table'!$AA18-216.711*'BMP P Tracking Table'!$Z18-83.853*'BMP P Tracking Table'!$Y18-42.834*'BMP P Tracking Table'!$X18)^2-(4*(149.919*'BMP P Tracking Table'!$X18+236.676*'BMP P Tracking Table'!$Y18+726*'BMP P Tracking Table'!$Z18+996.798*'BMP P Tracking Table'!$AA18)*-'BMP P Tracking Table'!$AC18)))/(2*(149.919*'BMP P Tracking Table'!$X18+236.676*'BMP P Tracking Table'!$Y18+726*'BMP P Tracking Table'!$Z18+996.798*'BMP P Tracking Table'!$AA18))))),"")</f>
        <v>0.28908058481588572</v>
      </c>
      <c r="AG18" s="104">
        <f>IFERROR((VLOOKUP(CONCATENATE('BMP P Tracking Table'!$U18," ",'BMP P Tracking Table'!$AD18),'Performance Curves'!$C$1:$L$46,_xlfn.SINGLE(MATCH('BMP P Tracking Table'!$AF18,'Performance Curves'!$D$1:$L$1,1))+2,FALSE)-VLOOKUP(CONCATENATE('BMP P Tracking Table'!$U18," ",'BMP P Tracking Table'!$AD18),'Performance Curves'!$C$1:$L$46,_xlfn.SINGLE(MATCH('BMP P Tracking Table'!$AF18,'Performance Curves'!$D$1:$L$1,1))+1,FALSE)),"")</f>
        <v>0.18999999999999995</v>
      </c>
      <c r="AH18" s="104">
        <f>IFERROR(('BMP P Tracking Table'!$AF18-INDEX('Performance Curves'!$D$1:$L$1,1,MATCH('BMP P Tracking Table'!$AF18,'Performance Curves'!$D$1:$L$1,1)))/(INDEX('Performance Curves'!$D$1:$L$1,1,MATCH('BMP P Tracking Table'!$AF18,'Performance Curves'!$D$1:$L$1,1)+1)-INDEX('Performance Curves'!$D$1:$L$1,1,MATCH('BMP P Tracking Table'!$AF18,'Performance Curves'!$D$1:$L$1,1))),"")</f>
        <v>0.44540292407942855</v>
      </c>
      <c r="AI18" s="103">
        <f>IFERROR(IF('BMP P Tracking Table'!$AF18=2,VLOOKUP(CONCATENATE('BMP P Tracking Table'!$U18," ",'BMP P Tracking Table'!$AD18),'Performance Curves'!$C$1:$L$46,_xlfn.SINGLE(MATCH('BMP P Tracking Table'!$AF18,'Performance Curves'!$D$1:$L$1,1))+1,FALSE),'BMP P Tracking Table'!$AG18*'BMP P Tracking Table'!$AH18+VLOOKUP(CONCATENATE('BMP P Tracking Table'!$U18," ",'BMP P Tracking Table'!$AD18),'Performance Curves'!$C$1:$L$46,_xlfn.SINGLE(MATCH('BMP P Tracking Table'!$AF18,'Performance Curves'!$D$1:$L$1,1))+1,FALSE)),"")</f>
        <v>0.83462655557509136</v>
      </c>
      <c r="AJ18" s="104">
        <f>IFERROR('BMP P Tracking Table'!$AI18*'BMP P Tracking Table'!$AE18,"")</f>
        <v>0.70488052000627288</v>
      </c>
      <c r="AK18" s="65"/>
      <c r="AL18" s="65"/>
      <c r="AM18" s="98"/>
      <c r="AN18" s="64">
        <v>1</v>
      </c>
      <c r="AO18" s="102">
        <f t="shared" si="0"/>
        <v>0.70488052000627288</v>
      </c>
      <c r="AP18" s="98"/>
      <c r="AQ18" s="98"/>
      <c r="AR18" s="98"/>
      <c r="AS18" s="98"/>
      <c r="AT18" s="98"/>
      <c r="AU18" s="98"/>
      <c r="AV18" s="98"/>
      <c r="AW18" s="65"/>
      <c r="AX18" s="99"/>
      <c r="AY18" s="99"/>
      <c r="AZ18" s="104" t="str">
        <f>IF('BMP P Tracking Table'!$AL18="Yes",IF('BMP P Tracking Table'!$AM18="No",'BMP P Tracking Table'!$V18*VLOOKUP('BMP P Tracking Table'!$R18,'Loading Rates'!$B$1:$L$24,4,FALSE)+IF('BMP P Tracking Table'!$W18="By HSG",'BMP P Tracking Table'!$X18*VLOOKUP('BMP P Tracking Table'!$R18,'Loading Rates'!$B$1:$L$24,6,FALSE)+'BMP P Tracking Table'!$Y18*VLOOKUP('BMP P Tracking Table'!$R18,'Loading Rates'!$B$1:$L$24,7,FALSE)+'BMP P Tracking Table'!$Z18*VLOOKUP('BMP P Tracking Table'!$R18,'Loading Rates'!$B$1:$L$24,8,FALSE)+'BMP P Tracking Table'!$AA18*VLOOKUP('BMP P Tracking Table'!$R18,'Loading Rates'!$B$1:$L$24,9,FALSE),'BMP P Tracking Table'!$AB18*VLOOKUP('BMP P Tracking Table'!$R18,'Loading Rates'!$B$1:$L$24,10,FALSE)),'BMP P Tracking Table'!$AP18*VLOOKUP('BMP P Tracking Table'!$R18,'Loading Rates'!$B$1:$L$24,4,FALSE)+IF('BMP P Tracking Table'!$AQ18="By HSG",'BMP P Tracking Table'!$AR18*VLOOKUP('BMP P Tracking Table'!$R18,'Loading Rates'!$B$1:$L$24,6,FALSE)+'BMP P Tracking Table'!$AS18*VLOOKUP('BMP P Tracking Table'!$R18,'Loading Rates'!$B$1:$L$24,7,FALSE)+'BMP P Tracking Table'!$AT18*VLOOKUP('BMP P Tracking Table'!$R18,'Loading Rates'!$B$1:$L$24,8,FALSE)+'BMP P Tracking Table'!$AU18*VLOOKUP('BMP P Tracking Table'!$R18,'Loading Rates'!$B$1:$L$24,9,FALSE),'BMP P Tracking Table'!$AV18*VLOOKUP('BMP P Tracking Table'!$R18,'Loading Rates'!$B$1:$L$24,10,FALSE))),"")</f>
        <v/>
      </c>
      <c r="BA18" s="104">
        <f>IFERROR(IF('BMP P Tracking Table'!$AM18="Yes",MIN(2,IF('BMP P Tracking Table'!$AQ18="Total Pervious",(-(3630*'BMP P Tracking Table'!$AP18+20.691*'BMP P Tracking Table'!$AV18)+SQRT((3630*'BMP P Tracking Table'!$AP18+20.691*'BMP P Tracking Table'!$AV18)^2-(4*(996.798*'BMP P Tracking Table'!$AV18)*-'BMP P Tracking Table'!$AX18)))/(2*(996.798*'BMP P Tracking Table'!$AV18)),IF(SUM('BMP P Tracking Table'!$AR18:$AU18)=0,'BMP P Tracking Table'!$AV18/(-3630*'BMP P Tracking Table'!$AP18),(-(3630*'BMP P Tracking Table'!$AP18+20.691*'BMP P Tracking Table'!$AU18-216.711*'BMP P Tracking Table'!$AT18-83.853*'BMP P Tracking Table'!$AS18-42.834*'BMP P Tracking Table'!$AR18)+SQRT((3630*'BMP P Tracking Table'!$AP18+20.691*'BMP P Tracking Table'!$AU18-216.711*'BMP P Tracking Table'!$AT18-83.853*'BMP P Tracking Table'!$AS18-42.834*'BMP P Tracking Table'!$AR18)^2-(4*(149.919*'BMP P Tracking Table'!$AR18+236.676*'BMP P Tracking Table'!$AS18+726*'BMP P Tracking Table'!$AT18+996.798*'BMP P Tracking Table'!$AU18)*-'BMP P Tracking Table'!$AX18)))/(2*(149.919*'BMP P Tracking Table'!$AR18+236.676*'BMP P Tracking Table'!$AS18+726*'BMP P Tracking Table'!$AT18+996.798*'BMP P Tracking Table'!$AU18))))),MIN(2,IF('BMP P Tracking Table'!$AQ18="Total Pervious",(-(3630*'BMP P Tracking Table'!$V18+20.691*'BMP P Tracking Table'!$AB18)+SQRT((3630*'BMP P Tracking Table'!$V18+20.691*'BMP P Tracking Table'!$AB18)^2-(4*(996.798*'BMP P Tracking Table'!$AB18)*-'BMP P Tracking Table'!$AX18)))/(2*(996.798*'BMP P Tracking Table'!$AB18)),IF(SUM('BMP P Tracking Table'!$X18:$AA18)=0,'BMP P Tracking Table'!$AX18/(-3630*'BMP P Tracking Table'!$V18),(-(3630*'BMP P Tracking Table'!$V18+20.691*'BMP P Tracking Table'!$AA18-216.711*'BMP P Tracking Table'!$Z18-83.853*'BMP P Tracking Table'!$Y18-42.834*'BMP P Tracking Table'!$X18)+SQRT((3630*'BMP P Tracking Table'!$V18+20.691*'BMP P Tracking Table'!$AA18-216.711*'BMP P Tracking Table'!$Z18-83.853*'BMP P Tracking Table'!$Y18-42.834*'BMP P Tracking Table'!$X18)^2-(4*(149.919*'BMP P Tracking Table'!$X18+236.676*'BMP P Tracking Table'!$Y18+726*'BMP P Tracking Table'!$Z18+996.798*'BMP P Tracking Table'!$AA18)*-'BMP P Tracking Table'!$AX18)))/(2*(149.919*'BMP P Tracking Table'!$X18+236.676*'BMP P Tracking Table'!$Y18+726*'BMP P Tracking Table'!$Z18+996.798*'BMP P Tracking Table'!$AA18)))))),"")</f>
        <v>0</v>
      </c>
      <c r="BB18" s="102" t="str">
        <f>IFERROR((VLOOKUP(CONCATENATE('BMP P Tracking Table'!$AW18," ",'BMP P Tracking Table'!$AY18),'Performance Curves'!$C$1:$L$46,_xlfn.SINGLE(MATCH('BMP P Tracking Table'!$BA18,'Performance Curves'!$D$1:$L$1,1))+2,FALSE)-VLOOKUP(CONCATENATE('BMP P Tracking Table'!$AW18," ",'BMP P Tracking Table'!$AY18),'Performance Curves'!$C$1:$L$46,_xlfn.SINGLE(MATCH('BMP P Tracking Table'!$BA18,'Performance Curves'!$D$1:$L$1,1))+1,FALSE)),"")</f>
        <v/>
      </c>
      <c r="BC18" s="102">
        <f>IFERROR(('BMP P Tracking Table'!$BA18-INDEX('Performance Curves'!$D$1:$L$1,1,MATCH('BMP P Tracking Table'!$BA18,'Performance Curves'!$D$1:$L$1,1)))/(INDEX('Performance Curves'!$D$1:$L$1,1,MATCH('BMP P Tracking Table'!$BA18,'Performance Curves'!$D$1:$L$1,1)+1)-INDEX('Performance Curves'!$D$1:$L$1,1,MATCH('BMP P Tracking Table'!$BA18,'Performance Curves'!$D$1:$L$1,1))),"")</f>
        <v>0</v>
      </c>
      <c r="BD18" s="103" t="str" cm="1">
        <f t="array" ref="BD18">IFERROR(IF('BMP P Tracking Table'!$BA18=2,VLOOKUP(CONCATENATE('BMP P Tracking Table'!$AW18," ",'BMP P Tracking Table'!$AY18),'Performance Curves'!$C$1:$L$44,_xlfn.SINGLE(MATCH('BMP P Tracking Table'!$BA18,'Performance Curves'!$D$1:$L$1,1))+1,FALSE),'BMP P Tracking Table'!$BB18*'BMP P Tracking Table'!$BC18+VLOOKUP(CONCATENATE('BMP P Tracking Table'!$AW18," ",'BMP P Tracking Table'!$AY18),'Performance Curves'!$C$1:$L$44,_xlfn.SINGLE(MATCH('BMP P Tracking Table'!$BA18,'Performance Curves'!$D$1:$L$1,1))+1,FALSE)),"")</f>
        <v/>
      </c>
      <c r="BE18" s="104" t="str">
        <f>IFERROR('BMP P Tracking Table'!$BD18*'BMP P Tracking Table'!$AZ18,"")</f>
        <v/>
      </c>
      <c r="BF18" s="98"/>
      <c r="BG18" s="37">
        <f t="shared" si="3"/>
        <v>0</v>
      </c>
      <c r="BH18" s="36" t="s">
        <v>341</v>
      </c>
      <c r="BI18" s="36" t="str">
        <f t="shared" si="1"/>
        <v>1‐1143</v>
      </c>
      <c r="BJ18" s="36" t="str">
        <f t="shared" si="2"/>
        <v>Racquet's Edge drywell 2</v>
      </c>
    </row>
    <row r="19" spans="1:65" s="36" customFormat="1">
      <c r="A19" s="36" t="s">
        <v>293</v>
      </c>
      <c r="B19" s="65" t="s">
        <v>307</v>
      </c>
      <c r="C19" s="65" t="s">
        <v>319</v>
      </c>
      <c r="D19" s="65" t="s">
        <v>324</v>
      </c>
      <c r="E19" s="65" t="s">
        <v>9</v>
      </c>
      <c r="F19" s="94"/>
      <c r="G19" s="94"/>
      <c r="H19" s="65" t="s">
        <v>307</v>
      </c>
      <c r="I19" s="65"/>
      <c r="J19" s="65" t="s">
        <v>66</v>
      </c>
      <c r="K19" s="95"/>
      <c r="L19" s="65" t="s">
        <v>111</v>
      </c>
      <c r="M19" s="65"/>
      <c r="N19" s="65" t="s">
        <v>779</v>
      </c>
      <c r="O19" s="65"/>
      <c r="P19" s="65"/>
      <c r="Q19" s="65" t="s">
        <v>36</v>
      </c>
      <c r="R19" s="65" t="str">
        <f>IFERROR(VLOOKUP('BMP P Tracking Table'!$Q19,Dropdowns!$C$2:$E$15,3,FALSE),"")</f>
        <v>Winooski River</v>
      </c>
      <c r="S19" s="65" t="str">
        <f>IFERROR(VLOOKUP('BMP P Tracking Table'!$R19,Dropdowns!$Q$3:$R$23,2,FALSE),"")</f>
        <v>Main Lake</v>
      </c>
      <c r="T19" s="65" t="s">
        <v>62</v>
      </c>
      <c r="U19" s="65" t="s">
        <v>47</v>
      </c>
      <c r="V19" s="98">
        <v>0.2432</v>
      </c>
      <c r="W19" s="63" t="s">
        <v>219</v>
      </c>
      <c r="X19" s="65"/>
      <c r="Y19" s="65"/>
      <c r="Z19" s="65"/>
      <c r="AA19" s="65"/>
      <c r="AB19" s="98">
        <v>0.39680000000000004</v>
      </c>
      <c r="AC19" s="97">
        <v>479.11</v>
      </c>
      <c r="AD19" s="65" t="s">
        <v>206</v>
      </c>
      <c r="AE19" s="104">
        <f>IFERROR('BMP P Tracking Table'!$V19*VLOOKUP('BMP P Tracking Table'!$R19,'Loading Rates'!$B$1:$L$24,4,FALSE)+IF('BMP P Tracking Table'!$W19="By HSG",'BMP P Tracking Table'!$X19*VLOOKUP('BMP P Tracking Table'!$R19,'Loading Rates'!$B$1:$L$24,6,FALSE)+'BMP P Tracking Table'!$Y19*VLOOKUP('BMP P Tracking Table'!$R19,'Loading Rates'!$B$1:$L$24,7,FALSE)+'BMP P Tracking Table'!$Z19*VLOOKUP('BMP P Tracking Table'!$R19,'Loading Rates'!$B$1:$L$24,8,FALSE)+'BMP P Tracking Table'!$AA19*VLOOKUP('BMP P Tracking Table'!$R19,'Loading Rates'!$B$1:$L$24,9,FALSE),'BMP P Tracking Table'!$AB19*VLOOKUP('BMP P Tracking Table'!$R19,'Loading Rates'!$B$1:$L$24,10,FALSE)),"")</f>
        <v>0.36331520000000006</v>
      </c>
      <c r="AF19" s="104">
        <f>IFERROR(MIN(2,IF('BMP P Tracking Table'!$W19="Total Pervious",(-(3630*'BMP P Tracking Table'!$V19+20.691*'BMP P Tracking Table'!$AB19)+SQRT((3630*'BMP P Tracking Table'!$V19+20.691*'BMP P Tracking Table'!$AB19)^2-(4*(996.798*'BMP P Tracking Table'!$AB19)*-'BMP P Tracking Table'!$AC19)))/(2*(996.798*'BMP P Tracking Table'!$AB19)),IF(SUM('BMP P Tracking Table'!$X19:$AA19)=0,'BMP P Tracking Table'!$AC19/(-3630*'BMP P Tracking Table'!$V19),(-(3630*'BMP P Tracking Table'!$V19+20.691*'BMP P Tracking Table'!$AA19-216.711*'BMP P Tracking Table'!$Z19-83.853*'BMP P Tracking Table'!$Y19-42.834*'BMP P Tracking Table'!$X19)+SQRT((3630*'BMP P Tracking Table'!$V19+20.691*'BMP P Tracking Table'!$AA19-216.711*'BMP P Tracking Table'!$Z19-83.853*'BMP P Tracking Table'!$Y19-42.834*'BMP P Tracking Table'!$X19)^2-(4*(149.919*'BMP P Tracking Table'!$X19+236.676*'BMP P Tracking Table'!$Y19+726*'BMP P Tracking Table'!$Z19+996.798*'BMP P Tracking Table'!$AA19)*-'BMP P Tracking Table'!$AC19)))/(2*(149.919*'BMP P Tracking Table'!$X19+236.676*'BMP P Tracking Table'!$Y19+726*'BMP P Tracking Table'!$Z19+996.798*'BMP P Tracking Table'!$AA19))))),"")</f>
        <v>0.44843828521903356</v>
      </c>
      <c r="AG19" s="104">
        <f>IFERROR((VLOOKUP(CONCATENATE('BMP P Tracking Table'!$U19," ",'BMP P Tracking Table'!$AD19),'Performance Curves'!$C$1:$L$46,_xlfn.SINGLE(MATCH('BMP P Tracking Table'!$AF19,'Performance Curves'!$D$1:$L$1,1))+2,FALSE)-VLOOKUP(CONCATENATE('BMP P Tracking Table'!$U19," ",'BMP P Tracking Table'!$AD19),'Performance Curves'!$C$1:$L$46,_xlfn.SINGLE(MATCH('BMP P Tracking Table'!$AF19,'Performance Curves'!$D$1:$L$1,1))+1,FALSE)),"")</f>
        <v>9.9999999999999978E-2</v>
      </c>
      <c r="AH19" s="104">
        <f>IFERROR(('BMP P Tracking Table'!$AF19-INDEX('Performance Curves'!$D$1:$L$1,1,MATCH('BMP P Tracking Table'!$AF19,'Performance Curves'!$D$1:$L$1,1)))/(INDEX('Performance Curves'!$D$1:$L$1,1,MATCH('BMP P Tracking Table'!$AF19,'Performance Curves'!$D$1:$L$1,1)+1)-INDEX('Performance Curves'!$D$1:$L$1,1,MATCH('BMP P Tracking Table'!$AF19,'Performance Curves'!$D$1:$L$1,1))),"")</f>
        <v>0.24219142609516775</v>
      </c>
      <c r="AI19" s="103">
        <f>IFERROR(IF('BMP P Tracking Table'!$AF19=2,VLOOKUP(CONCATENATE('BMP P Tracking Table'!$U19," ",'BMP P Tracking Table'!$AD19),'Performance Curves'!$C$1:$L$46,_xlfn.SINGLE(MATCH('BMP P Tracking Table'!$AF19,'Performance Curves'!$D$1:$L$1,1))+1,FALSE),'BMP P Tracking Table'!$AG19*'BMP P Tracking Table'!$AH19+VLOOKUP(CONCATENATE('BMP P Tracking Table'!$U19," ",'BMP P Tracking Table'!$AD19),'Performance Curves'!$C$1:$L$46,_xlfn.SINGLE(MATCH('BMP P Tracking Table'!$AF19,'Performance Curves'!$D$1:$L$1,1))+1,FALSE)),"")</f>
        <v>0.83421914260951679</v>
      </c>
      <c r="AJ19" s="104">
        <f>IFERROR('BMP P Tracking Table'!$AI19*'BMP P Tracking Table'!$AE19,"")</f>
        <v>0.30308449464100518</v>
      </c>
      <c r="AK19" s="65"/>
      <c r="AL19" s="65"/>
      <c r="AM19" s="98"/>
      <c r="AN19" s="64">
        <v>1</v>
      </c>
      <c r="AO19" s="102">
        <f t="shared" si="0"/>
        <v>0.30308449464100518</v>
      </c>
      <c r="AP19" s="98"/>
      <c r="AQ19" s="98"/>
      <c r="AR19" s="98"/>
      <c r="AS19" s="98"/>
      <c r="AT19" s="98"/>
      <c r="AU19" s="98"/>
      <c r="AV19" s="98"/>
      <c r="AW19" s="65"/>
      <c r="AX19" s="99"/>
      <c r="AY19" s="99"/>
      <c r="AZ19" s="104" t="str">
        <f>IF('BMP P Tracking Table'!$AL19="Yes",IF('BMP P Tracking Table'!$AM19="No",'BMP P Tracking Table'!$V19*VLOOKUP('BMP P Tracking Table'!$R19,'Loading Rates'!$B$1:$L$24,4,FALSE)+IF('BMP P Tracking Table'!$W19="By HSG",'BMP P Tracking Table'!$X19*VLOOKUP('BMP P Tracking Table'!$R19,'Loading Rates'!$B$1:$L$24,6,FALSE)+'BMP P Tracking Table'!$Y19*VLOOKUP('BMP P Tracking Table'!$R19,'Loading Rates'!$B$1:$L$24,7,FALSE)+'BMP P Tracking Table'!$Z19*VLOOKUP('BMP P Tracking Table'!$R19,'Loading Rates'!$B$1:$L$24,8,FALSE)+'BMP P Tracking Table'!$AA19*VLOOKUP('BMP P Tracking Table'!$R19,'Loading Rates'!$B$1:$L$24,9,FALSE),'BMP P Tracking Table'!$AB19*VLOOKUP('BMP P Tracking Table'!$R19,'Loading Rates'!$B$1:$L$24,10,FALSE)),'BMP P Tracking Table'!$AP19*VLOOKUP('BMP P Tracking Table'!$R19,'Loading Rates'!$B$1:$L$24,4,FALSE)+IF('BMP P Tracking Table'!$AQ19="By HSG",'BMP P Tracking Table'!$AR19*VLOOKUP('BMP P Tracking Table'!$R19,'Loading Rates'!$B$1:$L$24,6,FALSE)+'BMP P Tracking Table'!$AS19*VLOOKUP('BMP P Tracking Table'!$R19,'Loading Rates'!$B$1:$L$24,7,FALSE)+'BMP P Tracking Table'!$AT19*VLOOKUP('BMP P Tracking Table'!$R19,'Loading Rates'!$B$1:$L$24,8,FALSE)+'BMP P Tracking Table'!$AU19*VLOOKUP('BMP P Tracking Table'!$R19,'Loading Rates'!$B$1:$L$24,9,FALSE),'BMP P Tracking Table'!$AV19*VLOOKUP('BMP P Tracking Table'!$R19,'Loading Rates'!$B$1:$L$24,10,FALSE))),"")</f>
        <v/>
      </c>
      <c r="BA19" s="104">
        <f>IFERROR(IF('BMP P Tracking Table'!$AM19="Yes",MIN(2,IF('BMP P Tracking Table'!$AQ19="Total Pervious",(-(3630*'BMP P Tracking Table'!$AP19+20.691*'BMP P Tracking Table'!$AV19)+SQRT((3630*'BMP P Tracking Table'!$AP19+20.691*'BMP P Tracking Table'!$AV19)^2-(4*(996.798*'BMP P Tracking Table'!$AV19)*-'BMP P Tracking Table'!$AX19)))/(2*(996.798*'BMP P Tracking Table'!$AV19)),IF(SUM('BMP P Tracking Table'!$AR19:$AU19)=0,'BMP P Tracking Table'!$AV19/(-3630*'BMP P Tracking Table'!$AP19),(-(3630*'BMP P Tracking Table'!$AP19+20.691*'BMP P Tracking Table'!$AU19-216.711*'BMP P Tracking Table'!$AT19-83.853*'BMP P Tracking Table'!$AS19-42.834*'BMP P Tracking Table'!$AR19)+SQRT((3630*'BMP P Tracking Table'!$AP19+20.691*'BMP P Tracking Table'!$AU19-216.711*'BMP P Tracking Table'!$AT19-83.853*'BMP P Tracking Table'!$AS19-42.834*'BMP P Tracking Table'!$AR19)^2-(4*(149.919*'BMP P Tracking Table'!$AR19+236.676*'BMP P Tracking Table'!$AS19+726*'BMP P Tracking Table'!$AT19+996.798*'BMP P Tracking Table'!$AU19)*-'BMP P Tracking Table'!$AX19)))/(2*(149.919*'BMP P Tracking Table'!$AR19+236.676*'BMP P Tracking Table'!$AS19+726*'BMP P Tracking Table'!$AT19+996.798*'BMP P Tracking Table'!$AU19))))),MIN(2,IF('BMP P Tracking Table'!$AQ19="Total Pervious",(-(3630*'BMP P Tracking Table'!$V19+20.691*'BMP P Tracking Table'!$AB19)+SQRT((3630*'BMP P Tracking Table'!$V19+20.691*'BMP P Tracking Table'!$AB19)^2-(4*(996.798*'BMP P Tracking Table'!$AB19)*-'BMP P Tracking Table'!$AX19)))/(2*(996.798*'BMP P Tracking Table'!$AB19)),IF(SUM('BMP P Tracking Table'!$X19:$AA19)=0,'BMP P Tracking Table'!$AX19/(-3630*'BMP P Tracking Table'!$V19),(-(3630*'BMP P Tracking Table'!$V19+20.691*'BMP P Tracking Table'!$AA19-216.711*'BMP P Tracking Table'!$Z19-83.853*'BMP P Tracking Table'!$Y19-42.834*'BMP P Tracking Table'!$X19)+SQRT((3630*'BMP P Tracking Table'!$V19+20.691*'BMP P Tracking Table'!$AA19-216.711*'BMP P Tracking Table'!$Z19-83.853*'BMP P Tracking Table'!$Y19-42.834*'BMP P Tracking Table'!$X19)^2-(4*(149.919*'BMP P Tracking Table'!$X19+236.676*'BMP P Tracking Table'!$Y19+726*'BMP P Tracking Table'!$Z19+996.798*'BMP P Tracking Table'!$AA19)*-'BMP P Tracking Table'!$AX19)))/(2*(149.919*'BMP P Tracking Table'!$X19+236.676*'BMP P Tracking Table'!$Y19+726*'BMP P Tracking Table'!$Z19+996.798*'BMP P Tracking Table'!$AA19)))))),"")</f>
        <v>0</v>
      </c>
      <c r="BB19" s="102" t="str">
        <f>IFERROR((VLOOKUP(CONCATENATE('BMP P Tracking Table'!$AW19," ",'BMP P Tracking Table'!$AY19),'Performance Curves'!$C$1:$L$46,_xlfn.SINGLE(MATCH('BMP P Tracking Table'!$BA19,'Performance Curves'!$D$1:$L$1,1))+2,FALSE)-VLOOKUP(CONCATENATE('BMP P Tracking Table'!$AW19," ",'BMP P Tracking Table'!$AY19),'Performance Curves'!$C$1:$L$46,_xlfn.SINGLE(MATCH('BMP P Tracking Table'!$BA19,'Performance Curves'!$D$1:$L$1,1))+1,FALSE)),"")</f>
        <v/>
      </c>
      <c r="BC19" s="102">
        <f>IFERROR(('BMP P Tracking Table'!$BA19-INDEX('Performance Curves'!$D$1:$L$1,1,MATCH('BMP P Tracking Table'!$BA19,'Performance Curves'!$D$1:$L$1,1)))/(INDEX('Performance Curves'!$D$1:$L$1,1,MATCH('BMP P Tracking Table'!$BA19,'Performance Curves'!$D$1:$L$1,1)+1)-INDEX('Performance Curves'!$D$1:$L$1,1,MATCH('BMP P Tracking Table'!$BA19,'Performance Curves'!$D$1:$L$1,1))),"")</f>
        <v>0</v>
      </c>
      <c r="BD19" s="103" t="str" cm="1">
        <f t="array" ref="BD19">IFERROR(IF('BMP P Tracking Table'!$BA19=2,VLOOKUP(CONCATENATE('BMP P Tracking Table'!$AW19," ",'BMP P Tracking Table'!$AY19),'Performance Curves'!$C$1:$L$44,_xlfn.SINGLE(MATCH('BMP P Tracking Table'!$BA19,'Performance Curves'!$D$1:$L$1,1))+1,FALSE),'BMP P Tracking Table'!$BB19*'BMP P Tracking Table'!$BC19+VLOOKUP(CONCATENATE('BMP P Tracking Table'!$AW19," ",'BMP P Tracking Table'!$AY19),'Performance Curves'!$C$1:$L$44,_xlfn.SINGLE(MATCH('BMP P Tracking Table'!$BA19,'Performance Curves'!$D$1:$L$1,1))+1,FALSE)),"")</f>
        <v/>
      </c>
      <c r="BE19" s="104" t="str">
        <f>IFERROR('BMP P Tracking Table'!$BD19*'BMP P Tracking Table'!$AZ19,"")</f>
        <v/>
      </c>
      <c r="BF19" s="92"/>
      <c r="BG19" s="37">
        <f t="shared" si="3"/>
        <v>0</v>
      </c>
      <c r="BH19" s="36" t="s">
        <v>341</v>
      </c>
      <c r="BI19" s="36" t="str">
        <f t="shared" si="1"/>
        <v>1‐1143</v>
      </c>
      <c r="BJ19" s="36" t="str">
        <f t="shared" si="2"/>
        <v>Racquet's Edge drywell 1</v>
      </c>
    </row>
    <row r="20" spans="1:65" s="36" customFormat="1">
      <c r="A20" s="36" t="s">
        <v>294</v>
      </c>
      <c r="B20" s="65" t="s">
        <v>780</v>
      </c>
      <c r="C20" s="65" t="s">
        <v>320</v>
      </c>
      <c r="D20" s="65" t="s">
        <v>783</v>
      </c>
      <c r="E20" s="65" t="s">
        <v>9</v>
      </c>
      <c r="F20" s="94"/>
      <c r="G20" s="94"/>
      <c r="H20" s="65"/>
      <c r="I20" s="65"/>
      <c r="J20" s="65" t="s">
        <v>66</v>
      </c>
      <c r="K20" s="95">
        <v>613000</v>
      </c>
      <c r="L20" s="65" t="s">
        <v>178</v>
      </c>
      <c r="M20" s="65" t="s">
        <v>791</v>
      </c>
      <c r="N20" s="65"/>
      <c r="O20" s="65"/>
      <c r="P20" s="65"/>
      <c r="Q20" s="65" t="s">
        <v>36</v>
      </c>
      <c r="R20" s="65" t="str">
        <f>IFERROR(VLOOKUP('BMP P Tracking Table'!$Q20,Dropdowns!$C$2:$E$15,3,FALSE),"")</f>
        <v>Winooski River</v>
      </c>
      <c r="S20" s="65" t="str">
        <f>IFERROR(VLOOKUP('BMP P Tracking Table'!$R20,Dropdowns!$Q$3:$R$23,2,FALSE),"")</f>
        <v>Main Lake</v>
      </c>
      <c r="T20" s="65" t="s">
        <v>66</v>
      </c>
      <c r="U20" s="65" t="s">
        <v>164</v>
      </c>
      <c r="V20" s="98">
        <v>3.4359999999999999</v>
      </c>
      <c r="W20" s="63" t="s">
        <v>220</v>
      </c>
      <c r="X20" s="98">
        <f>5.586-V20</f>
        <v>2.1500000000000004</v>
      </c>
      <c r="Y20" s="65"/>
      <c r="Z20" s="65"/>
      <c r="AA20" s="65"/>
      <c r="AB20" s="98">
        <v>2.15</v>
      </c>
      <c r="AC20" s="97">
        <f>((1*(0.05+0.009*((V20/(V20+X20))*100))*(V20+X20))/12)*43560</f>
        <v>12239.270999999999</v>
      </c>
      <c r="AD20" s="65" t="s">
        <v>205</v>
      </c>
      <c r="AE20" s="104">
        <f>IFERROR('BMP P Tracking Table'!$V20*VLOOKUP('BMP P Tracking Table'!$R20,'Loading Rates'!$B$1:$L$24,4,FALSE)+IF('BMP P Tracking Table'!$W20="By HSG",'BMP P Tracking Table'!$X20*VLOOKUP('BMP P Tracking Table'!$R20,'Loading Rates'!$B$1:$L$24,6,FALSE)+'BMP P Tracking Table'!$Y20*VLOOKUP('BMP P Tracking Table'!$R20,'Loading Rates'!$B$1:$L$24,7,FALSE)+'BMP P Tracking Table'!$Z20*VLOOKUP('BMP P Tracking Table'!$R20,'Loading Rates'!$B$1:$L$24,8,FALSE)+'BMP P Tracking Table'!$AA20*VLOOKUP('BMP P Tracking Table'!$R20,'Loading Rates'!$B$1:$L$24,9,FALSE),'BMP P Tracking Table'!$AB20*VLOOKUP('BMP P Tracking Table'!$R20,'Loading Rates'!$B$1:$L$24,10,FALSE)),"")</f>
        <v>3.8810120000000001</v>
      </c>
      <c r="AF20" s="104">
        <f>IFERROR(MIN(2,IF('BMP P Tracking Table'!$W20="Total Pervious",(-(3630*'BMP P Tracking Table'!$V20+20.691*'BMP P Tracking Table'!$AB20)+SQRT((3630*'BMP P Tracking Table'!$V20+20.691*'BMP P Tracking Table'!$AB20)^2-(4*(996.798*'BMP P Tracking Table'!$AB20)*-'BMP P Tracking Table'!$AC20)))/(2*(996.798*'BMP P Tracking Table'!$AB20)),IF(SUM('BMP P Tracking Table'!$X20:$AA20)=0,'BMP P Tracking Table'!$AC20/(-3630*'BMP P Tracking Table'!$V20),(-(3630*'BMP P Tracking Table'!$V20+20.691*'BMP P Tracking Table'!$AA20-216.711*'BMP P Tracking Table'!$Z20-83.853*'BMP P Tracking Table'!$Y20-42.834*'BMP P Tracking Table'!$X20)+SQRT((3630*'BMP P Tracking Table'!$V20+20.691*'BMP P Tracking Table'!$AA20-216.711*'BMP P Tracking Table'!$Z20-83.853*'BMP P Tracking Table'!$Y20-42.834*'BMP P Tracking Table'!$X20)^2-(4*(149.919*'BMP P Tracking Table'!$X20+236.676*'BMP P Tracking Table'!$Y20+726*'BMP P Tracking Table'!$Z20+996.798*'BMP P Tracking Table'!$AA20)*-'BMP P Tracking Table'!$AC20)))/(2*(149.919*'BMP P Tracking Table'!$X20+236.676*'BMP P Tracking Table'!$Y20+726*'BMP P Tracking Table'!$Z20+996.798*'BMP P Tracking Table'!$AA20))))),"")</f>
        <v>0.96437294638158322</v>
      </c>
      <c r="AG20" s="104">
        <f>IFERROR((VLOOKUP(CONCATENATE('BMP P Tracking Table'!$U20," ",'BMP P Tracking Table'!$AD20),'Performance Curves'!$C$1:$L$46,_xlfn.SINGLE(MATCH('BMP P Tracking Table'!$AF20,'Performance Curves'!$D$1:$L$1,1))+2,FALSE)-VLOOKUP(CONCATENATE('BMP P Tracking Table'!$U20," ",'BMP P Tracking Table'!$AD20),'Performance Curves'!$C$1:$L$46,_xlfn.SINGLE(MATCH('BMP P Tracking Table'!$AF20,'Performance Curves'!$D$1:$L$1,1))+1,FALSE)),"")</f>
        <v>1.0000000000000009E-2</v>
      </c>
      <c r="AH20" s="104">
        <f>IFERROR(('BMP P Tracking Table'!$AF20-INDEX('Performance Curves'!$D$1:$L$1,1,MATCH('BMP P Tracking Table'!$AF20,'Performance Curves'!$D$1:$L$1,1)))/(INDEX('Performance Curves'!$D$1:$L$1,1,MATCH('BMP P Tracking Table'!$AF20,'Performance Curves'!$D$1:$L$1,1)+1)-INDEX('Performance Curves'!$D$1:$L$1,1,MATCH('BMP P Tracking Table'!$AF20,'Performance Curves'!$D$1:$L$1,1))),"")</f>
        <v>0.82186473190791609</v>
      </c>
      <c r="AI20" s="103">
        <f>IFERROR(IF('BMP P Tracking Table'!$AF20=2,VLOOKUP(CONCATENATE('BMP P Tracking Table'!$U20," ",'BMP P Tracking Table'!$AD20),'Performance Curves'!$C$1:$L$46,_xlfn.SINGLE(MATCH('BMP P Tracking Table'!$AF20,'Performance Curves'!$D$1:$L$1,1))+1,FALSE),'BMP P Tracking Table'!$AG20*'BMP P Tracking Table'!$AH20+VLOOKUP(CONCATENATE('BMP P Tracking Table'!$U20," ",'BMP P Tracking Table'!$AD20),'Performance Curves'!$C$1:$L$46,_xlfn.SINGLE(MATCH('BMP P Tracking Table'!$AF20,'Performance Curves'!$D$1:$L$1,1))+1,FALSE)),"")</f>
        <v>0.99821864731907917</v>
      </c>
      <c r="AJ20" s="104">
        <f>IFERROR('BMP P Tracking Table'!$AI20*'BMP P Tracking Table'!$AE20,"")</f>
        <v>3.8740985488691142</v>
      </c>
      <c r="AK20" s="65"/>
      <c r="AL20" s="65"/>
      <c r="AM20" s="98"/>
      <c r="AN20" s="64">
        <v>1</v>
      </c>
      <c r="AO20" s="102">
        <f t="shared" si="0"/>
        <v>3.8740985488691142</v>
      </c>
      <c r="AP20" s="98"/>
      <c r="AQ20" s="98"/>
      <c r="AR20" s="98"/>
      <c r="AS20" s="98"/>
      <c r="AT20" s="98"/>
      <c r="AU20" s="98"/>
      <c r="AV20" s="98"/>
      <c r="AW20" s="65"/>
      <c r="AX20" s="99"/>
      <c r="AY20" s="99"/>
      <c r="AZ20" s="104" t="str">
        <f>IF('BMP P Tracking Table'!$AL20="Yes",IF('BMP P Tracking Table'!$AM20="No",'BMP P Tracking Table'!$V20*VLOOKUP('BMP P Tracking Table'!$R20,'Loading Rates'!$B$1:$L$24,4,FALSE)+IF('BMP P Tracking Table'!$W20="By HSG",'BMP P Tracking Table'!$X20*VLOOKUP('BMP P Tracking Table'!$R20,'Loading Rates'!$B$1:$L$24,6,FALSE)+'BMP P Tracking Table'!$Y20*VLOOKUP('BMP P Tracking Table'!$R20,'Loading Rates'!$B$1:$L$24,7,FALSE)+'BMP P Tracking Table'!$Z20*VLOOKUP('BMP P Tracking Table'!$R20,'Loading Rates'!$B$1:$L$24,8,FALSE)+'BMP P Tracking Table'!$AA20*VLOOKUP('BMP P Tracking Table'!$R20,'Loading Rates'!$B$1:$L$24,9,FALSE),'BMP P Tracking Table'!$AB20*VLOOKUP('BMP P Tracking Table'!$R20,'Loading Rates'!$B$1:$L$24,10,FALSE)),'BMP P Tracking Table'!$AP20*VLOOKUP('BMP P Tracking Table'!$R20,'Loading Rates'!$B$1:$L$24,4,FALSE)+IF('BMP P Tracking Table'!$AQ20="By HSG",'BMP P Tracking Table'!$AR20*VLOOKUP('BMP P Tracking Table'!$R20,'Loading Rates'!$B$1:$L$24,6,FALSE)+'BMP P Tracking Table'!$AS20*VLOOKUP('BMP P Tracking Table'!$R20,'Loading Rates'!$B$1:$L$24,7,FALSE)+'BMP P Tracking Table'!$AT20*VLOOKUP('BMP P Tracking Table'!$R20,'Loading Rates'!$B$1:$L$24,8,FALSE)+'BMP P Tracking Table'!$AU20*VLOOKUP('BMP P Tracking Table'!$R20,'Loading Rates'!$B$1:$L$24,9,FALSE),'BMP P Tracking Table'!$AV20*VLOOKUP('BMP P Tracking Table'!$R20,'Loading Rates'!$B$1:$L$24,10,FALSE))),"")</f>
        <v/>
      </c>
      <c r="BA20" s="104">
        <f>IFERROR(IF('BMP P Tracking Table'!$AM20="Yes",MIN(2,IF('BMP P Tracking Table'!$AQ20="Total Pervious",(-(3630*'BMP P Tracking Table'!$AP20+20.691*'BMP P Tracking Table'!$AV20)+SQRT((3630*'BMP P Tracking Table'!$AP20+20.691*'BMP P Tracking Table'!$AV20)^2-(4*(996.798*'BMP P Tracking Table'!$AV20)*-'BMP P Tracking Table'!$AX20)))/(2*(996.798*'BMP P Tracking Table'!$AV20)),IF(SUM('BMP P Tracking Table'!$AR20:$AU20)=0,'BMP P Tracking Table'!$AV20/(-3630*'BMP P Tracking Table'!$AP20),(-(3630*'BMP P Tracking Table'!$AP20+20.691*'BMP P Tracking Table'!$AU20-216.711*'BMP P Tracking Table'!$AT20-83.853*'BMP P Tracking Table'!$AS20-42.834*'BMP P Tracking Table'!$AR20)+SQRT((3630*'BMP P Tracking Table'!$AP20+20.691*'BMP P Tracking Table'!$AU20-216.711*'BMP P Tracking Table'!$AT20-83.853*'BMP P Tracking Table'!$AS20-42.834*'BMP P Tracking Table'!$AR20)^2-(4*(149.919*'BMP P Tracking Table'!$AR20+236.676*'BMP P Tracking Table'!$AS20+726*'BMP P Tracking Table'!$AT20+996.798*'BMP P Tracking Table'!$AU20)*-'BMP P Tracking Table'!$AX20)))/(2*(149.919*'BMP P Tracking Table'!$AR20+236.676*'BMP P Tracking Table'!$AS20+726*'BMP P Tracking Table'!$AT20+996.798*'BMP P Tracking Table'!$AU20))))),MIN(2,IF('BMP P Tracking Table'!$AQ20="Total Pervious",(-(3630*'BMP P Tracking Table'!$V20+20.691*'BMP P Tracking Table'!$AB20)+SQRT((3630*'BMP P Tracking Table'!$V20+20.691*'BMP P Tracking Table'!$AB20)^2-(4*(996.798*'BMP P Tracking Table'!$AB20)*-'BMP P Tracking Table'!$AX20)))/(2*(996.798*'BMP P Tracking Table'!$AB20)),IF(SUM('BMP P Tracking Table'!$X20:$AA20)=0,'BMP P Tracking Table'!$AX20/(-3630*'BMP P Tracking Table'!$V20),(-(3630*'BMP P Tracking Table'!$V20+20.691*'BMP P Tracking Table'!$AA20-216.711*'BMP P Tracking Table'!$Z20-83.853*'BMP P Tracking Table'!$Y20-42.834*'BMP P Tracking Table'!$X20)+SQRT((3630*'BMP P Tracking Table'!$V20+20.691*'BMP P Tracking Table'!$AA20-216.711*'BMP P Tracking Table'!$Z20-83.853*'BMP P Tracking Table'!$Y20-42.834*'BMP P Tracking Table'!$X20)^2-(4*(149.919*'BMP P Tracking Table'!$X20+236.676*'BMP P Tracking Table'!$Y20+726*'BMP P Tracking Table'!$Z20+996.798*'BMP P Tracking Table'!$AA20)*-'BMP P Tracking Table'!$AX20)))/(2*(149.919*'BMP P Tracking Table'!$X20+236.676*'BMP P Tracking Table'!$Y20+726*'BMP P Tracking Table'!$Z20+996.798*'BMP P Tracking Table'!$AA20)))))),"")</f>
        <v>0</v>
      </c>
      <c r="BB20" s="102" t="str">
        <f>IFERROR((VLOOKUP(CONCATENATE('BMP P Tracking Table'!$AW20," ",'BMP P Tracking Table'!$AY20),'Performance Curves'!$C$1:$L$46,_xlfn.SINGLE(MATCH('BMP P Tracking Table'!$BA20,'Performance Curves'!$D$1:$L$1,1))+2,FALSE)-VLOOKUP(CONCATENATE('BMP P Tracking Table'!$AW20," ",'BMP P Tracking Table'!$AY20),'Performance Curves'!$C$1:$L$46,_xlfn.SINGLE(MATCH('BMP P Tracking Table'!$BA20,'Performance Curves'!$D$1:$L$1,1))+1,FALSE)),"")</f>
        <v/>
      </c>
      <c r="BC20" s="102">
        <f>IFERROR(('BMP P Tracking Table'!$BA20-INDEX('Performance Curves'!$D$1:$L$1,1,MATCH('BMP P Tracking Table'!$BA20,'Performance Curves'!$D$1:$L$1,1)))/(INDEX('Performance Curves'!$D$1:$L$1,1,MATCH('BMP P Tracking Table'!$BA20,'Performance Curves'!$D$1:$L$1,1)+1)-INDEX('Performance Curves'!$D$1:$L$1,1,MATCH('BMP P Tracking Table'!$BA20,'Performance Curves'!$D$1:$L$1,1))),"")</f>
        <v>0</v>
      </c>
      <c r="BD20" s="103" t="str" cm="1">
        <f t="array" ref="BD20">IFERROR(IF('BMP P Tracking Table'!$BA20=2,VLOOKUP(CONCATENATE('BMP P Tracking Table'!$AW20," ",'BMP P Tracking Table'!$AY20),'Performance Curves'!$C$1:$L$44,_xlfn.SINGLE(MATCH('BMP P Tracking Table'!$BA20,'Performance Curves'!$D$1:$L$1,1))+1,FALSE),'BMP P Tracking Table'!$BB20*'BMP P Tracking Table'!$BC20+VLOOKUP(CONCATENATE('BMP P Tracking Table'!$AW20," ",'BMP P Tracking Table'!$AY20),'Performance Curves'!$C$1:$L$44,_xlfn.SINGLE(MATCH('BMP P Tracking Table'!$BA20,'Performance Curves'!$D$1:$L$1,1))+1,FALSE)),"")</f>
        <v/>
      </c>
      <c r="BE20" s="104" t="str">
        <f>IFERROR('BMP P Tracking Table'!$BD20*'BMP P Tracking Table'!$AZ20,"")</f>
        <v/>
      </c>
      <c r="BF20" s="98"/>
      <c r="BG20" s="37">
        <f t="shared" si="3"/>
        <v>0</v>
      </c>
      <c r="BI20" s="36" t="str">
        <f t="shared" si="1"/>
        <v>Outfall 126</v>
      </c>
      <c r="BJ20" s="36" t="str">
        <f t="shared" si="2"/>
        <v>Outfall 126: Fort Ethan Allen (Ryan St.)</v>
      </c>
    </row>
    <row r="21" spans="1:65" s="36" customFormat="1">
      <c r="A21" s="36" t="s">
        <v>295</v>
      </c>
      <c r="B21" s="65" t="s">
        <v>781</v>
      </c>
      <c r="C21" s="65" t="s">
        <v>321</v>
      </c>
      <c r="D21" s="65" t="s">
        <v>327</v>
      </c>
      <c r="E21" s="65" t="s">
        <v>9</v>
      </c>
      <c r="F21" s="94"/>
      <c r="G21" s="94"/>
      <c r="H21" s="65"/>
      <c r="I21" s="65"/>
      <c r="J21" s="65" t="s">
        <v>66</v>
      </c>
      <c r="K21" s="95">
        <f>ROUNDUP(36200*(1.0105^6),-2)</f>
        <v>38600</v>
      </c>
      <c r="L21" s="65" t="s">
        <v>49</v>
      </c>
      <c r="M21" s="65" t="s">
        <v>924</v>
      </c>
      <c r="N21" s="65"/>
      <c r="O21" s="65"/>
      <c r="P21" s="65"/>
      <c r="Q21" s="65" t="s">
        <v>36</v>
      </c>
      <c r="R21" s="65" t="str">
        <f>IFERROR(VLOOKUP('BMP P Tracking Table'!$Q21,Dropdowns!$C$2:$E$15,3,FALSE),"")</f>
        <v>Winooski River</v>
      </c>
      <c r="S21" s="65" t="str">
        <f>IFERROR(VLOOKUP('BMP P Tracking Table'!$R21,Dropdowns!$Q$3:$R$23,2,FALSE),"")</f>
        <v>Main Lake</v>
      </c>
      <c r="T21" s="65" t="s">
        <v>66</v>
      </c>
      <c r="U21" s="65" t="s">
        <v>47</v>
      </c>
      <c r="V21" s="98">
        <v>5.18</v>
      </c>
      <c r="W21" s="63" t="s">
        <v>219</v>
      </c>
      <c r="X21" s="65"/>
      <c r="Y21" s="65"/>
      <c r="Z21" s="65"/>
      <c r="AA21" s="65"/>
      <c r="AB21" s="98">
        <v>3</v>
      </c>
      <c r="AC21" s="97">
        <v>5009</v>
      </c>
      <c r="AD21" s="65" t="s">
        <v>205</v>
      </c>
      <c r="AE21" s="104">
        <f>IFERROR('BMP P Tracking Table'!$V21*VLOOKUP('BMP P Tracking Table'!$R21,'Loading Rates'!$B$1:$L$24,4,FALSE)+IF('BMP P Tracking Table'!$W21="By HSG",'BMP P Tracking Table'!$X21*VLOOKUP('BMP P Tracking Table'!$R21,'Loading Rates'!$B$1:$L$24,6,FALSE)+'BMP P Tracking Table'!$Y21*VLOOKUP('BMP P Tracking Table'!$R21,'Loading Rates'!$B$1:$L$24,7,FALSE)+'BMP P Tracking Table'!$Z21*VLOOKUP('BMP P Tracking Table'!$R21,'Loading Rates'!$B$1:$L$24,8,FALSE)+'BMP P Tracking Table'!$AA21*VLOOKUP('BMP P Tracking Table'!$R21,'Loading Rates'!$B$1:$L$24,9,FALSE),'BMP P Tracking Table'!$AB21*VLOOKUP('BMP P Tracking Table'!$R21,'Loading Rates'!$B$1:$L$24,10,FALSE)),"")</f>
        <v>6.4790600000000005</v>
      </c>
      <c r="AF21" s="104">
        <f>IFERROR(MIN(2,IF('BMP P Tracking Table'!$W21="Total Pervious",(-(3630*'BMP P Tracking Table'!$V21+20.691*'BMP P Tracking Table'!$AB21)+SQRT((3630*'BMP P Tracking Table'!$V21+20.691*'BMP P Tracking Table'!$AB21)^2-(4*(996.798*'BMP P Tracking Table'!$AB21)*-'BMP P Tracking Table'!$AC21)))/(2*(996.798*'BMP P Tracking Table'!$AB21)),IF(SUM('BMP P Tracking Table'!$X21:$AA21)=0,'BMP P Tracking Table'!$AC21/(-3630*'BMP P Tracking Table'!$V21),(-(3630*'BMP P Tracking Table'!$V21+20.691*'BMP P Tracking Table'!$AA21-216.711*'BMP P Tracking Table'!$Z21-83.853*'BMP P Tracking Table'!$Y21-42.834*'BMP P Tracking Table'!$X21)+SQRT((3630*'BMP P Tracking Table'!$V21+20.691*'BMP P Tracking Table'!$AA21-216.711*'BMP P Tracking Table'!$Z21-83.853*'BMP P Tracking Table'!$Y21-42.834*'BMP P Tracking Table'!$X21)^2-(4*(149.919*'BMP P Tracking Table'!$X21+236.676*'BMP P Tracking Table'!$Y21+726*'BMP P Tracking Table'!$Z21+996.798*'BMP P Tracking Table'!$AA21)*-'BMP P Tracking Table'!$AC21)))/(2*(149.919*'BMP P Tracking Table'!$X21+236.676*'BMP P Tracking Table'!$Y21+726*'BMP P Tracking Table'!$Z21+996.798*'BMP P Tracking Table'!$AA21))))),"")</f>
        <v>0.25518900440647196</v>
      </c>
      <c r="AG21" s="104">
        <f>IFERROR((VLOOKUP(CONCATENATE('BMP P Tracking Table'!$U21," ",'BMP P Tracking Table'!$AD21),'Performance Curves'!$C$1:$L$46,_xlfn.SINGLE(MATCH('BMP P Tracking Table'!$AF21,'Performance Curves'!$D$1:$L$1,1))+2,FALSE)-VLOOKUP(CONCATENATE('BMP P Tracking Table'!$U21," ",'BMP P Tracking Table'!$AD21),'Performance Curves'!$C$1:$L$46,_xlfn.SINGLE(MATCH('BMP P Tracking Table'!$AF21,'Performance Curves'!$D$1:$L$1,1))+1,FALSE)),"")</f>
        <v>0.18999999999999995</v>
      </c>
      <c r="AH21" s="104">
        <f>IFERROR(('BMP P Tracking Table'!$AF21-INDEX('Performance Curves'!$D$1:$L$1,1,MATCH('BMP P Tracking Table'!$AF21,'Performance Curves'!$D$1:$L$1,1)))/(INDEX('Performance Curves'!$D$1:$L$1,1,MATCH('BMP P Tracking Table'!$AF21,'Performance Curves'!$D$1:$L$1,1)+1)-INDEX('Performance Curves'!$D$1:$L$1,1,MATCH('BMP P Tracking Table'!$AF21,'Performance Curves'!$D$1:$L$1,1))),"")</f>
        <v>0.27594502203235977</v>
      </c>
      <c r="AI21" s="103">
        <f>IFERROR(IF('BMP P Tracking Table'!$AF21=2,VLOOKUP(CONCATENATE('BMP P Tracking Table'!$U21," ",'BMP P Tracking Table'!$AD21),'Performance Curves'!$C$1:$L$46,_xlfn.SINGLE(MATCH('BMP P Tracking Table'!$AF21,'Performance Curves'!$D$1:$L$1,1))+1,FALSE),'BMP P Tracking Table'!$AG21*'BMP P Tracking Table'!$AH21+VLOOKUP(CONCATENATE('BMP P Tracking Table'!$U21," ",'BMP P Tracking Table'!$AD21),'Performance Curves'!$C$1:$L$46,_xlfn.SINGLE(MATCH('BMP P Tracking Table'!$AF21,'Performance Curves'!$D$1:$L$1,1))+1,FALSE)),"")</f>
        <v>0.80242955418614836</v>
      </c>
      <c r="AJ21" s="104">
        <f>IFERROR('BMP P Tracking Table'!$AI21*'BMP P Tracking Table'!$AE21,"")</f>
        <v>5.1989892273453071</v>
      </c>
      <c r="AK21" s="65"/>
      <c r="AL21" s="65"/>
      <c r="AM21" s="98"/>
      <c r="AN21" s="64">
        <v>1</v>
      </c>
      <c r="AO21" s="102">
        <f t="shared" si="0"/>
        <v>5.1989892273453071</v>
      </c>
      <c r="AP21" s="98"/>
      <c r="AQ21" s="98"/>
      <c r="AR21" s="98"/>
      <c r="AS21" s="98"/>
      <c r="AT21" s="98"/>
      <c r="AU21" s="98"/>
      <c r="AV21" s="98"/>
      <c r="AW21" s="65"/>
      <c r="AX21" s="99"/>
      <c r="AY21" s="99"/>
      <c r="AZ21" s="104" t="str">
        <f>IF('BMP P Tracking Table'!$AL21="Yes",IF('BMP P Tracking Table'!$AM21="No",'BMP P Tracking Table'!$V21*VLOOKUP('BMP P Tracking Table'!$R21,'Loading Rates'!$B$1:$L$24,4,FALSE)+IF('BMP P Tracking Table'!$W21="By HSG",'BMP P Tracking Table'!$X21*VLOOKUP('BMP P Tracking Table'!$R21,'Loading Rates'!$B$1:$L$24,6,FALSE)+'BMP P Tracking Table'!$Y21*VLOOKUP('BMP P Tracking Table'!$R21,'Loading Rates'!$B$1:$L$24,7,FALSE)+'BMP P Tracking Table'!$Z21*VLOOKUP('BMP P Tracking Table'!$R21,'Loading Rates'!$B$1:$L$24,8,FALSE)+'BMP P Tracking Table'!$AA21*VLOOKUP('BMP P Tracking Table'!$R21,'Loading Rates'!$B$1:$L$24,9,FALSE),'BMP P Tracking Table'!$AB21*VLOOKUP('BMP P Tracking Table'!$R21,'Loading Rates'!$B$1:$L$24,10,FALSE)),'BMP P Tracking Table'!$AP21*VLOOKUP('BMP P Tracking Table'!$R21,'Loading Rates'!$B$1:$L$24,4,FALSE)+IF('BMP P Tracking Table'!$AQ21="By HSG",'BMP P Tracking Table'!$AR21*VLOOKUP('BMP P Tracking Table'!$R21,'Loading Rates'!$B$1:$L$24,6,FALSE)+'BMP P Tracking Table'!$AS21*VLOOKUP('BMP P Tracking Table'!$R21,'Loading Rates'!$B$1:$L$24,7,FALSE)+'BMP P Tracking Table'!$AT21*VLOOKUP('BMP P Tracking Table'!$R21,'Loading Rates'!$B$1:$L$24,8,FALSE)+'BMP P Tracking Table'!$AU21*VLOOKUP('BMP P Tracking Table'!$R21,'Loading Rates'!$B$1:$L$24,9,FALSE),'BMP P Tracking Table'!$AV21*VLOOKUP('BMP P Tracking Table'!$R21,'Loading Rates'!$B$1:$L$24,10,FALSE))),"")</f>
        <v/>
      </c>
      <c r="BA21" s="104">
        <f>IFERROR(IF('BMP P Tracking Table'!$AM21="Yes",MIN(2,IF('BMP P Tracking Table'!$AQ21="Total Pervious",(-(3630*'BMP P Tracking Table'!$AP21+20.691*'BMP P Tracking Table'!$AV21)+SQRT((3630*'BMP P Tracking Table'!$AP21+20.691*'BMP P Tracking Table'!$AV21)^2-(4*(996.798*'BMP P Tracking Table'!$AV21)*-'BMP P Tracking Table'!$AX21)))/(2*(996.798*'BMP P Tracking Table'!$AV21)),IF(SUM('BMP P Tracking Table'!$AR21:$AU21)=0,'BMP P Tracking Table'!$AV21/(-3630*'BMP P Tracking Table'!$AP21),(-(3630*'BMP P Tracking Table'!$AP21+20.691*'BMP P Tracking Table'!$AU21-216.711*'BMP P Tracking Table'!$AT21-83.853*'BMP P Tracking Table'!$AS21-42.834*'BMP P Tracking Table'!$AR21)+SQRT((3630*'BMP P Tracking Table'!$AP21+20.691*'BMP P Tracking Table'!$AU21-216.711*'BMP P Tracking Table'!$AT21-83.853*'BMP P Tracking Table'!$AS21-42.834*'BMP P Tracking Table'!$AR21)^2-(4*(149.919*'BMP P Tracking Table'!$AR21+236.676*'BMP P Tracking Table'!$AS21+726*'BMP P Tracking Table'!$AT21+996.798*'BMP P Tracking Table'!$AU21)*-'BMP P Tracking Table'!$AX21)))/(2*(149.919*'BMP P Tracking Table'!$AR21+236.676*'BMP P Tracking Table'!$AS21+726*'BMP P Tracking Table'!$AT21+996.798*'BMP P Tracking Table'!$AU21))))),MIN(2,IF('BMP P Tracking Table'!$AQ21="Total Pervious",(-(3630*'BMP P Tracking Table'!$V21+20.691*'BMP P Tracking Table'!$AB21)+SQRT((3630*'BMP P Tracking Table'!$V21+20.691*'BMP P Tracking Table'!$AB21)^2-(4*(996.798*'BMP P Tracking Table'!$AB21)*-'BMP P Tracking Table'!$AX21)))/(2*(996.798*'BMP P Tracking Table'!$AB21)),IF(SUM('BMP P Tracking Table'!$X21:$AA21)=0,'BMP P Tracking Table'!$AX21/(-3630*'BMP P Tracking Table'!$V21),(-(3630*'BMP P Tracking Table'!$V21+20.691*'BMP P Tracking Table'!$AA21-216.711*'BMP P Tracking Table'!$Z21-83.853*'BMP P Tracking Table'!$Y21-42.834*'BMP P Tracking Table'!$X21)+SQRT((3630*'BMP P Tracking Table'!$V21+20.691*'BMP P Tracking Table'!$AA21-216.711*'BMP P Tracking Table'!$Z21-83.853*'BMP P Tracking Table'!$Y21-42.834*'BMP P Tracking Table'!$X21)^2-(4*(149.919*'BMP P Tracking Table'!$X21+236.676*'BMP P Tracking Table'!$Y21+726*'BMP P Tracking Table'!$Z21+996.798*'BMP P Tracking Table'!$AA21)*-'BMP P Tracking Table'!$AX21)))/(2*(149.919*'BMP P Tracking Table'!$X21+236.676*'BMP P Tracking Table'!$Y21+726*'BMP P Tracking Table'!$Z21+996.798*'BMP P Tracking Table'!$AA21)))))),"")</f>
        <v>0</v>
      </c>
      <c r="BB21" s="102" t="str">
        <f>IFERROR((VLOOKUP(CONCATENATE('BMP P Tracking Table'!$AW21," ",'BMP P Tracking Table'!$AY21),'Performance Curves'!$C$1:$L$46,_xlfn.SINGLE(MATCH('BMP P Tracking Table'!$BA21,'Performance Curves'!$D$1:$L$1,1))+2,FALSE)-VLOOKUP(CONCATENATE('BMP P Tracking Table'!$AW21," ",'BMP P Tracking Table'!$AY21),'Performance Curves'!$C$1:$L$46,_xlfn.SINGLE(MATCH('BMP P Tracking Table'!$BA21,'Performance Curves'!$D$1:$L$1,1))+1,FALSE)),"")</f>
        <v/>
      </c>
      <c r="BC21" s="102">
        <f>IFERROR(('BMP P Tracking Table'!$BA21-INDEX('Performance Curves'!$D$1:$L$1,1,MATCH('BMP P Tracking Table'!$BA21,'Performance Curves'!$D$1:$L$1,1)))/(INDEX('Performance Curves'!$D$1:$L$1,1,MATCH('BMP P Tracking Table'!$BA21,'Performance Curves'!$D$1:$L$1,1)+1)-INDEX('Performance Curves'!$D$1:$L$1,1,MATCH('BMP P Tracking Table'!$BA21,'Performance Curves'!$D$1:$L$1,1))),"")</f>
        <v>0</v>
      </c>
      <c r="BD21" s="103" t="str" cm="1">
        <f t="array" ref="BD21">IFERROR(IF('BMP P Tracking Table'!$BA21=2,VLOOKUP(CONCATENATE('BMP P Tracking Table'!$AW21," ",'BMP P Tracking Table'!$AY21),'Performance Curves'!$C$1:$L$44,_xlfn.SINGLE(MATCH('BMP P Tracking Table'!$BA21,'Performance Curves'!$D$1:$L$1,1))+1,FALSE),'BMP P Tracking Table'!$BB21*'BMP P Tracking Table'!$BC21+VLOOKUP(CONCATENATE('BMP P Tracking Table'!$AW21," ",'BMP P Tracking Table'!$AY21),'Performance Curves'!$C$1:$L$44,_xlfn.SINGLE(MATCH('BMP P Tracking Table'!$BA21,'Performance Curves'!$D$1:$L$1,1))+1,FALSE)),"")</f>
        <v/>
      </c>
      <c r="BE21" s="104" t="str">
        <f>IFERROR('BMP P Tracking Table'!$BD21*'BMP P Tracking Table'!$AZ21,"")</f>
        <v/>
      </c>
      <c r="BF21" s="98"/>
      <c r="BG21" s="37">
        <f t="shared" si="3"/>
        <v>0</v>
      </c>
      <c r="BI21" s="36" t="str">
        <f t="shared" si="1"/>
        <v>Outfall 199</v>
      </c>
      <c r="BJ21" s="36" t="str">
        <f t="shared" si="2"/>
        <v>Outfall 199‐Morse Dr.</v>
      </c>
    </row>
    <row r="22" spans="1:65" s="36" customFormat="1">
      <c r="B22" s="65" t="s">
        <v>309</v>
      </c>
      <c r="C22" s="65" t="s">
        <v>322</v>
      </c>
      <c r="D22" s="65" t="s">
        <v>328</v>
      </c>
      <c r="E22" s="65" t="s">
        <v>9</v>
      </c>
      <c r="F22" s="94"/>
      <c r="G22" s="94"/>
      <c r="H22" s="65" t="s">
        <v>309</v>
      </c>
      <c r="I22" s="65"/>
      <c r="J22" s="65" t="s">
        <v>66</v>
      </c>
      <c r="K22" s="95">
        <f>ROUNDUP(800400*(1.0105^6),-2)</f>
        <v>852200</v>
      </c>
      <c r="L22" s="65" t="s">
        <v>178</v>
      </c>
      <c r="M22" s="65" t="s">
        <v>796</v>
      </c>
      <c r="N22" s="65"/>
      <c r="O22" s="65"/>
      <c r="P22" s="65"/>
      <c r="Q22" s="65" t="s">
        <v>36</v>
      </c>
      <c r="R22" s="65" t="str">
        <f>IFERROR(VLOOKUP('BMP P Tracking Table'!$Q22,Dropdowns!$C$2:$E$15,3,FALSE),"")</f>
        <v>Winooski River</v>
      </c>
      <c r="S22" s="65" t="str">
        <f>IFERROR(VLOOKUP('BMP P Tracking Table'!$R22,Dropdowns!$Q$3:$R$23,2,FALSE),"")</f>
        <v>Main Lake</v>
      </c>
      <c r="T22" s="65" t="s">
        <v>66</v>
      </c>
      <c r="U22" s="65" t="s">
        <v>164</v>
      </c>
      <c r="V22" s="98">
        <v>15.96</v>
      </c>
      <c r="W22" s="63" t="s">
        <v>219</v>
      </c>
      <c r="X22" s="232"/>
      <c r="Y22" s="233"/>
      <c r="Z22" s="65"/>
      <c r="AA22" s="65"/>
      <c r="AB22" s="98">
        <f>32.21-V22</f>
        <v>16.25</v>
      </c>
      <c r="AC22" s="97">
        <v>61028</v>
      </c>
      <c r="AD22" s="65" t="s">
        <v>206</v>
      </c>
      <c r="AE22" s="104">
        <f>IFERROR('BMP P Tracking Table'!$V22*VLOOKUP('BMP P Tracking Table'!$R22,'Loading Rates'!$B$1:$L$24,4,FALSE)+IF('BMP P Tracking Table'!$W22="By HSG",'BMP P Tracking Table'!$X22*VLOOKUP('BMP P Tracking Table'!$R22,'Loading Rates'!$B$1:$L$24,6,FALSE)+'BMP P Tracking Table'!$Y22*VLOOKUP('BMP P Tracking Table'!$R22,'Loading Rates'!$B$1:$L$24,7,FALSE)+'BMP P Tracking Table'!$Z22*VLOOKUP('BMP P Tracking Table'!$R22,'Loading Rates'!$B$1:$L$24,8,FALSE)+'BMP P Tracking Table'!$AA22*VLOOKUP('BMP P Tracking Table'!$R22,'Loading Rates'!$B$1:$L$24,9,FALSE),'BMP P Tracking Table'!$AB22*VLOOKUP('BMP P Tracking Table'!$R22,'Loading Rates'!$B$1:$L$24,10,FALSE)),"")</f>
        <v>21.58107</v>
      </c>
      <c r="AF22" s="104">
        <f>IFERROR(MIN(2,IF('BMP P Tracking Table'!$W22="Total Pervious",(-(3630*'BMP P Tracking Table'!$V22+20.691*'BMP P Tracking Table'!$AB22)+SQRT((3630*'BMP P Tracking Table'!$V22+20.691*'BMP P Tracking Table'!$AB22)^2-(4*(996.798*'BMP P Tracking Table'!$AB22)*-'BMP P Tracking Table'!$AC22)))/(2*(996.798*'BMP P Tracking Table'!$AB22)),IF(SUM('BMP P Tracking Table'!$X22:$AA22)=0,'BMP P Tracking Table'!$AC22/(-3630*'BMP P Tracking Table'!$V22),(-(3630*'BMP P Tracking Table'!$V22+20.691*'BMP P Tracking Table'!$AA22-216.711*'BMP P Tracking Table'!$Z22-83.853*'BMP P Tracking Table'!$Y22-42.834*'BMP P Tracking Table'!$X22)+SQRT((3630*'BMP P Tracking Table'!$V22+20.691*'BMP P Tracking Table'!$AA22-216.711*'BMP P Tracking Table'!$Z22-83.853*'BMP P Tracking Table'!$Y22-42.834*'BMP P Tracking Table'!$X22)^2-(4*(149.919*'BMP P Tracking Table'!$X22+236.676*'BMP P Tracking Table'!$Y22+726*'BMP P Tracking Table'!$Z22+996.798*'BMP P Tracking Table'!$AA22)*-'BMP P Tracking Table'!$AC22)))/(2*(149.919*'BMP P Tracking Table'!$X22+236.676*'BMP P Tracking Table'!$Y22+726*'BMP P Tracking Table'!$Z22+996.798*'BMP P Tracking Table'!$AA22))))),"")</f>
        <v>0.84760511979864128</v>
      </c>
      <c r="AG22" s="104">
        <f>IFERROR((VLOOKUP(CONCATENATE('BMP P Tracking Table'!$U22," ",'BMP P Tracking Table'!$AD22),'Performance Curves'!$C$1:$L$46,_xlfn.SINGLE(MATCH('BMP P Tracking Table'!$AF22,'Performance Curves'!$D$1:$L$1,1))+2,FALSE)-VLOOKUP(CONCATENATE('BMP P Tracking Table'!$U22," ",'BMP P Tracking Table'!$AD22),'Performance Curves'!$C$1:$L$46,_xlfn.SINGLE(MATCH('BMP P Tracking Table'!$AF22,'Performance Curves'!$D$1:$L$1,1))+1,FALSE)),"")</f>
        <v>2.0000000000000018E-2</v>
      </c>
      <c r="AH22" s="104">
        <f>IFERROR(('BMP P Tracking Table'!$AF22-INDEX('Performance Curves'!$D$1:$L$1,1,MATCH('BMP P Tracking Table'!$AF22,'Performance Curves'!$D$1:$L$1,1)))/(INDEX('Performance Curves'!$D$1:$L$1,1,MATCH('BMP P Tracking Table'!$AF22,'Performance Curves'!$D$1:$L$1,1)+1)-INDEX('Performance Curves'!$D$1:$L$1,1,MATCH('BMP P Tracking Table'!$AF22,'Performance Curves'!$D$1:$L$1,1))),"")</f>
        <v>0.23802559899320624</v>
      </c>
      <c r="AI22" s="103">
        <f>IFERROR(IF('BMP P Tracking Table'!$AF22=2,VLOOKUP(CONCATENATE('BMP P Tracking Table'!$U22," ",'BMP P Tracking Table'!$AD22),'Performance Curves'!$C$1:$L$46,_xlfn.SINGLE(MATCH('BMP P Tracking Table'!$AF22,'Performance Curves'!$D$1:$L$1,1))+1,FALSE),'BMP P Tracking Table'!$AG22*'BMP P Tracking Table'!$AH22+VLOOKUP(CONCATENATE('BMP P Tracking Table'!$U22," ",'BMP P Tracking Table'!$AD22),'Performance Curves'!$C$1:$L$46,_xlfn.SINGLE(MATCH('BMP P Tracking Table'!$AF22,'Performance Curves'!$D$1:$L$1,1))+1,FALSE)),"")</f>
        <v>0.96476051197986412</v>
      </c>
      <c r="AJ22" s="104">
        <f>IFERROR('BMP P Tracking Table'!$AI22*'BMP P Tracking Table'!$AE22,"")</f>
        <v>20.820564142273287</v>
      </c>
      <c r="AK22" s="65"/>
      <c r="AL22" s="65"/>
      <c r="AM22" s="98"/>
      <c r="AN22" s="64">
        <v>1</v>
      </c>
      <c r="AO22" s="102">
        <f t="shared" si="0"/>
        <v>20.820564142273287</v>
      </c>
      <c r="AP22" s="98"/>
      <c r="AQ22" s="98"/>
      <c r="AR22" s="98"/>
      <c r="AS22" s="98"/>
      <c r="AT22" s="98"/>
      <c r="AU22" s="98"/>
      <c r="AV22" s="98"/>
      <c r="AW22" s="65"/>
      <c r="AX22" s="99"/>
      <c r="AY22" s="99"/>
      <c r="AZ22" s="104" t="str">
        <f>IF('BMP P Tracking Table'!$AL22="Yes",IF('BMP P Tracking Table'!$AM22="No",'BMP P Tracking Table'!$V22*VLOOKUP('BMP P Tracking Table'!$R22,'Loading Rates'!$B$1:$L$24,4,FALSE)+IF('BMP P Tracking Table'!$W22="By HSG",'BMP P Tracking Table'!$X22*VLOOKUP('BMP P Tracking Table'!$R22,'Loading Rates'!$B$1:$L$24,6,FALSE)+'BMP P Tracking Table'!$Y22*VLOOKUP('BMP P Tracking Table'!$R22,'Loading Rates'!$B$1:$L$24,7,FALSE)+'BMP P Tracking Table'!$Z22*VLOOKUP('BMP P Tracking Table'!$R22,'Loading Rates'!$B$1:$L$24,8,FALSE)+'BMP P Tracking Table'!$AA22*VLOOKUP('BMP P Tracking Table'!$R22,'Loading Rates'!$B$1:$L$24,9,FALSE),'BMP P Tracking Table'!$AB22*VLOOKUP('BMP P Tracking Table'!$R22,'Loading Rates'!$B$1:$L$24,10,FALSE)),'BMP P Tracking Table'!$AP22*VLOOKUP('BMP P Tracking Table'!$R22,'Loading Rates'!$B$1:$L$24,4,FALSE)+IF('BMP P Tracking Table'!$AQ22="By HSG",'BMP P Tracking Table'!$AR22*VLOOKUP('BMP P Tracking Table'!$R22,'Loading Rates'!$B$1:$L$24,6,FALSE)+'BMP P Tracking Table'!$AS22*VLOOKUP('BMP P Tracking Table'!$R22,'Loading Rates'!$B$1:$L$24,7,FALSE)+'BMP P Tracking Table'!$AT22*VLOOKUP('BMP P Tracking Table'!$R22,'Loading Rates'!$B$1:$L$24,8,FALSE)+'BMP P Tracking Table'!$AU22*VLOOKUP('BMP P Tracking Table'!$R22,'Loading Rates'!$B$1:$L$24,9,FALSE),'BMP P Tracking Table'!$AV22*VLOOKUP('BMP P Tracking Table'!$R22,'Loading Rates'!$B$1:$L$24,10,FALSE))),"")</f>
        <v/>
      </c>
      <c r="BA22" s="104">
        <f>IFERROR(IF('BMP P Tracking Table'!$AM22="Yes",MIN(2,IF('BMP P Tracking Table'!$AQ22="Total Pervious",(-(3630*'BMP P Tracking Table'!$AP22+20.691*'BMP P Tracking Table'!$AV22)+SQRT((3630*'BMP P Tracking Table'!$AP22+20.691*'BMP P Tracking Table'!$AV22)^2-(4*(996.798*'BMP P Tracking Table'!$AV22)*-'BMP P Tracking Table'!$AX22)))/(2*(996.798*'BMP P Tracking Table'!$AV22)),IF(SUM('BMP P Tracking Table'!$AR22:$AU22)=0,'BMP P Tracking Table'!$AV22/(-3630*'BMP P Tracking Table'!$AP22),(-(3630*'BMP P Tracking Table'!$AP22+20.691*'BMP P Tracking Table'!$AU22-216.711*'BMP P Tracking Table'!$AT22-83.853*'BMP P Tracking Table'!$AS22-42.834*'BMP P Tracking Table'!$AR22)+SQRT((3630*'BMP P Tracking Table'!$AP22+20.691*'BMP P Tracking Table'!$AU22-216.711*'BMP P Tracking Table'!$AT22-83.853*'BMP P Tracking Table'!$AS22-42.834*'BMP P Tracking Table'!$AR22)^2-(4*(149.919*'BMP P Tracking Table'!$AR22+236.676*'BMP P Tracking Table'!$AS22+726*'BMP P Tracking Table'!$AT22+996.798*'BMP P Tracking Table'!$AU22)*-'BMP P Tracking Table'!$AX22)))/(2*(149.919*'BMP P Tracking Table'!$AR22+236.676*'BMP P Tracking Table'!$AS22+726*'BMP P Tracking Table'!$AT22+996.798*'BMP P Tracking Table'!$AU22))))),MIN(2,IF('BMP P Tracking Table'!$AQ22="Total Pervious",(-(3630*'BMP P Tracking Table'!$V22+20.691*'BMP P Tracking Table'!$AB22)+SQRT((3630*'BMP P Tracking Table'!$V22+20.691*'BMP P Tracking Table'!$AB22)^2-(4*(996.798*'BMP P Tracking Table'!$AB22)*-'BMP P Tracking Table'!$AX22)))/(2*(996.798*'BMP P Tracking Table'!$AB22)),IF(SUM('BMP P Tracking Table'!$X22:$AA22)=0,'BMP P Tracking Table'!$AX22/(-3630*'BMP P Tracking Table'!$V22),(-(3630*'BMP P Tracking Table'!$V22+20.691*'BMP P Tracking Table'!$AA22-216.711*'BMP P Tracking Table'!$Z22-83.853*'BMP P Tracking Table'!$Y22-42.834*'BMP P Tracking Table'!$X22)+SQRT((3630*'BMP P Tracking Table'!$V22+20.691*'BMP P Tracking Table'!$AA22-216.711*'BMP P Tracking Table'!$Z22-83.853*'BMP P Tracking Table'!$Y22-42.834*'BMP P Tracking Table'!$X22)^2-(4*(149.919*'BMP P Tracking Table'!$X22+236.676*'BMP P Tracking Table'!$Y22+726*'BMP P Tracking Table'!$Z22+996.798*'BMP P Tracking Table'!$AA22)*-'BMP P Tracking Table'!$AX22)))/(2*(149.919*'BMP P Tracking Table'!$X22+236.676*'BMP P Tracking Table'!$Y22+726*'BMP P Tracking Table'!$Z22+996.798*'BMP P Tracking Table'!$AA22)))))),"")</f>
        <v>0</v>
      </c>
      <c r="BB22" s="102" t="str">
        <f>IFERROR((VLOOKUP(CONCATENATE('BMP P Tracking Table'!$AW22," ",'BMP P Tracking Table'!$AY22),'Performance Curves'!$C$1:$L$46,_xlfn.SINGLE(MATCH('BMP P Tracking Table'!$BA22,'Performance Curves'!$D$1:$L$1,1))+2,FALSE)-VLOOKUP(CONCATENATE('BMP P Tracking Table'!$AW22," ",'BMP P Tracking Table'!$AY22),'Performance Curves'!$C$1:$L$46,_xlfn.SINGLE(MATCH('BMP P Tracking Table'!$BA22,'Performance Curves'!$D$1:$L$1,1))+1,FALSE)),"")</f>
        <v/>
      </c>
      <c r="BC22" s="102">
        <f>IFERROR(('BMP P Tracking Table'!$BA22-INDEX('Performance Curves'!$D$1:$L$1,1,MATCH('BMP P Tracking Table'!$BA22,'Performance Curves'!$D$1:$L$1,1)))/(INDEX('Performance Curves'!$D$1:$L$1,1,MATCH('BMP P Tracking Table'!$BA22,'Performance Curves'!$D$1:$L$1,1)+1)-INDEX('Performance Curves'!$D$1:$L$1,1,MATCH('BMP P Tracking Table'!$BA22,'Performance Curves'!$D$1:$L$1,1))),"")</f>
        <v>0</v>
      </c>
      <c r="BD22" s="103" t="str" cm="1">
        <f t="array" ref="BD22">IFERROR(IF('BMP P Tracking Table'!$BA22=2,VLOOKUP(CONCATENATE('BMP P Tracking Table'!$AW22," ",'BMP P Tracking Table'!$AY22),'Performance Curves'!$C$1:$L$44,_xlfn.SINGLE(MATCH('BMP P Tracking Table'!$BA22,'Performance Curves'!$D$1:$L$1,1))+1,FALSE),'BMP P Tracking Table'!$BB22*'BMP P Tracking Table'!$BC22+VLOOKUP(CONCATENATE('BMP P Tracking Table'!$AW22," ",'BMP P Tracking Table'!$AY22),'Performance Curves'!$C$1:$L$44,_xlfn.SINGLE(MATCH('BMP P Tracking Table'!$BA22,'Performance Curves'!$D$1:$L$1,1))+1,FALSE)),"")</f>
        <v/>
      </c>
      <c r="BE22" s="104" t="str">
        <f>IFERROR('BMP P Tracking Table'!$BD22*'BMP P Tracking Table'!$AZ22,"")</f>
        <v/>
      </c>
      <c r="BF22" s="98"/>
      <c r="BG22" s="37">
        <f t="shared" si="3"/>
        <v>0</v>
      </c>
      <c r="BI22" s="36" t="str">
        <f t="shared" si="1"/>
        <v>1‐0896,
1‐0552,
1‐1463</v>
      </c>
      <c r="BJ22" s="36" t="str">
        <f t="shared" si="2"/>
        <v>David Dr. Outfall</v>
      </c>
    </row>
    <row r="23" spans="1:65" s="36" customFormat="1">
      <c r="A23" s="36" t="s">
        <v>510</v>
      </c>
      <c r="B23" s="36" t="s">
        <v>510</v>
      </c>
      <c r="C23" s="65" t="s">
        <v>323</v>
      </c>
      <c r="D23" s="65" t="s">
        <v>327</v>
      </c>
      <c r="E23" s="65" t="s">
        <v>9</v>
      </c>
      <c r="F23" s="94"/>
      <c r="G23" s="94"/>
      <c r="H23" s="65" t="s">
        <v>510</v>
      </c>
      <c r="I23" s="65"/>
      <c r="J23" s="65" t="s">
        <v>66</v>
      </c>
      <c r="L23" s="65" t="s">
        <v>111</v>
      </c>
      <c r="M23" s="65"/>
      <c r="N23" s="96">
        <v>40908</v>
      </c>
      <c r="O23" s="65"/>
      <c r="P23" s="65"/>
      <c r="Q23" s="65" t="s">
        <v>36</v>
      </c>
      <c r="R23" s="65" t="str">
        <f>IFERROR(VLOOKUP('BMP P Tracking Table'!$Q23,Dropdowns!$C$2:$E$15,3,FALSE),"")</f>
        <v>Winooski River</v>
      </c>
      <c r="S23" s="65" t="str">
        <f>IFERROR(VLOOKUP('BMP P Tracking Table'!$R23,Dropdowns!$Q$3:$R$23,2,FALSE),"")</f>
        <v>Main Lake</v>
      </c>
      <c r="T23" s="65" t="s">
        <v>66</v>
      </c>
      <c r="U23" s="65" t="s">
        <v>48</v>
      </c>
      <c r="V23" s="98">
        <v>9.5</v>
      </c>
      <c r="W23" s="63" t="s">
        <v>219</v>
      </c>
      <c r="X23" s="65"/>
      <c r="Y23" s="65"/>
      <c r="Z23" s="65"/>
      <c r="AA23" s="65"/>
      <c r="AB23" s="98">
        <f>13.5-V23</f>
        <v>4</v>
      </c>
      <c r="AC23" s="97">
        <v>170450.28</v>
      </c>
      <c r="AD23" s="65"/>
      <c r="AE23" s="104">
        <f>IFERROR('BMP P Tracking Table'!$V23*VLOOKUP('BMP P Tracking Table'!$R23,'Loading Rates'!$B$1:$L$24,4,FALSE)+IF('BMP P Tracking Table'!$W23="By HSG",'BMP P Tracking Table'!$X23*VLOOKUP('BMP P Tracking Table'!$R23,'Loading Rates'!$B$1:$L$24,6,FALSE)+'BMP P Tracking Table'!$Y23*VLOOKUP('BMP P Tracking Table'!$R23,'Loading Rates'!$B$1:$L$24,7,FALSE)+'BMP P Tracking Table'!$Z23*VLOOKUP('BMP P Tracking Table'!$R23,'Loading Rates'!$B$1:$L$24,8,FALSE)+'BMP P Tracking Table'!$AA23*VLOOKUP('BMP P Tracking Table'!$R23,'Loading Rates'!$B$1:$L$24,9,FALSE),'BMP P Tracking Table'!$AB23*VLOOKUP('BMP P Tracking Table'!$R23,'Loading Rates'!$B$1:$L$24,10,FALSE)),"")</f>
        <v>11.535499999999999</v>
      </c>
      <c r="AF23" s="104">
        <f>IFERROR(MIN(2,IF('BMP P Tracking Table'!$W23="Total Pervious",(-(3630*'BMP P Tracking Table'!$V23+20.691*'BMP P Tracking Table'!$AB23)+SQRT((3630*'BMP P Tracking Table'!$V23+20.691*'BMP P Tracking Table'!$AB23)^2-(4*(996.798*'BMP P Tracking Table'!$AB23)*-'BMP P Tracking Table'!$AC23)))/(2*(996.798*'BMP P Tracking Table'!$AB23)),IF(SUM('BMP P Tracking Table'!$X23:$AA23)=0,'BMP P Tracking Table'!$AC23/(-3630*'BMP P Tracking Table'!$V23),(-(3630*'BMP P Tracking Table'!$V23+20.691*'BMP P Tracking Table'!$AA23-216.711*'BMP P Tracking Table'!$Z23-83.853*'BMP P Tracking Table'!$Y23-42.834*'BMP P Tracking Table'!$X23)+SQRT((3630*'BMP P Tracking Table'!$V23+20.691*'BMP P Tracking Table'!$AA23-216.711*'BMP P Tracking Table'!$Z23-83.853*'BMP P Tracking Table'!$Y23-42.834*'BMP P Tracking Table'!$X23)^2-(4*(149.919*'BMP P Tracking Table'!$X23+236.676*'BMP P Tracking Table'!$Y23+726*'BMP P Tracking Table'!$Z23+996.798*'BMP P Tracking Table'!$AA23)*-'BMP P Tracking Table'!$AC23)))/(2*(149.919*'BMP P Tracking Table'!$X23+236.676*'BMP P Tracking Table'!$Y23+726*'BMP P Tracking Table'!$Z23+996.798*'BMP P Tracking Table'!$AA23))))),"")</f>
        <v>2</v>
      </c>
      <c r="AG23" s="104" t="str">
        <f>IFERROR((VLOOKUP(CONCATENATE('BMP P Tracking Table'!$U23," ",'BMP P Tracking Table'!$AD23),'Performance Curves'!$C$1:$L$46,_xlfn.SINGLE(MATCH('BMP P Tracking Table'!$AF23,'Performance Curves'!$D$1:$L$1,1))+2,FALSE)-VLOOKUP(CONCATENATE('BMP P Tracking Table'!$U23," ",'BMP P Tracking Table'!$AD23),'Performance Curves'!$C$1:$L$46,_xlfn.SINGLE(MATCH('BMP P Tracking Table'!$AF23,'Performance Curves'!$D$1:$L$1,1))+1,FALSE)),"")</f>
        <v/>
      </c>
      <c r="AH23" s="104" t="str">
        <f>IFERROR(('BMP P Tracking Table'!$AF23-INDEX('Performance Curves'!$D$1:$L$1,1,MATCH('BMP P Tracking Table'!$AF23,'Performance Curves'!$D$1:$L$1,1)))/(INDEX('Performance Curves'!$D$1:$L$1,1,MATCH('BMP P Tracking Table'!$AF23,'Performance Curves'!$D$1:$L$1,1)+1)-INDEX('Performance Curves'!$D$1:$L$1,1,MATCH('BMP P Tracking Table'!$AF23,'Performance Curves'!$D$1:$L$1,1))),"")</f>
        <v/>
      </c>
      <c r="AI23" s="103">
        <f>IFERROR(IF('BMP P Tracking Table'!$AF23=2,VLOOKUP(CONCATENATE('BMP P Tracking Table'!$U23," ",'BMP P Tracking Table'!$AD23),'Performance Curves'!$C$1:$L$46,_xlfn.SINGLE(MATCH('BMP P Tracking Table'!$AF23,'Performance Curves'!$D$1:$L$1,1))+1,FALSE),'BMP P Tracking Table'!$AG23*'BMP P Tracking Table'!$AH23+VLOOKUP(CONCATENATE('BMP P Tracking Table'!$U23," ",'BMP P Tracking Table'!$AD23),'Performance Curves'!$C$1:$L$46,_xlfn.SINGLE(MATCH('BMP P Tracking Table'!$AF23,'Performance Curves'!$D$1:$L$1,1))+1,FALSE)),"")</f>
        <v>0.63</v>
      </c>
      <c r="AJ23" s="104">
        <f>IFERROR('BMP P Tracking Table'!$AI23*'BMP P Tracking Table'!$AE23,"")</f>
        <v>7.267364999999999</v>
      </c>
      <c r="AK23" s="65"/>
      <c r="AL23" s="65" t="s">
        <v>62</v>
      </c>
      <c r="AM23" s="98"/>
      <c r="AN23" s="64">
        <v>1</v>
      </c>
      <c r="AO23" s="102">
        <f t="shared" si="0"/>
        <v>7.267364999999999</v>
      </c>
      <c r="AP23" s="98"/>
      <c r="AQ23" s="98"/>
      <c r="AR23" s="98"/>
      <c r="AS23" s="98"/>
      <c r="AT23" s="98"/>
      <c r="AU23" s="98"/>
      <c r="AV23" s="98"/>
      <c r="AW23" s="65"/>
      <c r="AX23" s="99"/>
      <c r="AY23" s="99"/>
      <c r="AZ23" s="104" t="str">
        <f>IF('BMP P Tracking Table'!$AL23="Yes",IF('BMP P Tracking Table'!$AM23="No",'BMP P Tracking Table'!$V23*VLOOKUP('BMP P Tracking Table'!$R23,'Loading Rates'!$B$1:$L$24,4,FALSE)+IF('BMP P Tracking Table'!$W23="By HSG",'BMP P Tracking Table'!$X23*VLOOKUP('BMP P Tracking Table'!$R23,'Loading Rates'!$B$1:$L$24,6,FALSE)+'BMP P Tracking Table'!$Y23*VLOOKUP('BMP P Tracking Table'!$R23,'Loading Rates'!$B$1:$L$24,7,FALSE)+'BMP P Tracking Table'!$Z23*VLOOKUP('BMP P Tracking Table'!$R23,'Loading Rates'!$B$1:$L$24,8,FALSE)+'BMP P Tracking Table'!$AA23*VLOOKUP('BMP P Tracking Table'!$R23,'Loading Rates'!$B$1:$L$24,9,FALSE),'BMP P Tracking Table'!$AB23*VLOOKUP('BMP P Tracking Table'!$R23,'Loading Rates'!$B$1:$L$24,10,FALSE)),'BMP P Tracking Table'!$AP23*VLOOKUP('BMP P Tracking Table'!$R23,'Loading Rates'!$B$1:$L$24,4,FALSE)+IF('BMP P Tracking Table'!$AQ23="By HSG",'BMP P Tracking Table'!$AR23*VLOOKUP('BMP P Tracking Table'!$R23,'Loading Rates'!$B$1:$L$24,6,FALSE)+'BMP P Tracking Table'!$AS23*VLOOKUP('BMP P Tracking Table'!$R23,'Loading Rates'!$B$1:$L$24,7,FALSE)+'BMP P Tracking Table'!$AT23*VLOOKUP('BMP P Tracking Table'!$R23,'Loading Rates'!$B$1:$L$24,8,FALSE)+'BMP P Tracking Table'!$AU23*VLOOKUP('BMP P Tracking Table'!$R23,'Loading Rates'!$B$1:$L$24,9,FALSE),'BMP P Tracking Table'!$AV23*VLOOKUP('BMP P Tracking Table'!$R23,'Loading Rates'!$B$1:$L$24,10,FALSE))),"")</f>
        <v/>
      </c>
      <c r="BA23" s="104">
        <f>IFERROR(IF('BMP P Tracking Table'!$AM23="Yes",MIN(2,IF('BMP P Tracking Table'!$AQ23="Total Pervious",(-(3630*'BMP P Tracking Table'!$AP23+20.691*'BMP P Tracking Table'!$AV23)+SQRT((3630*'BMP P Tracking Table'!$AP23+20.691*'BMP P Tracking Table'!$AV23)^2-(4*(996.798*'BMP P Tracking Table'!$AV23)*-'BMP P Tracking Table'!$AX23)))/(2*(996.798*'BMP P Tracking Table'!$AV23)),IF(SUM('BMP P Tracking Table'!$AR23:$AU23)=0,'BMP P Tracking Table'!$AV23/(-3630*'BMP P Tracking Table'!$AP23),(-(3630*'BMP P Tracking Table'!$AP23+20.691*'BMP P Tracking Table'!$AU23-216.711*'BMP P Tracking Table'!$AT23-83.853*'BMP P Tracking Table'!$AS23-42.834*'BMP P Tracking Table'!$AR23)+SQRT((3630*'BMP P Tracking Table'!$AP23+20.691*'BMP P Tracking Table'!$AU23-216.711*'BMP P Tracking Table'!$AT23-83.853*'BMP P Tracking Table'!$AS23-42.834*'BMP P Tracking Table'!$AR23)^2-(4*(149.919*'BMP P Tracking Table'!$AR23+236.676*'BMP P Tracking Table'!$AS23+726*'BMP P Tracking Table'!$AT23+996.798*'BMP P Tracking Table'!$AU23)*-'BMP P Tracking Table'!$AX23)))/(2*(149.919*'BMP P Tracking Table'!$AR23+236.676*'BMP P Tracking Table'!$AS23+726*'BMP P Tracking Table'!$AT23+996.798*'BMP P Tracking Table'!$AU23))))),MIN(2,IF('BMP P Tracking Table'!$AQ23="Total Pervious",(-(3630*'BMP P Tracking Table'!$V23+20.691*'BMP P Tracking Table'!$AB23)+SQRT((3630*'BMP P Tracking Table'!$V23+20.691*'BMP P Tracking Table'!$AB23)^2-(4*(996.798*'BMP P Tracking Table'!$AB23)*-'BMP P Tracking Table'!$AX23)))/(2*(996.798*'BMP P Tracking Table'!$AB23)),IF(SUM('BMP P Tracking Table'!$X23:$AA23)=0,'BMP P Tracking Table'!$AX23/(-3630*'BMP P Tracking Table'!$V23),(-(3630*'BMP P Tracking Table'!$V23+20.691*'BMP P Tracking Table'!$AA23-216.711*'BMP P Tracking Table'!$Z23-83.853*'BMP P Tracking Table'!$Y23-42.834*'BMP P Tracking Table'!$X23)+SQRT((3630*'BMP P Tracking Table'!$V23+20.691*'BMP P Tracking Table'!$AA23-216.711*'BMP P Tracking Table'!$Z23-83.853*'BMP P Tracking Table'!$Y23-42.834*'BMP P Tracking Table'!$X23)^2-(4*(149.919*'BMP P Tracking Table'!$X23+236.676*'BMP P Tracking Table'!$Y23+726*'BMP P Tracking Table'!$Z23+996.798*'BMP P Tracking Table'!$AA23)*-'BMP P Tracking Table'!$AX23)))/(2*(149.919*'BMP P Tracking Table'!$X23+236.676*'BMP P Tracking Table'!$Y23+726*'BMP P Tracking Table'!$Z23+996.798*'BMP P Tracking Table'!$AA23)))))),"")</f>
        <v>0</v>
      </c>
      <c r="BB23" s="102" t="str">
        <f>IFERROR((VLOOKUP(CONCATENATE('BMP P Tracking Table'!$AW23," ",'BMP P Tracking Table'!$AY23),'Performance Curves'!$C$1:$L$46,_xlfn.SINGLE(MATCH('BMP P Tracking Table'!$BA23,'Performance Curves'!$D$1:$L$1,1))+2,FALSE)-VLOOKUP(CONCATENATE('BMP P Tracking Table'!$AW23," ",'BMP P Tracking Table'!$AY23),'Performance Curves'!$C$1:$L$46,_xlfn.SINGLE(MATCH('BMP P Tracking Table'!$BA23,'Performance Curves'!$D$1:$L$1,1))+1,FALSE)),"")</f>
        <v/>
      </c>
      <c r="BC23" s="102">
        <f>IFERROR(('BMP P Tracking Table'!$BA23-INDEX('Performance Curves'!$D$1:$L$1,1,MATCH('BMP P Tracking Table'!$BA23,'Performance Curves'!$D$1:$L$1,1)))/(INDEX('Performance Curves'!$D$1:$L$1,1,MATCH('BMP P Tracking Table'!$BA23,'Performance Curves'!$D$1:$L$1,1)+1)-INDEX('Performance Curves'!$D$1:$L$1,1,MATCH('BMP P Tracking Table'!$BA23,'Performance Curves'!$D$1:$L$1,1))),"")</f>
        <v>0</v>
      </c>
      <c r="BD23" s="103" t="str" cm="1">
        <f t="array" ref="BD23">IFERROR(IF('BMP P Tracking Table'!$BA23=2,VLOOKUP(CONCATENATE('BMP P Tracking Table'!$AW23," ",'BMP P Tracking Table'!$AY23),'Performance Curves'!$C$1:$L$44,_xlfn.SINGLE(MATCH('BMP P Tracking Table'!$BA23,'Performance Curves'!$D$1:$L$1,1))+1,FALSE),'BMP P Tracking Table'!$BB23*'BMP P Tracking Table'!$BC23+VLOOKUP(CONCATENATE('BMP P Tracking Table'!$AW23," ",'BMP P Tracking Table'!$AY23),'Performance Curves'!$C$1:$L$44,_xlfn.SINGLE(MATCH('BMP P Tracking Table'!$BA23,'Performance Curves'!$D$1:$L$1,1))+1,FALSE)),"")</f>
        <v/>
      </c>
      <c r="BE23" s="104" t="str">
        <f>IFERROR('BMP P Tracking Table'!$BD23*'BMP P Tracking Table'!$AZ23,"")</f>
        <v/>
      </c>
      <c r="BF23" s="98"/>
      <c r="BG23" s="37">
        <f t="shared" si="3"/>
        <v>0</v>
      </c>
      <c r="BI23" s="36" t="str">
        <f t="shared" si="1"/>
        <v>5944-INDO.R</v>
      </c>
      <c r="BJ23" s="36" t="str">
        <f t="shared" si="2"/>
        <v>Kellogg Rd Detention Pond</v>
      </c>
    </row>
    <row r="24" spans="1:65" s="36" customFormat="1">
      <c r="B24" s="65" t="s">
        <v>563</v>
      </c>
      <c r="C24" s="65" t="s">
        <v>564</v>
      </c>
      <c r="D24" s="65" t="s">
        <v>325</v>
      </c>
      <c r="E24" s="65" t="s">
        <v>10</v>
      </c>
      <c r="F24" s="94"/>
      <c r="G24" s="94"/>
      <c r="H24" s="65"/>
      <c r="I24" s="65"/>
      <c r="J24" s="65" t="s">
        <v>66</v>
      </c>
      <c r="K24" s="95"/>
      <c r="L24" s="65" t="s">
        <v>111</v>
      </c>
      <c r="M24" s="65">
        <v>2021</v>
      </c>
      <c r="N24" s="199">
        <v>44926</v>
      </c>
      <c r="O24" s="65"/>
      <c r="P24" s="65"/>
      <c r="Q24" s="65" t="s">
        <v>119</v>
      </c>
      <c r="R24" s="65" t="s">
        <v>146</v>
      </c>
      <c r="S24" s="65" t="str">
        <f>IFERROR(VLOOKUP('BMP P Tracking Table'!$R24,Dropdowns!$Q$3:$R$23,2,FALSE),"")</f>
        <v>Main Lake</v>
      </c>
      <c r="T24" s="65" t="s">
        <v>66</v>
      </c>
      <c r="U24" s="65" t="s">
        <v>163</v>
      </c>
      <c r="V24" s="65">
        <v>0.70399999999999996</v>
      </c>
      <c r="W24" s="65" t="s">
        <v>219</v>
      </c>
      <c r="X24" s="65"/>
      <c r="Y24" s="65"/>
      <c r="Z24" s="65"/>
      <c r="AA24" s="65"/>
      <c r="AB24" s="65">
        <f>1.102</f>
        <v>1.1020000000000001</v>
      </c>
      <c r="AC24" s="97">
        <v>3613</v>
      </c>
      <c r="AD24" s="65"/>
      <c r="AE24" s="104">
        <f>IFERROR('BMP P Tracking Table'!$V24*VLOOKUP('BMP P Tracking Table'!$R24,'Loading Rates'!$B$1:$L$24,4,FALSE)+IF('BMP P Tracking Table'!$W24="By HSG",'BMP P Tracking Table'!$X24*VLOOKUP('BMP P Tracking Table'!$R24,'Loading Rates'!$B$1:$L$24,6,FALSE)+'BMP P Tracking Table'!$Y24*VLOOKUP('BMP P Tracking Table'!$R24,'Loading Rates'!$B$1:$L$24,7,FALSE)+'BMP P Tracking Table'!$Z24*VLOOKUP('BMP P Tracking Table'!$R24,'Loading Rates'!$B$1:$L$24,8,FALSE)+'BMP P Tracking Table'!$AA24*VLOOKUP('BMP P Tracking Table'!$R24,'Loading Rates'!$B$1:$L$24,9,FALSE),'BMP P Tracking Table'!$AB24*VLOOKUP('BMP P Tracking Table'!$R24,'Loading Rates'!$B$1:$L$24,10,FALSE)),"")</f>
        <v>1.0409299999999999</v>
      </c>
      <c r="AF24" s="104">
        <f>IFERROR(MIN(2,IF('BMP P Tracking Table'!$W24="Total Pervious",(-(3630*'BMP P Tracking Table'!$V24+20.691*'BMP P Tracking Table'!$AB24)+SQRT((3630*'BMP P Tracking Table'!$V24+20.691*'BMP P Tracking Table'!$AB24)^2-(4*(996.798*'BMP P Tracking Table'!$AB24)*-'BMP P Tracking Table'!$AC24)))/(2*(996.798*'BMP P Tracking Table'!$AB24)),IF(SUM('BMP P Tracking Table'!$X24:$AA24)=0,'BMP P Tracking Table'!$AC24/(-3630*'BMP P Tracking Table'!$V24),(-(3630*'BMP P Tracking Table'!$V24+20.691*'BMP P Tracking Table'!$AA24-216.711*'BMP P Tracking Table'!$Z24-83.853*'BMP P Tracking Table'!$Y24-42.834*'BMP P Tracking Table'!$X24)+SQRT((3630*'BMP P Tracking Table'!$V24+20.691*'BMP P Tracking Table'!$AA24-216.711*'BMP P Tracking Table'!$Z24-83.853*'BMP P Tracking Table'!$Y24-42.834*'BMP P Tracking Table'!$X24)^2-(4*(149.919*'BMP P Tracking Table'!$X24+236.676*'BMP P Tracking Table'!$Y24+726*'BMP P Tracking Table'!$Z24+996.798*'BMP P Tracking Table'!$AA24)*-'BMP P Tracking Table'!$AC24)))/(2*(149.919*'BMP P Tracking Table'!$X24+236.676*'BMP P Tracking Table'!$Y24+726*'BMP P Tracking Table'!$Z24+996.798*'BMP P Tracking Table'!$AA24))))),"")</f>
        <v>0.98659966744405703</v>
      </c>
      <c r="AG24" s="104">
        <f>IFERROR((VLOOKUP(CONCATENATE('BMP P Tracking Table'!$U24," ",'BMP P Tracking Table'!$AD24),'Performance Curves'!$C$1:$L$46,_xlfn.SINGLE(MATCH('BMP P Tracking Table'!$AF24,'Performance Curves'!$D$1:$L$1,1))+2,FALSE)-VLOOKUP(CONCATENATE('BMP P Tracking Table'!$U24," ",'BMP P Tracking Table'!$AD24),'Performance Curves'!$C$1:$L$46,_xlfn.SINGLE(MATCH('BMP P Tracking Table'!$AF24,'Performance Curves'!$D$1:$L$1,1))+1,FALSE)),"")</f>
        <v>5.0000000000000044E-2</v>
      </c>
      <c r="AH24" s="104">
        <f>IFERROR(('BMP P Tracking Table'!$AF24-INDEX('Performance Curves'!$D$1:$L$1,1,MATCH('BMP P Tracking Table'!$AF24,'Performance Curves'!$D$1:$L$1,1)))/(INDEX('Performance Curves'!$D$1:$L$1,1,MATCH('BMP P Tracking Table'!$AF24,'Performance Curves'!$D$1:$L$1,1)+1)-INDEX('Performance Curves'!$D$1:$L$1,1,MATCH('BMP P Tracking Table'!$AF24,'Performance Curves'!$D$1:$L$1,1))),"")</f>
        <v>0.93299833722028513</v>
      </c>
      <c r="AI24" s="103">
        <f>IFERROR(IF('BMP P Tracking Table'!$AF24=2,VLOOKUP(CONCATENATE('BMP P Tracking Table'!$U24," ",'BMP P Tracking Table'!$AD24),'Performance Curves'!$C$1:$L$46,_xlfn.SINGLE(MATCH('BMP P Tracking Table'!$AF24,'Performance Curves'!$D$1:$L$1,1))+1,FALSE),'BMP P Tracking Table'!$AG24*'BMP P Tracking Table'!$AH24+VLOOKUP(CONCATENATE('BMP P Tracking Table'!$U24," ",'BMP P Tracking Table'!$AD24),'Performance Curves'!$C$1:$L$46,_xlfn.SINGLE(MATCH('BMP P Tracking Table'!$AF24,'Performance Curves'!$D$1:$L$1,1))+1,FALSE)),"")</f>
        <v>0.52664991686101426</v>
      </c>
      <c r="AJ24" s="104">
        <f>IFERROR('BMP P Tracking Table'!$AI24*'BMP P Tracking Table'!$AE24,"")</f>
        <v>0.54820569795813556</v>
      </c>
      <c r="AK24" s="98">
        <f>AE24*0.9</f>
        <v>0.93683699999999992</v>
      </c>
      <c r="AL24" s="98" t="s">
        <v>62</v>
      </c>
      <c r="AM24" s="98"/>
      <c r="AN24" s="64">
        <v>1</v>
      </c>
      <c r="AO24" s="102">
        <f t="shared" si="0"/>
        <v>0.93683699999999992</v>
      </c>
      <c r="AP24" s="98"/>
      <c r="AQ24" s="98"/>
      <c r="AR24" s="98"/>
      <c r="AS24" s="98"/>
      <c r="AT24" s="98"/>
      <c r="AU24" s="98"/>
      <c r="AV24" s="98"/>
      <c r="AW24" s="65"/>
      <c r="AX24" s="99"/>
      <c r="AY24" s="99"/>
      <c r="AZ24" s="104" t="str">
        <f>IF('BMP P Tracking Table'!$AL24="Yes",IF('BMP P Tracking Table'!$AM24="No",'BMP P Tracking Table'!$V24*VLOOKUP('BMP P Tracking Table'!$R24,'Loading Rates'!$B$1:$L$24,4,FALSE)+IF('BMP P Tracking Table'!$W24="By HSG",'BMP P Tracking Table'!$X24*VLOOKUP('BMP P Tracking Table'!$R24,'Loading Rates'!$B$1:$L$24,6,FALSE)+'BMP P Tracking Table'!$Y24*VLOOKUP('BMP P Tracking Table'!$R24,'Loading Rates'!$B$1:$L$24,7,FALSE)+'BMP P Tracking Table'!$Z24*VLOOKUP('BMP P Tracking Table'!$R24,'Loading Rates'!$B$1:$L$24,8,FALSE)+'BMP P Tracking Table'!$AA24*VLOOKUP('BMP P Tracking Table'!$R24,'Loading Rates'!$B$1:$L$24,9,FALSE),'BMP P Tracking Table'!$AB24*VLOOKUP('BMP P Tracking Table'!$R24,'Loading Rates'!$B$1:$L$24,10,FALSE)),'BMP P Tracking Table'!$AP24*VLOOKUP('BMP P Tracking Table'!$R24,'Loading Rates'!$B$1:$L$24,4,FALSE)+IF('BMP P Tracking Table'!$AQ24="By HSG",'BMP P Tracking Table'!$AR24*VLOOKUP('BMP P Tracking Table'!$R24,'Loading Rates'!$B$1:$L$24,6,FALSE)+'BMP P Tracking Table'!$AS24*VLOOKUP('BMP P Tracking Table'!$R24,'Loading Rates'!$B$1:$L$24,7,FALSE)+'BMP P Tracking Table'!$AT24*VLOOKUP('BMP P Tracking Table'!$R24,'Loading Rates'!$B$1:$L$24,8,FALSE)+'BMP P Tracking Table'!$AU24*VLOOKUP('BMP P Tracking Table'!$R24,'Loading Rates'!$B$1:$L$24,9,FALSE),'BMP P Tracking Table'!$AV24*VLOOKUP('BMP P Tracking Table'!$R24,'Loading Rates'!$B$1:$L$24,10,FALSE))),"")</f>
        <v/>
      </c>
      <c r="BA24" s="104">
        <f>IFERROR(IF('BMP P Tracking Table'!$AM24="Yes",MIN(2,IF('BMP P Tracking Table'!$AQ24="Total Pervious",(-(3630*'BMP P Tracking Table'!$AP24+20.691*'BMP P Tracking Table'!$AV24)+SQRT((3630*'BMP P Tracking Table'!$AP24+20.691*'BMP P Tracking Table'!$AV24)^2-(4*(996.798*'BMP P Tracking Table'!$AV24)*-'BMP P Tracking Table'!$AX24)))/(2*(996.798*'BMP P Tracking Table'!$AV24)),IF(SUM('BMP P Tracking Table'!$AR24:$AU24)=0,'BMP P Tracking Table'!$AV24/(-3630*'BMP P Tracking Table'!$AP24),(-(3630*'BMP P Tracking Table'!$AP24+20.691*'BMP P Tracking Table'!$AU24-216.711*'BMP P Tracking Table'!$AT24-83.853*'BMP P Tracking Table'!$AS24-42.834*'BMP P Tracking Table'!$AR24)+SQRT((3630*'BMP P Tracking Table'!$AP24+20.691*'BMP P Tracking Table'!$AU24-216.711*'BMP P Tracking Table'!$AT24-83.853*'BMP P Tracking Table'!$AS24-42.834*'BMP P Tracking Table'!$AR24)^2-(4*(149.919*'BMP P Tracking Table'!$AR24+236.676*'BMP P Tracking Table'!$AS24+726*'BMP P Tracking Table'!$AT24+996.798*'BMP P Tracking Table'!$AU24)*-'BMP P Tracking Table'!$AX24)))/(2*(149.919*'BMP P Tracking Table'!$AR24+236.676*'BMP P Tracking Table'!$AS24+726*'BMP P Tracking Table'!$AT24+996.798*'BMP P Tracking Table'!$AU24))))),MIN(2,IF('BMP P Tracking Table'!$AQ24="Total Pervious",(-(3630*'BMP P Tracking Table'!$V24+20.691*'BMP P Tracking Table'!$AB24)+SQRT((3630*'BMP P Tracking Table'!$V24+20.691*'BMP P Tracking Table'!$AB24)^2-(4*(996.798*'BMP P Tracking Table'!$AB24)*-'BMP P Tracking Table'!$AX24)))/(2*(996.798*'BMP P Tracking Table'!$AB24)),IF(SUM('BMP P Tracking Table'!$X24:$AA24)=0,'BMP P Tracking Table'!$AX24/(-3630*'BMP P Tracking Table'!$V24),(-(3630*'BMP P Tracking Table'!$V24+20.691*'BMP P Tracking Table'!$AA24-216.711*'BMP P Tracking Table'!$Z24-83.853*'BMP P Tracking Table'!$Y24-42.834*'BMP P Tracking Table'!$X24)+SQRT((3630*'BMP P Tracking Table'!$V24+20.691*'BMP P Tracking Table'!$AA24-216.711*'BMP P Tracking Table'!$Z24-83.853*'BMP P Tracking Table'!$Y24-42.834*'BMP P Tracking Table'!$X24)^2-(4*(149.919*'BMP P Tracking Table'!$X24+236.676*'BMP P Tracking Table'!$Y24+726*'BMP P Tracking Table'!$Z24+996.798*'BMP P Tracking Table'!$AA24)*-'BMP P Tracking Table'!$AX24)))/(2*(149.919*'BMP P Tracking Table'!$X24+236.676*'BMP P Tracking Table'!$Y24+726*'BMP P Tracking Table'!$Z24+996.798*'BMP P Tracking Table'!$AA24)))))),"")</f>
        <v>0</v>
      </c>
      <c r="BB24" s="102" t="str">
        <f>IFERROR((VLOOKUP(CONCATENATE('BMP P Tracking Table'!$AW24," ",'BMP P Tracking Table'!$AY24),'Performance Curves'!$C$1:$L$46,_xlfn.SINGLE(MATCH('BMP P Tracking Table'!$BA24,'Performance Curves'!$D$1:$L$1,1))+2,FALSE)-VLOOKUP(CONCATENATE('BMP P Tracking Table'!$AW24," ",'BMP P Tracking Table'!$AY24),'Performance Curves'!$C$1:$L$46,_xlfn.SINGLE(MATCH('BMP P Tracking Table'!$BA24,'Performance Curves'!$D$1:$L$1,1))+1,FALSE)),"")</f>
        <v/>
      </c>
      <c r="BC24" s="102">
        <f>IFERROR(('BMP P Tracking Table'!$BA24-INDEX('Performance Curves'!$D$1:$L$1,1,MATCH('BMP P Tracking Table'!$BA24,'Performance Curves'!$D$1:$L$1,1)))/(INDEX('Performance Curves'!$D$1:$L$1,1,MATCH('BMP P Tracking Table'!$BA24,'Performance Curves'!$D$1:$L$1,1)+1)-INDEX('Performance Curves'!$D$1:$L$1,1,MATCH('BMP P Tracking Table'!$BA24,'Performance Curves'!$D$1:$L$1,1))),"")</f>
        <v>0</v>
      </c>
      <c r="BD24" s="103" t="str" cm="1">
        <f t="array" ref="BD24">IFERROR(IF('BMP P Tracking Table'!$BA24=2,VLOOKUP(CONCATENATE('BMP P Tracking Table'!$AW24," ",'BMP P Tracking Table'!$AY24),'Performance Curves'!$C$1:$L$44,_xlfn.SINGLE(MATCH('BMP P Tracking Table'!$BA24,'Performance Curves'!$D$1:$L$1,1))+1,FALSE),'BMP P Tracking Table'!$BB24*'BMP P Tracking Table'!$BC24+VLOOKUP(CONCATENATE('BMP P Tracking Table'!$AW24," ",'BMP P Tracking Table'!$AY24),'Performance Curves'!$C$1:$L$44,_xlfn.SINGLE(MATCH('BMP P Tracking Table'!$BA24,'Performance Curves'!$D$1:$L$1,1))+1,FALSE)),"")</f>
        <v/>
      </c>
      <c r="BE24" s="104" t="str">
        <f>IFERROR('BMP P Tracking Table'!$BD24*'BMP P Tracking Table'!$AZ24,"")</f>
        <v/>
      </c>
      <c r="BF24" s="98"/>
      <c r="BG24" s="37">
        <f t="shared" si="3"/>
        <v>0</v>
      </c>
      <c r="BH24" s="36" t="s">
        <v>885</v>
      </c>
      <c r="BI24" s="36" t="str">
        <f t="shared" si="1"/>
        <v>TAP TA 18(2) Acorn 3</v>
      </c>
      <c r="BJ24" s="36" t="str">
        <f t="shared" si="2"/>
        <v>Acorn Circle cul-de-sac retrofit - media filter with specialized media</v>
      </c>
    </row>
    <row r="25" spans="1:65" s="36" customFormat="1">
      <c r="B25" s="65" t="s">
        <v>567</v>
      </c>
      <c r="C25" s="65" t="s">
        <v>562</v>
      </c>
      <c r="D25" s="65" t="s">
        <v>325</v>
      </c>
      <c r="E25" s="65" t="s">
        <v>10</v>
      </c>
      <c r="F25" s="94"/>
      <c r="G25" s="94"/>
      <c r="H25" s="65"/>
      <c r="I25" s="65"/>
      <c r="J25" s="65" t="s">
        <v>66</v>
      </c>
      <c r="K25" s="95"/>
      <c r="L25" s="65" t="s">
        <v>111</v>
      </c>
      <c r="M25" s="65">
        <v>2021</v>
      </c>
      <c r="N25" s="199">
        <v>44926</v>
      </c>
      <c r="O25" s="65"/>
      <c r="P25" s="65"/>
      <c r="Q25" s="65" t="s">
        <v>119</v>
      </c>
      <c r="R25" s="65" t="s">
        <v>146</v>
      </c>
      <c r="S25" s="65" t="str">
        <f>IFERROR(VLOOKUP('BMP P Tracking Table'!$R25,Dropdowns!$Q$3:$R$23,2,FALSE),"")</f>
        <v>Main Lake</v>
      </c>
      <c r="T25" s="65" t="s">
        <v>66</v>
      </c>
      <c r="U25" s="65" t="s">
        <v>570</v>
      </c>
      <c r="V25" s="65">
        <f>1.102-0.06</f>
        <v>1.042</v>
      </c>
      <c r="W25" s="65" t="s">
        <v>220</v>
      </c>
      <c r="X25" s="65">
        <v>0</v>
      </c>
      <c r="Y25" s="65">
        <f>0.704+0.06</f>
        <v>0.76400000000000001</v>
      </c>
      <c r="Z25" s="65">
        <v>0</v>
      </c>
      <c r="AA25" s="65">
        <v>0</v>
      </c>
      <c r="AB25" s="65"/>
      <c r="AC25" s="97"/>
      <c r="AD25" s="65" t="s">
        <v>208</v>
      </c>
      <c r="AE25" s="104">
        <f>IFERROR('BMP P Tracking Table'!$V25*VLOOKUP('BMP P Tracking Table'!$R25,'Loading Rates'!$B$1:$L$24,4,FALSE)+IF('BMP P Tracking Table'!$W25="By HSG",'BMP P Tracking Table'!$X25*VLOOKUP('BMP P Tracking Table'!$R25,'Loading Rates'!$B$1:$L$24,6,FALSE)+'BMP P Tracking Table'!$Y25*VLOOKUP('BMP P Tracking Table'!$R25,'Loading Rates'!$B$1:$L$24,7,FALSE)+'BMP P Tracking Table'!$Z25*VLOOKUP('BMP P Tracking Table'!$R25,'Loading Rates'!$B$1:$L$24,8,FALSE)+'BMP P Tracking Table'!$AA25*VLOOKUP('BMP P Tracking Table'!$R25,'Loading Rates'!$B$1:$L$24,9,FALSE),'BMP P Tracking Table'!$AB25*VLOOKUP('BMP P Tracking Table'!$R25,'Loading Rates'!$B$1:$L$24,10,FALSE)),"")</f>
        <v>1.3579700000000001</v>
      </c>
      <c r="AF25" s="104">
        <f>IFERROR(MIN(2,IF('BMP P Tracking Table'!$W25="Total Pervious",(-(3630*'BMP P Tracking Table'!$V25+20.691*'BMP P Tracking Table'!$AB25)+SQRT((3630*'BMP P Tracking Table'!$V25+20.691*'BMP P Tracking Table'!$AB25)^2-(4*(996.798*'BMP P Tracking Table'!$AB25)*-'BMP P Tracking Table'!$AC25)))/(2*(996.798*'BMP P Tracking Table'!$AB25)),IF(SUM('BMP P Tracking Table'!$X25:$AA25)=0,'BMP P Tracking Table'!$AC25/(-3630*'BMP P Tracking Table'!$V25),(-(3630*'BMP P Tracking Table'!$V25+20.691*'BMP P Tracking Table'!$AA25-216.711*'BMP P Tracking Table'!$Z25-83.853*'BMP P Tracking Table'!$Y25-42.834*'BMP P Tracking Table'!$X25)+SQRT((3630*'BMP P Tracking Table'!$V25+20.691*'BMP P Tracking Table'!$AA25-216.711*'BMP P Tracking Table'!$Z25-83.853*'BMP P Tracking Table'!$Y25-42.834*'BMP P Tracking Table'!$X25)^2-(4*(149.919*'BMP P Tracking Table'!$X25+236.676*'BMP P Tracking Table'!$Y25+726*'BMP P Tracking Table'!$Z25+996.798*'BMP P Tracking Table'!$AA25)*-'BMP P Tracking Table'!$AC25)))/(2*(149.919*'BMP P Tracking Table'!$X25+236.676*'BMP P Tracking Table'!$Y25+726*'BMP P Tracking Table'!$Z25+996.798*'BMP P Tracking Table'!$AA25))))),"")</f>
        <v>0</v>
      </c>
      <c r="AG25" s="104" t="str">
        <f>IFERROR((VLOOKUP(CONCATENATE('BMP P Tracking Table'!$U25," ",'BMP P Tracking Table'!$AD25),'Performance Curves'!$C$1:$L$46,_xlfn.SINGLE(MATCH('BMP P Tracking Table'!$AF25,'Performance Curves'!$D$1:$L$1,1))+2,FALSE)-VLOOKUP(CONCATENATE('BMP P Tracking Table'!$U25," ",'BMP P Tracking Table'!$AD25),'Performance Curves'!$C$1:$L$46,_xlfn.SINGLE(MATCH('BMP P Tracking Table'!$AF25,'Performance Curves'!$D$1:$L$1,1))+1,FALSE)),"")</f>
        <v/>
      </c>
      <c r="AH25" s="104">
        <f>IFERROR(('BMP P Tracking Table'!$AF25-INDEX('Performance Curves'!$D$1:$L$1,1,MATCH('BMP P Tracking Table'!$AF25,'Performance Curves'!$D$1:$L$1,1)))/(INDEX('Performance Curves'!$D$1:$L$1,1,MATCH('BMP P Tracking Table'!$AF25,'Performance Curves'!$D$1:$L$1,1)+1)-INDEX('Performance Curves'!$D$1:$L$1,1,MATCH('BMP P Tracking Table'!$AF25,'Performance Curves'!$D$1:$L$1,1))),"")</f>
        <v>0</v>
      </c>
      <c r="AI25" s="103" t="str">
        <f>IFERROR(IF('BMP P Tracking Table'!$AF25=2,VLOOKUP(CONCATENATE('BMP P Tracking Table'!$U25," ",'BMP P Tracking Table'!$AD25),'Performance Curves'!$C$1:$L$46,_xlfn.SINGLE(MATCH('BMP P Tracking Table'!$AF25,'Performance Curves'!$D$1:$L$1,1))+1,FALSE),'BMP P Tracking Table'!$AG25*'BMP P Tracking Table'!$AH25+VLOOKUP(CONCATENATE('BMP P Tracking Table'!$U25," ",'BMP P Tracking Table'!$AD25),'Performance Curves'!$C$1:$L$46,_xlfn.SINGLE(MATCH('BMP P Tracking Table'!$AF25,'Performance Curves'!$D$1:$L$1,1))+1,FALSE)),"")</f>
        <v/>
      </c>
      <c r="AJ25" s="104" t="str">
        <f>IFERROR('BMP P Tracking Table'!$AI25*'BMP P Tracking Table'!$AE25,"")</f>
        <v/>
      </c>
      <c r="AK25" s="65">
        <v>0.03</v>
      </c>
      <c r="AL25" s="98" t="s">
        <v>62</v>
      </c>
      <c r="AM25" s="98"/>
      <c r="AN25" s="64">
        <v>1</v>
      </c>
      <c r="AO25" s="102">
        <f t="shared" si="0"/>
        <v>0.03</v>
      </c>
      <c r="AP25" s="98"/>
      <c r="AQ25" s="98"/>
      <c r="AR25" s="98"/>
      <c r="AS25" s="98"/>
      <c r="AT25" s="98"/>
      <c r="AU25" s="98"/>
      <c r="AV25" s="98"/>
      <c r="AW25" s="65"/>
      <c r="AX25" s="99"/>
      <c r="AY25" s="99"/>
      <c r="AZ25" s="104" t="str">
        <f>IF('BMP P Tracking Table'!$AL25="Yes",IF('BMP P Tracking Table'!$AM25="No",'BMP P Tracking Table'!$V25*VLOOKUP('BMP P Tracking Table'!$R25,'Loading Rates'!$B$1:$L$24,4,FALSE)+IF('BMP P Tracking Table'!$W25="By HSG",'BMP P Tracking Table'!$X25*VLOOKUP('BMP P Tracking Table'!$R25,'Loading Rates'!$B$1:$L$24,6,FALSE)+'BMP P Tracking Table'!$Y25*VLOOKUP('BMP P Tracking Table'!$R25,'Loading Rates'!$B$1:$L$24,7,FALSE)+'BMP P Tracking Table'!$Z25*VLOOKUP('BMP P Tracking Table'!$R25,'Loading Rates'!$B$1:$L$24,8,FALSE)+'BMP P Tracking Table'!$AA25*VLOOKUP('BMP P Tracking Table'!$R25,'Loading Rates'!$B$1:$L$24,9,FALSE),'BMP P Tracking Table'!$AB25*VLOOKUP('BMP P Tracking Table'!$R25,'Loading Rates'!$B$1:$L$24,10,FALSE)),'BMP P Tracking Table'!$AP25*VLOOKUP('BMP P Tracking Table'!$R25,'Loading Rates'!$B$1:$L$24,4,FALSE)+IF('BMP P Tracking Table'!$AQ25="By HSG",'BMP P Tracking Table'!$AR25*VLOOKUP('BMP P Tracking Table'!$R25,'Loading Rates'!$B$1:$L$24,6,FALSE)+'BMP P Tracking Table'!$AS25*VLOOKUP('BMP P Tracking Table'!$R25,'Loading Rates'!$B$1:$L$24,7,FALSE)+'BMP P Tracking Table'!$AT25*VLOOKUP('BMP P Tracking Table'!$R25,'Loading Rates'!$B$1:$L$24,8,FALSE)+'BMP P Tracking Table'!$AU25*VLOOKUP('BMP P Tracking Table'!$R25,'Loading Rates'!$B$1:$L$24,9,FALSE),'BMP P Tracking Table'!$AV25*VLOOKUP('BMP P Tracking Table'!$R25,'Loading Rates'!$B$1:$L$24,10,FALSE))),"")</f>
        <v/>
      </c>
      <c r="BA25" s="104">
        <f>IFERROR(IF('BMP P Tracking Table'!$AM25="Yes",MIN(2,IF('BMP P Tracking Table'!$AQ25="Total Pervious",(-(3630*'BMP P Tracking Table'!$AP25+20.691*'BMP P Tracking Table'!$AV25)+SQRT((3630*'BMP P Tracking Table'!$AP25+20.691*'BMP P Tracking Table'!$AV25)^2-(4*(996.798*'BMP P Tracking Table'!$AV25)*-'BMP P Tracking Table'!$AX25)))/(2*(996.798*'BMP P Tracking Table'!$AV25)),IF(SUM('BMP P Tracking Table'!$AR25:$AU25)=0,'BMP P Tracking Table'!$AV25/(-3630*'BMP P Tracking Table'!$AP25),(-(3630*'BMP P Tracking Table'!$AP25+20.691*'BMP P Tracking Table'!$AU25-216.711*'BMP P Tracking Table'!$AT25-83.853*'BMP P Tracking Table'!$AS25-42.834*'BMP P Tracking Table'!$AR25)+SQRT((3630*'BMP P Tracking Table'!$AP25+20.691*'BMP P Tracking Table'!$AU25-216.711*'BMP P Tracking Table'!$AT25-83.853*'BMP P Tracking Table'!$AS25-42.834*'BMP P Tracking Table'!$AR25)^2-(4*(149.919*'BMP P Tracking Table'!$AR25+236.676*'BMP P Tracking Table'!$AS25+726*'BMP P Tracking Table'!$AT25+996.798*'BMP P Tracking Table'!$AU25)*-'BMP P Tracking Table'!$AX25)))/(2*(149.919*'BMP P Tracking Table'!$AR25+236.676*'BMP P Tracking Table'!$AS25+726*'BMP P Tracking Table'!$AT25+996.798*'BMP P Tracking Table'!$AU25))))),MIN(2,IF('BMP P Tracking Table'!$AQ25="Total Pervious",(-(3630*'BMP P Tracking Table'!$V25+20.691*'BMP P Tracking Table'!$AB25)+SQRT((3630*'BMP P Tracking Table'!$V25+20.691*'BMP P Tracking Table'!$AB25)^2-(4*(996.798*'BMP P Tracking Table'!$AB25)*-'BMP P Tracking Table'!$AX25)))/(2*(996.798*'BMP P Tracking Table'!$AB25)),IF(SUM('BMP P Tracking Table'!$X25:$AA25)=0,'BMP P Tracking Table'!$AX25/(-3630*'BMP P Tracking Table'!$V25),(-(3630*'BMP P Tracking Table'!$V25+20.691*'BMP P Tracking Table'!$AA25-216.711*'BMP P Tracking Table'!$Z25-83.853*'BMP P Tracking Table'!$Y25-42.834*'BMP P Tracking Table'!$X25)+SQRT((3630*'BMP P Tracking Table'!$V25+20.691*'BMP P Tracking Table'!$AA25-216.711*'BMP P Tracking Table'!$Z25-83.853*'BMP P Tracking Table'!$Y25-42.834*'BMP P Tracking Table'!$X25)^2-(4*(149.919*'BMP P Tracking Table'!$X25+236.676*'BMP P Tracking Table'!$Y25+726*'BMP P Tracking Table'!$Z25+996.798*'BMP P Tracking Table'!$AA25)*-'BMP P Tracking Table'!$AX25)))/(2*(149.919*'BMP P Tracking Table'!$X25+236.676*'BMP P Tracking Table'!$Y25+726*'BMP P Tracking Table'!$Z25+996.798*'BMP P Tracking Table'!$AA25)))))),"")</f>
        <v>0</v>
      </c>
      <c r="BB25" s="102" t="str">
        <f>IFERROR((VLOOKUP(CONCATENATE('BMP P Tracking Table'!$AW25," ",'BMP P Tracking Table'!$AY25),'Performance Curves'!$C$1:$L$46,_xlfn.SINGLE(MATCH('BMP P Tracking Table'!$BA25,'Performance Curves'!$D$1:$L$1,1))+2,FALSE)-VLOOKUP(CONCATENATE('BMP P Tracking Table'!$AW25," ",'BMP P Tracking Table'!$AY25),'Performance Curves'!$C$1:$L$46,_xlfn.SINGLE(MATCH('BMP P Tracking Table'!$BA25,'Performance Curves'!$D$1:$L$1,1))+1,FALSE)),"")</f>
        <v/>
      </c>
      <c r="BC25" s="102">
        <f>IFERROR(('BMP P Tracking Table'!$BA25-INDEX('Performance Curves'!$D$1:$L$1,1,MATCH('BMP P Tracking Table'!$BA25,'Performance Curves'!$D$1:$L$1,1)))/(INDEX('Performance Curves'!$D$1:$L$1,1,MATCH('BMP P Tracking Table'!$BA25,'Performance Curves'!$D$1:$L$1,1)+1)-INDEX('Performance Curves'!$D$1:$L$1,1,MATCH('BMP P Tracking Table'!$BA25,'Performance Curves'!$D$1:$L$1,1))),"")</f>
        <v>0</v>
      </c>
      <c r="BD25" s="103" t="str" cm="1">
        <f t="array" ref="BD25">IFERROR(IF('BMP P Tracking Table'!$BA25=2,VLOOKUP(CONCATENATE('BMP P Tracking Table'!$AW25," ",'BMP P Tracking Table'!$AY25),'Performance Curves'!$C$1:$L$44,_xlfn.SINGLE(MATCH('BMP P Tracking Table'!$BA25,'Performance Curves'!$D$1:$L$1,1))+1,FALSE),'BMP P Tracking Table'!$BB25*'BMP P Tracking Table'!$BC25+VLOOKUP(CONCATENATE('BMP P Tracking Table'!$AW25," ",'BMP P Tracking Table'!$AY25),'Performance Curves'!$C$1:$L$44,_xlfn.SINGLE(MATCH('BMP P Tracking Table'!$BA25,'Performance Curves'!$D$1:$L$1,1))+1,FALSE)),"")</f>
        <v/>
      </c>
      <c r="BE25" s="104" t="str">
        <f>IFERROR('BMP P Tracking Table'!$BD25*'BMP P Tracking Table'!$AZ25,"")</f>
        <v/>
      </c>
      <c r="BF25" s="98"/>
      <c r="BG25" s="37">
        <f t="shared" si="3"/>
        <v>0</v>
      </c>
      <c r="BI25" s="36" t="str">
        <f t="shared" si="1"/>
        <v>TAP TA 18(2) Acorn 3 impervious removal</v>
      </c>
      <c r="BJ25" s="36" t="str">
        <f t="shared" si="2"/>
        <v>Acorn Circle cul-de-sac retrofit - impervious removal</v>
      </c>
    </row>
    <row r="26" spans="1:65" s="36" customFormat="1">
      <c r="B26" s="65" t="s">
        <v>565</v>
      </c>
      <c r="C26" s="65" t="s">
        <v>566</v>
      </c>
      <c r="D26" s="65" t="s">
        <v>327</v>
      </c>
      <c r="E26" s="65" t="s">
        <v>9</v>
      </c>
      <c r="F26" s="94"/>
      <c r="G26" s="94"/>
      <c r="H26" s="65"/>
      <c r="I26" s="65"/>
      <c r="J26" s="65" t="s">
        <v>66</v>
      </c>
      <c r="K26" s="95"/>
      <c r="L26" s="65" t="s">
        <v>111</v>
      </c>
      <c r="M26" s="65">
        <v>2021</v>
      </c>
      <c r="N26" s="199">
        <v>44926</v>
      </c>
      <c r="O26" s="65"/>
      <c r="P26" s="65"/>
      <c r="Q26" s="65" t="s">
        <v>119</v>
      </c>
      <c r="R26" s="65" t="s">
        <v>146</v>
      </c>
      <c r="S26" s="65" t="str">
        <f>IFERROR(VLOOKUP('BMP P Tracking Table'!$R26,Dropdowns!$Q$3:$R$23,2,FALSE),"")</f>
        <v>Main Lake</v>
      </c>
      <c r="T26" s="65" t="s">
        <v>66</v>
      </c>
      <c r="U26" s="65" t="s">
        <v>163</v>
      </c>
      <c r="V26" s="65">
        <v>2.133</v>
      </c>
      <c r="W26" s="65" t="s">
        <v>220</v>
      </c>
      <c r="X26" s="65">
        <v>0</v>
      </c>
      <c r="Y26" s="65">
        <v>0</v>
      </c>
      <c r="Z26" s="65">
        <v>3.681</v>
      </c>
      <c r="AA26" s="65">
        <v>0</v>
      </c>
      <c r="AB26" s="65"/>
      <c r="AC26" s="97">
        <v>11500</v>
      </c>
      <c r="AD26" s="65"/>
      <c r="AE26" s="104">
        <f>IFERROR('BMP P Tracking Table'!$V26*VLOOKUP('BMP P Tracking Table'!$R26,'Loading Rates'!$B$1:$L$24,4,FALSE)+IF('BMP P Tracking Table'!$W26="By HSG",'BMP P Tracking Table'!$X26*VLOOKUP('BMP P Tracking Table'!$R26,'Loading Rates'!$B$1:$L$24,6,FALSE)+'BMP P Tracking Table'!$Y26*VLOOKUP('BMP P Tracking Table'!$R26,'Loading Rates'!$B$1:$L$24,7,FALSE)+'BMP P Tracking Table'!$Z26*VLOOKUP('BMP P Tracking Table'!$R26,'Loading Rates'!$B$1:$L$24,8,FALSE)+'BMP P Tracking Table'!$AA26*VLOOKUP('BMP P Tracking Table'!$R26,'Loading Rates'!$B$1:$L$24,9,FALSE),'BMP P Tracking Table'!$AB26*VLOOKUP('BMP P Tracking Table'!$R26,'Loading Rates'!$B$1:$L$24,10,FALSE)),"")</f>
        <v>3.4279649999999999</v>
      </c>
      <c r="AF26" s="104">
        <f>IFERROR(MIN(2,IF('BMP P Tracking Table'!$W26="Total Pervious",(-(3630*'BMP P Tracking Table'!$V26+20.691*'BMP P Tracking Table'!$AB26)+SQRT((3630*'BMP P Tracking Table'!$V26+20.691*'BMP P Tracking Table'!$AB26)^2-(4*(996.798*'BMP P Tracking Table'!$AB26)*-'BMP P Tracking Table'!$AC26)))/(2*(996.798*'BMP P Tracking Table'!$AB26)),IF(SUM('BMP P Tracking Table'!$X26:$AA26)=0,'BMP P Tracking Table'!$AC26/(-3630*'BMP P Tracking Table'!$V26),(-(3630*'BMP P Tracking Table'!$V26+20.691*'BMP P Tracking Table'!$AA26-216.711*'BMP P Tracking Table'!$Z26-83.853*'BMP P Tracking Table'!$Y26-42.834*'BMP P Tracking Table'!$X26)+SQRT((3630*'BMP P Tracking Table'!$V26+20.691*'BMP P Tracking Table'!$AA26-216.711*'BMP P Tracking Table'!$Z26-83.853*'BMP P Tracking Table'!$Y26-42.834*'BMP P Tracking Table'!$X26)^2-(4*(149.919*'BMP P Tracking Table'!$X26+236.676*'BMP P Tracking Table'!$Y26+726*'BMP P Tracking Table'!$Z26+996.798*'BMP P Tracking Table'!$AA26)*-'BMP P Tracking Table'!$AC26)))/(2*(149.919*'BMP P Tracking Table'!$X26+236.676*'BMP P Tracking Table'!$Y26+726*'BMP P Tracking Table'!$Z26+996.798*'BMP P Tracking Table'!$AA26))))),"")</f>
        <v>1.1483881120987298</v>
      </c>
      <c r="AG26" s="104">
        <f>IFERROR((VLOOKUP(CONCATENATE('BMP P Tracking Table'!$U26," ",'BMP P Tracking Table'!$AD26),'Performance Curves'!$C$1:$L$46,_xlfn.SINGLE(MATCH('BMP P Tracking Table'!$AF26,'Performance Curves'!$D$1:$L$1,1))+2,FALSE)-VLOOKUP(CONCATENATE('BMP P Tracking Table'!$U26," ",'BMP P Tracking Table'!$AD26),'Performance Curves'!$C$1:$L$46,_xlfn.SINGLE(MATCH('BMP P Tracking Table'!$AF26,'Performance Curves'!$D$1:$L$1,1))+1,FALSE)),"")</f>
        <v>4.9999999999999933E-2</v>
      </c>
      <c r="AH26" s="104">
        <f>IFERROR(('BMP P Tracking Table'!$AF26-INDEX('Performance Curves'!$D$1:$L$1,1,MATCH('BMP P Tracking Table'!$AF26,'Performance Curves'!$D$1:$L$1,1)))/(INDEX('Performance Curves'!$D$1:$L$1,1,MATCH('BMP P Tracking Table'!$AF26,'Performance Curves'!$D$1:$L$1,1)+1)-INDEX('Performance Curves'!$D$1:$L$1,1,MATCH('BMP P Tracking Table'!$AF26,'Performance Curves'!$D$1:$L$1,1))),"")</f>
        <v>0.29677622419745964</v>
      </c>
      <c r="AI26" s="103">
        <f>IFERROR(IF('BMP P Tracking Table'!$AF26=2,VLOOKUP(CONCATENATE('BMP P Tracking Table'!$U26," ",'BMP P Tracking Table'!$AD26),'Performance Curves'!$C$1:$L$46,_xlfn.SINGLE(MATCH('BMP P Tracking Table'!$AF26,'Performance Curves'!$D$1:$L$1,1))+1,FALSE),'BMP P Tracking Table'!$AG26*'BMP P Tracking Table'!$AH26+VLOOKUP(CONCATENATE('BMP P Tracking Table'!$U26," ",'BMP P Tracking Table'!$AD26),'Performance Curves'!$C$1:$L$46,_xlfn.SINGLE(MATCH('BMP P Tracking Table'!$AF26,'Performance Curves'!$D$1:$L$1,1))+1,FALSE)),"")</f>
        <v>0.54483881120987299</v>
      </c>
      <c r="AJ26" s="104">
        <f>IFERROR('BMP P Tracking Table'!$AI26*'BMP P Tracking Table'!$AE26,"")</f>
        <v>1.8676883754690523</v>
      </c>
      <c r="AK26" s="98">
        <f>AE26*0.9</f>
        <v>3.0851685</v>
      </c>
      <c r="AL26" s="98" t="s">
        <v>62</v>
      </c>
      <c r="AM26" s="98"/>
      <c r="AN26" s="64">
        <v>1</v>
      </c>
      <c r="AO26" s="102">
        <f t="shared" si="0"/>
        <v>3.0851685</v>
      </c>
      <c r="AP26" s="98"/>
      <c r="AQ26" s="98"/>
      <c r="AR26" s="98"/>
      <c r="AS26" s="98"/>
      <c r="AT26" s="98"/>
      <c r="AU26" s="98"/>
      <c r="AV26" s="98"/>
      <c r="AW26" s="65"/>
      <c r="AX26" s="99"/>
      <c r="AY26" s="99"/>
      <c r="AZ26" s="104" t="str">
        <f>IF('BMP P Tracking Table'!$AL26="Yes",IF('BMP P Tracking Table'!$AM26="No",'BMP P Tracking Table'!$V26*VLOOKUP('BMP P Tracking Table'!$R26,'Loading Rates'!$B$1:$L$24,4,FALSE)+IF('BMP P Tracking Table'!$W26="By HSG",'BMP P Tracking Table'!$X26*VLOOKUP('BMP P Tracking Table'!$R26,'Loading Rates'!$B$1:$L$24,6,FALSE)+'BMP P Tracking Table'!$Y26*VLOOKUP('BMP P Tracking Table'!$R26,'Loading Rates'!$B$1:$L$24,7,FALSE)+'BMP P Tracking Table'!$Z26*VLOOKUP('BMP P Tracking Table'!$R26,'Loading Rates'!$B$1:$L$24,8,FALSE)+'BMP P Tracking Table'!$AA26*VLOOKUP('BMP P Tracking Table'!$R26,'Loading Rates'!$B$1:$L$24,9,FALSE),'BMP P Tracking Table'!$AB26*VLOOKUP('BMP P Tracking Table'!$R26,'Loading Rates'!$B$1:$L$24,10,FALSE)),'BMP P Tracking Table'!$AP26*VLOOKUP('BMP P Tracking Table'!$R26,'Loading Rates'!$B$1:$L$24,4,FALSE)+IF('BMP P Tracking Table'!$AQ26="By HSG",'BMP P Tracking Table'!$AR26*VLOOKUP('BMP P Tracking Table'!$R26,'Loading Rates'!$B$1:$L$24,6,FALSE)+'BMP P Tracking Table'!$AS26*VLOOKUP('BMP P Tracking Table'!$R26,'Loading Rates'!$B$1:$L$24,7,FALSE)+'BMP P Tracking Table'!$AT26*VLOOKUP('BMP P Tracking Table'!$R26,'Loading Rates'!$B$1:$L$24,8,FALSE)+'BMP P Tracking Table'!$AU26*VLOOKUP('BMP P Tracking Table'!$R26,'Loading Rates'!$B$1:$L$24,9,FALSE),'BMP P Tracking Table'!$AV26*VLOOKUP('BMP P Tracking Table'!$R26,'Loading Rates'!$B$1:$L$24,10,FALSE))),"")</f>
        <v/>
      </c>
      <c r="BA26" s="104">
        <f>IFERROR(IF('BMP P Tracking Table'!$AM26="Yes",MIN(2,IF('BMP P Tracking Table'!$AQ26="Total Pervious",(-(3630*'BMP P Tracking Table'!$AP26+20.691*'BMP P Tracking Table'!$AV26)+SQRT((3630*'BMP P Tracking Table'!$AP26+20.691*'BMP P Tracking Table'!$AV26)^2-(4*(996.798*'BMP P Tracking Table'!$AV26)*-'BMP P Tracking Table'!$AX26)))/(2*(996.798*'BMP P Tracking Table'!$AV26)),IF(SUM('BMP P Tracking Table'!$AR26:$AU26)=0,'BMP P Tracking Table'!$AV26/(-3630*'BMP P Tracking Table'!$AP26),(-(3630*'BMP P Tracking Table'!$AP26+20.691*'BMP P Tracking Table'!$AU26-216.711*'BMP P Tracking Table'!$AT26-83.853*'BMP P Tracking Table'!$AS26-42.834*'BMP P Tracking Table'!$AR26)+SQRT((3630*'BMP P Tracking Table'!$AP26+20.691*'BMP P Tracking Table'!$AU26-216.711*'BMP P Tracking Table'!$AT26-83.853*'BMP P Tracking Table'!$AS26-42.834*'BMP P Tracking Table'!$AR26)^2-(4*(149.919*'BMP P Tracking Table'!$AR26+236.676*'BMP P Tracking Table'!$AS26+726*'BMP P Tracking Table'!$AT26+996.798*'BMP P Tracking Table'!$AU26)*-'BMP P Tracking Table'!$AX26)))/(2*(149.919*'BMP P Tracking Table'!$AR26+236.676*'BMP P Tracking Table'!$AS26+726*'BMP P Tracking Table'!$AT26+996.798*'BMP P Tracking Table'!$AU26))))),MIN(2,IF('BMP P Tracking Table'!$AQ26="Total Pervious",(-(3630*'BMP P Tracking Table'!$V26+20.691*'BMP P Tracking Table'!$AB26)+SQRT((3630*'BMP P Tracking Table'!$V26+20.691*'BMP P Tracking Table'!$AB26)^2-(4*(996.798*'BMP P Tracking Table'!$AB26)*-'BMP P Tracking Table'!$AX26)))/(2*(996.798*'BMP P Tracking Table'!$AB26)),IF(SUM('BMP P Tracking Table'!$X26:$AA26)=0,'BMP P Tracking Table'!$AX26/(-3630*'BMP P Tracking Table'!$V26),(-(3630*'BMP P Tracking Table'!$V26+20.691*'BMP P Tracking Table'!$AA26-216.711*'BMP P Tracking Table'!$Z26-83.853*'BMP P Tracking Table'!$Y26-42.834*'BMP P Tracking Table'!$X26)+SQRT((3630*'BMP P Tracking Table'!$V26+20.691*'BMP P Tracking Table'!$AA26-216.711*'BMP P Tracking Table'!$Z26-83.853*'BMP P Tracking Table'!$Y26-42.834*'BMP P Tracking Table'!$X26)^2-(4*(149.919*'BMP P Tracking Table'!$X26+236.676*'BMP P Tracking Table'!$Y26+726*'BMP P Tracking Table'!$Z26+996.798*'BMP P Tracking Table'!$AA26)*-'BMP P Tracking Table'!$AX26)))/(2*(149.919*'BMP P Tracking Table'!$X26+236.676*'BMP P Tracking Table'!$Y26+726*'BMP P Tracking Table'!$Z26+996.798*'BMP P Tracking Table'!$AA26)))))),"")</f>
        <v>0</v>
      </c>
      <c r="BB26" s="102" t="str">
        <f>IFERROR((VLOOKUP(CONCATENATE('BMP P Tracking Table'!$AW26," ",'BMP P Tracking Table'!$AY26),'Performance Curves'!$C$1:$L$46,_xlfn.SINGLE(MATCH('BMP P Tracking Table'!$BA26,'Performance Curves'!$D$1:$L$1,1))+2,FALSE)-VLOOKUP(CONCATENATE('BMP P Tracking Table'!$AW26," ",'BMP P Tracking Table'!$AY26),'Performance Curves'!$C$1:$L$46,_xlfn.SINGLE(MATCH('BMP P Tracking Table'!$BA26,'Performance Curves'!$D$1:$L$1,1))+1,FALSE)),"")</f>
        <v/>
      </c>
      <c r="BC26" s="102">
        <f>IFERROR(('BMP P Tracking Table'!$BA26-INDEX('Performance Curves'!$D$1:$L$1,1,MATCH('BMP P Tracking Table'!$BA26,'Performance Curves'!$D$1:$L$1,1)))/(INDEX('Performance Curves'!$D$1:$L$1,1,MATCH('BMP P Tracking Table'!$BA26,'Performance Curves'!$D$1:$L$1,1)+1)-INDEX('Performance Curves'!$D$1:$L$1,1,MATCH('BMP P Tracking Table'!$BA26,'Performance Curves'!$D$1:$L$1,1))),"")</f>
        <v>0</v>
      </c>
      <c r="BD26" s="103" t="str" cm="1">
        <f t="array" ref="BD26">IFERROR(IF('BMP P Tracking Table'!$BA26=2,VLOOKUP(CONCATENATE('BMP P Tracking Table'!$AW26," ",'BMP P Tracking Table'!$AY26),'Performance Curves'!$C$1:$L$44,_xlfn.SINGLE(MATCH('BMP P Tracking Table'!$BA26,'Performance Curves'!$D$1:$L$1,1))+1,FALSE),'BMP P Tracking Table'!$BB26*'BMP P Tracking Table'!$BC26+VLOOKUP(CONCATENATE('BMP P Tracking Table'!$AW26," ",'BMP P Tracking Table'!$AY26),'Performance Curves'!$C$1:$L$44,_xlfn.SINGLE(MATCH('BMP P Tracking Table'!$BA26,'Performance Curves'!$D$1:$L$1,1))+1,FALSE)),"")</f>
        <v/>
      </c>
      <c r="BE26" s="104" t="str">
        <f>IFERROR('BMP P Tracking Table'!$BD26*'BMP P Tracking Table'!$AZ26,"")</f>
        <v/>
      </c>
      <c r="BF26" s="98"/>
      <c r="BG26" s="37">
        <f t="shared" si="3"/>
        <v>0</v>
      </c>
      <c r="BH26" s="36" t="s">
        <v>885</v>
      </c>
      <c r="BI26" s="36" t="str">
        <f t="shared" si="1"/>
        <v>TAP TA 18(2) Oakwood 1</v>
      </c>
      <c r="BJ26" s="36" t="str">
        <f t="shared" si="2"/>
        <v>Oakwood Drive cul-de-sac retrofit - media filter with specialized media</v>
      </c>
    </row>
    <row r="27" spans="1:65" s="36" customFormat="1">
      <c r="B27" s="65" t="s">
        <v>568</v>
      </c>
      <c r="C27" s="65" t="s">
        <v>569</v>
      </c>
      <c r="D27" s="65" t="s">
        <v>327</v>
      </c>
      <c r="E27" s="65" t="s">
        <v>9</v>
      </c>
      <c r="F27" s="94"/>
      <c r="G27" s="94"/>
      <c r="H27" s="65"/>
      <c r="I27" s="65"/>
      <c r="J27" s="65" t="s">
        <v>66</v>
      </c>
      <c r="K27" s="95"/>
      <c r="L27" s="65" t="s">
        <v>111</v>
      </c>
      <c r="M27" s="65">
        <v>2021</v>
      </c>
      <c r="N27" s="199">
        <v>44926</v>
      </c>
      <c r="O27" s="65"/>
      <c r="P27" s="65"/>
      <c r="Q27" s="65" t="s">
        <v>119</v>
      </c>
      <c r="R27" s="65" t="s">
        <v>146</v>
      </c>
      <c r="S27" s="65" t="str">
        <f>IFERROR(VLOOKUP('BMP P Tracking Table'!$R27,Dropdowns!$Q$3:$R$23,2,FALSE),"")</f>
        <v>Main Lake</v>
      </c>
      <c r="T27" s="65" t="s">
        <v>66</v>
      </c>
      <c r="U27" s="65" t="s">
        <v>570</v>
      </c>
      <c r="V27" s="65">
        <f>2.133-0.1</f>
        <v>2.0329999999999999</v>
      </c>
      <c r="W27" s="65" t="s">
        <v>220</v>
      </c>
      <c r="X27" s="65">
        <v>0</v>
      </c>
      <c r="Y27" s="65">
        <v>0</v>
      </c>
      <c r="Z27" s="65">
        <f>3.681-0.1</f>
        <v>3.581</v>
      </c>
      <c r="AA27" s="65">
        <v>0</v>
      </c>
      <c r="AB27" s="65"/>
      <c r="AC27" s="97"/>
      <c r="AD27" s="65" t="s">
        <v>209</v>
      </c>
      <c r="AE27" s="104">
        <f>IFERROR('BMP P Tracking Table'!$V27*VLOOKUP('BMP P Tracking Table'!$R27,'Loading Rates'!$B$1:$L$24,4,FALSE)+IF('BMP P Tracking Table'!$W27="By HSG",'BMP P Tracking Table'!$X27*VLOOKUP('BMP P Tracking Table'!$R27,'Loading Rates'!$B$1:$L$24,6,FALSE)+'BMP P Tracking Table'!$Y27*VLOOKUP('BMP P Tracking Table'!$R27,'Loading Rates'!$B$1:$L$24,7,FALSE)+'BMP P Tracking Table'!$Z27*VLOOKUP('BMP P Tracking Table'!$R27,'Loading Rates'!$B$1:$L$24,8,FALSE)+'BMP P Tracking Table'!$AA27*VLOOKUP('BMP P Tracking Table'!$R27,'Loading Rates'!$B$1:$L$24,9,FALSE),'BMP P Tracking Table'!$AB27*VLOOKUP('BMP P Tracking Table'!$R27,'Loading Rates'!$B$1:$L$24,10,FALSE)),"")</f>
        <v>3.287865</v>
      </c>
      <c r="AF27" s="104">
        <f>IFERROR(MIN(2,IF('BMP P Tracking Table'!$W27="Total Pervious",(-(3630*'BMP P Tracking Table'!$V27+20.691*'BMP P Tracking Table'!$AB27)+SQRT((3630*'BMP P Tracking Table'!$V27+20.691*'BMP P Tracking Table'!$AB27)^2-(4*(996.798*'BMP P Tracking Table'!$AB27)*-'BMP P Tracking Table'!$AC27)))/(2*(996.798*'BMP P Tracking Table'!$AB27)),IF(SUM('BMP P Tracking Table'!$X27:$AA27)=0,'BMP P Tracking Table'!$AC27/(-3630*'BMP P Tracking Table'!$V27),(-(3630*'BMP P Tracking Table'!$V27+20.691*'BMP P Tracking Table'!$AA27-216.711*'BMP P Tracking Table'!$Z27-83.853*'BMP P Tracking Table'!$Y27-42.834*'BMP P Tracking Table'!$X27)+SQRT((3630*'BMP P Tracking Table'!$V27+20.691*'BMP P Tracking Table'!$AA27-216.711*'BMP P Tracking Table'!$Z27-83.853*'BMP P Tracking Table'!$Y27-42.834*'BMP P Tracking Table'!$X27)^2-(4*(149.919*'BMP P Tracking Table'!$X27+236.676*'BMP P Tracking Table'!$Y27+726*'BMP P Tracking Table'!$Z27+996.798*'BMP P Tracking Table'!$AA27)*-'BMP P Tracking Table'!$AC27)))/(2*(149.919*'BMP P Tracking Table'!$X27+236.676*'BMP P Tracking Table'!$Y27+726*'BMP P Tracking Table'!$Z27+996.798*'BMP P Tracking Table'!$AA27))))),"")</f>
        <v>0</v>
      </c>
      <c r="AG27" s="104" t="str">
        <f>IFERROR((VLOOKUP(CONCATENATE('BMP P Tracking Table'!$U27," ",'BMP P Tracking Table'!$AD27),'Performance Curves'!$C$1:$L$46,_xlfn.SINGLE(MATCH('BMP P Tracking Table'!$AF27,'Performance Curves'!$D$1:$L$1,1))+2,FALSE)-VLOOKUP(CONCATENATE('BMP P Tracking Table'!$U27," ",'BMP P Tracking Table'!$AD27),'Performance Curves'!$C$1:$L$46,_xlfn.SINGLE(MATCH('BMP P Tracking Table'!$AF27,'Performance Curves'!$D$1:$L$1,1))+1,FALSE)),"")</f>
        <v/>
      </c>
      <c r="AH27" s="104">
        <f>IFERROR(('BMP P Tracking Table'!$AF27-INDEX('Performance Curves'!$D$1:$L$1,1,MATCH('BMP P Tracking Table'!$AF27,'Performance Curves'!$D$1:$L$1,1)))/(INDEX('Performance Curves'!$D$1:$L$1,1,MATCH('BMP P Tracking Table'!$AF27,'Performance Curves'!$D$1:$L$1,1)+1)-INDEX('Performance Curves'!$D$1:$L$1,1,MATCH('BMP P Tracking Table'!$AF27,'Performance Curves'!$D$1:$L$1,1))),"")</f>
        <v>0</v>
      </c>
      <c r="AI27" s="103" t="str">
        <f>IFERROR(IF('BMP P Tracking Table'!$AF27=2,VLOOKUP(CONCATENATE('BMP P Tracking Table'!$U27," ",'BMP P Tracking Table'!$AD27),'Performance Curves'!$C$1:$L$46,_xlfn.SINGLE(MATCH('BMP P Tracking Table'!$AF27,'Performance Curves'!$D$1:$L$1,1))+1,FALSE),'BMP P Tracking Table'!$AG27*'BMP P Tracking Table'!$AH27+VLOOKUP(CONCATENATE('BMP P Tracking Table'!$U27," ",'BMP P Tracking Table'!$AD27),'Performance Curves'!$C$1:$L$46,_xlfn.SINGLE(MATCH('BMP P Tracking Table'!$AF27,'Performance Curves'!$D$1:$L$1,1))+1,FALSE)),"")</f>
        <v/>
      </c>
      <c r="AJ27" s="104" t="str">
        <f>IFERROR('BMP P Tracking Table'!$AI27*'BMP P Tracking Table'!$AE27,"")</f>
        <v/>
      </c>
      <c r="AK27" s="65">
        <v>0.14000000000000001</v>
      </c>
      <c r="AL27" s="98" t="s">
        <v>62</v>
      </c>
      <c r="AM27" s="98"/>
      <c r="AN27" s="64">
        <v>1</v>
      </c>
      <c r="AO27" s="102">
        <f t="shared" si="0"/>
        <v>0.14000000000000001</v>
      </c>
      <c r="AP27" s="98"/>
      <c r="AQ27" s="98"/>
      <c r="AR27" s="98"/>
      <c r="AS27" s="98"/>
      <c r="AT27" s="98"/>
      <c r="AU27" s="98"/>
      <c r="AV27" s="98"/>
      <c r="AW27" s="65"/>
      <c r="AX27" s="99"/>
      <c r="AY27" s="99"/>
      <c r="AZ27" s="104" t="str">
        <f>IF('BMP P Tracking Table'!$AL27="Yes",IF('BMP P Tracking Table'!$AM27="No",'BMP P Tracking Table'!$V27*VLOOKUP('BMP P Tracking Table'!$R27,'Loading Rates'!$B$1:$L$24,4,FALSE)+IF('BMP P Tracking Table'!$W27="By HSG",'BMP P Tracking Table'!$X27*VLOOKUP('BMP P Tracking Table'!$R27,'Loading Rates'!$B$1:$L$24,6,FALSE)+'BMP P Tracking Table'!$Y27*VLOOKUP('BMP P Tracking Table'!$R27,'Loading Rates'!$B$1:$L$24,7,FALSE)+'BMP P Tracking Table'!$Z27*VLOOKUP('BMP P Tracking Table'!$R27,'Loading Rates'!$B$1:$L$24,8,FALSE)+'BMP P Tracking Table'!$AA27*VLOOKUP('BMP P Tracking Table'!$R27,'Loading Rates'!$B$1:$L$24,9,FALSE),'BMP P Tracking Table'!$AB27*VLOOKUP('BMP P Tracking Table'!$R27,'Loading Rates'!$B$1:$L$24,10,FALSE)),'BMP P Tracking Table'!$AP27*VLOOKUP('BMP P Tracking Table'!$R27,'Loading Rates'!$B$1:$L$24,4,FALSE)+IF('BMP P Tracking Table'!$AQ27="By HSG",'BMP P Tracking Table'!$AR27*VLOOKUP('BMP P Tracking Table'!$R27,'Loading Rates'!$B$1:$L$24,6,FALSE)+'BMP P Tracking Table'!$AS27*VLOOKUP('BMP P Tracking Table'!$R27,'Loading Rates'!$B$1:$L$24,7,FALSE)+'BMP P Tracking Table'!$AT27*VLOOKUP('BMP P Tracking Table'!$R27,'Loading Rates'!$B$1:$L$24,8,FALSE)+'BMP P Tracking Table'!$AU27*VLOOKUP('BMP P Tracking Table'!$R27,'Loading Rates'!$B$1:$L$24,9,FALSE),'BMP P Tracking Table'!$AV27*VLOOKUP('BMP P Tracking Table'!$R27,'Loading Rates'!$B$1:$L$24,10,FALSE))),"")</f>
        <v/>
      </c>
      <c r="BA27" s="104">
        <f>IFERROR(IF('BMP P Tracking Table'!$AM27="Yes",MIN(2,IF('BMP P Tracking Table'!$AQ27="Total Pervious",(-(3630*'BMP P Tracking Table'!$AP27+20.691*'BMP P Tracking Table'!$AV27)+SQRT((3630*'BMP P Tracking Table'!$AP27+20.691*'BMP P Tracking Table'!$AV27)^2-(4*(996.798*'BMP P Tracking Table'!$AV27)*-'BMP P Tracking Table'!$AX27)))/(2*(996.798*'BMP P Tracking Table'!$AV27)),IF(SUM('BMP P Tracking Table'!$AR27:$AU27)=0,'BMP P Tracking Table'!$AV27/(-3630*'BMP P Tracking Table'!$AP27),(-(3630*'BMP P Tracking Table'!$AP27+20.691*'BMP P Tracking Table'!$AU27-216.711*'BMP P Tracking Table'!$AT27-83.853*'BMP P Tracking Table'!$AS27-42.834*'BMP P Tracking Table'!$AR27)+SQRT((3630*'BMP P Tracking Table'!$AP27+20.691*'BMP P Tracking Table'!$AU27-216.711*'BMP P Tracking Table'!$AT27-83.853*'BMP P Tracking Table'!$AS27-42.834*'BMP P Tracking Table'!$AR27)^2-(4*(149.919*'BMP P Tracking Table'!$AR27+236.676*'BMP P Tracking Table'!$AS27+726*'BMP P Tracking Table'!$AT27+996.798*'BMP P Tracking Table'!$AU27)*-'BMP P Tracking Table'!$AX27)))/(2*(149.919*'BMP P Tracking Table'!$AR27+236.676*'BMP P Tracking Table'!$AS27+726*'BMP P Tracking Table'!$AT27+996.798*'BMP P Tracking Table'!$AU27))))),MIN(2,IF('BMP P Tracking Table'!$AQ27="Total Pervious",(-(3630*'BMP P Tracking Table'!$V27+20.691*'BMP P Tracking Table'!$AB27)+SQRT((3630*'BMP P Tracking Table'!$V27+20.691*'BMP P Tracking Table'!$AB27)^2-(4*(996.798*'BMP P Tracking Table'!$AB27)*-'BMP P Tracking Table'!$AX27)))/(2*(996.798*'BMP P Tracking Table'!$AB27)),IF(SUM('BMP P Tracking Table'!$X27:$AA27)=0,'BMP P Tracking Table'!$AX27/(-3630*'BMP P Tracking Table'!$V27),(-(3630*'BMP P Tracking Table'!$V27+20.691*'BMP P Tracking Table'!$AA27-216.711*'BMP P Tracking Table'!$Z27-83.853*'BMP P Tracking Table'!$Y27-42.834*'BMP P Tracking Table'!$X27)+SQRT((3630*'BMP P Tracking Table'!$V27+20.691*'BMP P Tracking Table'!$AA27-216.711*'BMP P Tracking Table'!$Z27-83.853*'BMP P Tracking Table'!$Y27-42.834*'BMP P Tracking Table'!$X27)^2-(4*(149.919*'BMP P Tracking Table'!$X27+236.676*'BMP P Tracking Table'!$Y27+726*'BMP P Tracking Table'!$Z27+996.798*'BMP P Tracking Table'!$AA27)*-'BMP P Tracking Table'!$AX27)))/(2*(149.919*'BMP P Tracking Table'!$X27+236.676*'BMP P Tracking Table'!$Y27+726*'BMP P Tracking Table'!$Z27+996.798*'BMP P Tracking Table'!$AA27)))))),"")</f>
        <v>0</v>
      </c>
      <c r="BB27" s="102" t="str">
        <f>IFERROR((VLOOKUP(CONCATENATE('BMP P Tracking Table'!$AW27," ",'BMP P Tracking Table'!$AY27),'Performance Curves'!$C$1:$L$46,_xlfn.SINGLE(MATCH('BMP P Tracking Table'!$BA27,'Performance Curves'!$D$1:$L$1,1))+2,FALSE)-VLOOKUP(CONCATENATE('BMP P Tracking Table'!$AW27," ",'BMP P Tracking Table'!$AY27),'Performance Curves'!$C$1:$L$46,_xlfn.SINGLE(MATCH('BMP P Tracking Table'!$BA27,'Performance Curves'!$D$1:$L$1,1))+1,FALSE)),"")</f>
        <v/>
      </c>
      <c r="BC27" s="102">
        <f>IFERROR(('BMP P Tracking Table'!$BA27-INDEX('Performance Curves'!$D$1:$L$1,1,MATCH('BMP P Tracking Table'!$BA27,'Performance Curves'!$D$1:$L$1,1)))/(INDEX('Performance Curves'!$D$1:$L$1,1,MATCH('BMP P Tracking Table'!$BA27,'Performance Curves'!$D$1:$L$1,1)+1)-INDEX('Performance Curves'!$D$1:$L$1,1,MATCH('BMP P Tracking Table'!$BA27,'Performance Curves'!$D$1:$L$1,1))),"")</f>
        <v>0</v>
      </c>
      <c r="BD27" s="103" t="str" cm="1">
        <f t="array" ref="BD27">IFERROR(IF('BMP P Tracking Table'!$BA27=2,VLOOKUP(CONCATENATE('BMP P Tracking Table'!$AW27," ",'BMP P Tracking Table'!$AY27),'Performance Curves'!$C$1:$L$44,_xlfn.SINGLE(MATCH('BMP P Tracking Table'!$BA27,'Performance Curves'!$D$1:$L$1,1))+1,FALSE),'BMP P Tracking Table'!$BB27*'BMP P Tracking Table'!$BC27+VLOOKUP(CONCATENATE('BMP P Tracking Table'!$AW27," ",'BMP P Tracking Table'!$AY27),'Performance Curves'!$C$1:$L$44,_xlfn.SINGLE(MATCH('BMP P Tracking Table'!$BA27,'Performance Curves'!$D$1:$L$1,1))+1,FALSE)),"")</f>
        <v/>
      </c>
      <c r="BE27" s="104" t="str">
        <f>IFERROR('BMP P Tracking Table'!$BD27*'BMP P Tracking Table'!$AZ27,"")</f>
        <v/>
      </c>
      <c r="BF27" s="98"/>
      <c r="BG27" s="37">
        <f t="shared" si="3"/>
        <v>0</v>
      </c>
      <c r="BI27" s="36" t="str">
        <f t="shared" si="1"/>
        <v>TAP TA 18(2) Oakwood 1 impervious removal</v>
      </c>
      <c r="BJ27" s="36" t="str">
        <f t="shared" si="2"/>
        <v>Oakwood Drive cul-de-sac retrofit - impervious removal</v>
      </c>
    </row>
    <row r="28" spans="1:65" s="36" customFormat="1">
      <c r="B28" s="65" t="s">
        <v>571</v>
      </c>
      <c r="C28" s="65" t="s">
        <v>573</v>
      </c>
      <c r="D28" s="65" t="s">
        <v>327</v>
      </c>
      <c r="E28" s="65" t="s">
        <v>9</v>
      </c>
      <c r="F28" s="94"/>
      <c r="G28" s="94"/>
      <c r="H28" s="65"/>
      <c r="I28" s="65"/>
      <c r="J28" s="65" t="s">
        <v>66</v>
      </c>
      <c r="K28" s="95"/>
      <c r="L28" s="65" t="s">
        <v>111</v>
      </c>
      <c r="M28" s="65">
        <v>2021</v>
      </c>
      <c r="N28" s="199">
        <v>44926</v>
      </c>
      <c r="O28" s="65"/>
      <c r="P28" s="65"/>
      <c r="Q28" s="65" t="s">
        <v>119</v>
      </c>
      <c r="R28" s="65" t="s">
        <v>146</v>
      </c>
      <c r="S28" s="65" t="str">
        <f>IFERROR(VLOOKUP('BMP P Tracking Table'!$R28,Dropdowns!$Q$3:$R$23,2,FALSE),"")</f>
        <v>Main Lake</v>
      </c>
      <c r="T28" s="65" t="s">
        <v>66</v>
      </c>
      <c r="U28" s="65" t="s">
        <v>47</v>
      </c>
      <c r="V28" s="65">
        <v>0.80400000000000005</v>
      </c>
      <c r="W28" s="65" t="s">
        <v>220</v>
      </c>
      <c r="X28" s="65">
        <v>1.2549999999999999</v>
      </c>
      <c r="Y28" s="65">
        <v>0</v>
      </c>
      <c r="Z28" s="65">
        <v>0</v>
      </c>
      <c r="AA28" s="65">
        <v>0</v>
      </c>
      <c r="AB28" s="65"/>
      <c r="AC28" s="97">
        <v>6096</v>
      </c>
      <c r="AD28" s="65" t="s">
        <v>205</v>
      </c>
      <c r="AE28" s="104">
        <f>IFERROR('BMP P Tracking Table'!$V28*VLOOKUP('BMP P Tracking Table'!$R28,'Loading Rates'!$B$1:$L$24,4,FALSE)+IF('BMP P Tracking Table'!$W28="By HSG",'BMP P Tracking Table'!$X28*VLOOKUP('BMP P Tracking Table'!$R28,'Loading Rates'!$B$1:$L$24,6,FALSE)+'BMP P Tracking Table'!$Y28*VLOOKUP('BMP P Tracking Table'!$R28,'Loading Rates'!$B$1:$L$24,7,FALSE)+'BMP P Tracking Table'!$Z28*VLOOKUP('BMP P Tracking Table'!$R28,'Loading Rates'!$B$1:$L$24,8,FALSE)+'BMP P Tracking Table'!$AA28*VLOOKUP('BMP P Tracking Table'!$R28,'Loading Rates'!$B$1:$L$24,9,FALSE),'BMP P Tracking Table'!$AB28*VLOOKUP('BMP P Tracking Table'!$R28,'Loading Rates'!$B$1:$L$24,10,FALSE)),"")</f>
        <v>0.9231680000000001</v>
      </c>
      <c r="AF28" s="104">
        <f>IFERROR(MIN(2,IF('BMP P Tracking Table'!$W28="Total Pervious",(-(3630*'BMP P Tracking Table'!$V28+20.691*'BMP P Tracking Table'!$AB28)+SQRT((3630*'BMP P Tracking Table'!$V28+20.691*'BMP P Tracking Table'!$AB28)^2-(4*(996.798*'BMP P Tracking Table'!$AB28)*-'BMP P Tracking Table'!$AC28)))/(2*(996.798*'BMP P Tracking Table'!$AB28)),IF(SUM('BMP P Tracking Table'!$X28:$AA28)=0,'BMP P Tracking Table'!$AC28/(-3630*'BMP P Tracking Table'!$V28),(-(3630*'BMP P Tracking Table'!$V28+20.691*'BMP P Tracking Table'!$AA28-216.711*'BMP P Tracking Table'!$Z28-83.853*'BMP P Tracking Table'!$Y28-42.834*'BMP P Tracking Table'!$X28)+SQRT((3630*'BMP P Tracking Table'!$V28+20.691*'BMP P Tracking Table'!$AA28-216.711*'BMP P Tracking Table'!$Z28-83.853*'BMP P Tracking Table'!$Y28-42.834*'BMP P Tracking Table'!$X28)^2-(4*(149.919*'BMP P Tracking Table'!$X28+236.676*'BMP P Tracking Table'!$Y28+726*'BMP P Tracking Table'!$Z28+996.798*'BMP P Tracking Table'!$AA28)*-'BMP P Tracking Table'!$AC28)))/(2*(149.919*'BMP P Tracking Table'!$X28+236.676*'BMP P Tracking Table'!$Y28+726*'BMP P Tracking Table'!$Z28+996.798*'BMP P Tracking Table'!$AA28))))),"")</f>
        <v>1.8926597784227577</v>
      </c>
      <c r="AG28" s="104">
        <f>IFERROR((VLOOKUP(CONCATENATE('BMP P Tracking Table'!$U28," ",'BMP P Tracking Table'!$AD28),'Performance Curves'!$C$1:$L$46,_xlfn.SINGLE(MATCH('BMP P Tracking Table'!$AF28,'Performance Curves'!$D$1:$L$1,1))+2,FALSE)-VLOOKUP(CONCATENATE('BMP P Tracking Table'!$U28," ",'BMP P Tracking Table'!$AD28),'Performance Curves'!$C$1:$L$46,_xlfn.SINGLE(MATCH('BMP P Tracking Table'!$AF28,'Performance Curves'!$D$1:$L$1,1))+1,FALSE)),"")</f>
        <v>0</v>
      </c>
      <c r="AH28" s="104">
        <f>IFERROR(('BMP P Tracking Table'!$AF28-INDEX('Performance Curves'!$D$1:$L$1,1,MATCH('BMP P Tracking Table'!$AF28,'Performance Curves'!$D$1:$L$1,1)))/(INDEX('Performance Curves'!$D$1:$L$1,1,MATCH('BMP P Tracking Table'!$AF28,'Performance Curves'!$D$1:$L$1,1)+1)-INDEX('Performance Curves'!$D$1:$L$1,1,MATCH('BMP P Tracking Table'!$AF28,'Performance Curves'!$D$1:$L$1,1))),"")</f>
        <v>0.78531955684551535</v>
      </c>
      <c r="AI28" s="103">
        <f>IFERROR(IF('BMP P Tracking Table'!$AF28=2,VLOOKUP(CONCATENATE('BMP P Tracking Table'!$U28," ",'BMP P Tracking Table'!$AD28),'Performance Curves'!$C$1:$L$46,_xlfn.SINGLE(MATCH('BMP P Tracking Table'!$AF28,'Performance Curves'!$D$1:$L$1,1))+1,FALSE),'BMP P Tracking Table'!$AG28*'BMP P Tracking Table'!$AH28+VLOOKUP(CONCATENATE('BMP P Tracking Table'!$U28," ",'BMP P Tracking Table'!$AD28),'Performance Curves'!$C$1:$L$46,_xlfn.SINGLE(MATCH('BMP P Tracking Table'!$AF28,'Performance Curves'!$D$1:$L$1,1))+1,FALSE)),"")</f>
        <v>1</v>
      </c>
      <c r="AJ28" s="104">
        <f>IFERROR('BMP P Tracking Table'!$AI28*'BMP P Tracking Table'!$AE28,"")</f>
        <v>0.9231680000000001</v>
      </c>
      <c r="AK28" s="65"/>
      <c r="AL28" s="98" t="s">
        <v>62</v>
      </c>
      <c r="AM28" s="98"/>
      <c r="AN28" s="64">
        <v>1</v>
      </c>
      <c r="AO28" s="102">
        <f t="shared" si="0"/>
        <v>0.9231680000000001</v>
      </c>
      <c r="AP28" s="98"/>
      <c r="AQ28" s="98"/>
      <c r="AR28" s="98"/>
      <c r="AS28" s="98"/>
      <c r="AT28" s="98"/>
      <c r="AU28" s="98"/>
      <c r="AV28" s="98"/>
      <c r="AW28" s="65"/>
      <c r="AX28" s="99"/>
      <c r="AY28" s="99"/>
      <c r="AZ28" s="104" t="str">
        <f>IF('BMP P Tracking Table'!$AL28="Yes",IF('BMP P Tracking Table'!$AM28="No",'BMP P Tracking Table'!$V28*VLOOKUP('BMP P Tracking Table'!$R28,'Loading Rates'!$B$1:$L$24,4,FALSE)+IF('BMP P Tracking Table'!$W28="By HSG",'BMP P Tracking Table'!$X28*VLOOKUP('BMP P Tracking Table'!$R28,'Loading Rates'!$B$1:$L$24,6,FALSE)+'BMP P Tracking Table'!$Y28*VLOOKUP('BMP P Tracking Table'!$R28,'Loading Rates'!$B$1:$L$24,7,FALSE)+'BMP P Tracking Table'!$Z28*VLOOKUP('BMP P Tracking Table'!$R28,'Loading Rates'!$B$1:$L$24,8,FALSE)+'BMP P Tracking Table'!$AA28*VLOOKUP('BMP P Tracking Table'!$R28,'Loading Rates'!$B$1:$L$24,9,FALSE),'BMP P Tracking Table'!$AB28*VLOOKUP('BMP P Tracking Table'!$R28,'Loading Rates'!$B$1:$L$24,10,FALSE)),'BMP P Tracking Table'!$AP28*VLOOKUP('BMP P Tracking Table'!$R28,'Loading Rates'!$B$1:$L$24,4,FALSE)+IF('BMP P Tracking Table'!$AQ28="By HSG",'BMP P Tracking Table'!$AR28*VLOOKUP('BMP P Tracking Table'!$R28,'Loading Rates'!$B$1:$L$24,6,FALSE)+'BMP P Tracking Table'!$AS28*VLOOKUP('BMP P Tracking Table'!$R28,'Loading Rates'!$B$1:$L$24,7,FALSE)+'BMP P Tracking Table'!$AT28*VLOOKUP('BMP P Tracking Table'!$R28,'Loading Rates'!$B$1:$L$24,8,FALSE)+'BMP P Tracking Table'!$AU28*VLOOKUP('BMP P Tracking Table'!$R28,'Loading Rates'!$B$1:$L$24,9,FALSE),'BMP P Tracking Table'!$AV28*VLOOKUP('BMP P Tracking Table'!$R28,'Loading Rates'!$B$1:$L$24,10,FALSE))),"")</f>
        <v/>
      </c>
      <c r="BA28" s="104">
        <f>IFERROR(IF('BMP P Tracking Table'!$AM28="Yes",MIN(2,IF('BMP P Tracking Table'!$AQ28="Total Pervious",(-(3630*'BMP P Tracking Table'!$AP28+20.691*'BMP P Tracking Table'!$AV28)+SQRT((3630*'BMP P Tracking Table'!$AP28+20.691*'BMP P Tracking Table'!$AV28)^2-(4*(996.798*'BMP P Tracking Table'!$AV28)*-'BMP P Tracking Table'!$AX28)))/(2*(996.798*'BMP P Tracking Table'!$AV28)),IF(SUM('BMP P Tracking Table'!$AR28:$AU28)=0,'BMP P Tracking Table'!$AV28/(-3630*'BMP P Tracking Table'!$AP28),(-(3630*'BMP P Tracking Table'!$AP28+20.691*'BMP P Tracking Table'!$AU28-216.711*'BMP P Tracking Table'!$AT28-83.853*'BMP P Tracking Table'!$AS28-42.834*'BMP P Tracking Table'!$AR28)+SQRT((3630*'BMP P Tracking Table'!$AP28+20.691*'BMP P Tracking Table'!$AU28-216.711*'BMP P Tracking Table'!$AT28-83.853*'BMP P Tracking Table'!$AS28-42.834*'BMP P Tracking Table'!$AR28)^2-(4*(149.919*'BMP P Tracking Table'!$AR28+236.676*'BMP P Tracking Table'!$AS28+726*'BMP P Tracking Table'!$AT28+996.798*'BMP P Tracking Table'!$AU28)*-'BMP P Tracking Table'!$AX28)))/(2*(149.919*'BMP P Tracking Table'!$AR28+236.676*'BMP P Tracking Table'!$AS28+726*'BMP P Tracking Table'!$AT28+996.798*'BMP P Tracking Table'!$AU28))))),MIN(2,IF('BMP P Tracking Table'!$AQ28="Total Pervious",(-(3630*'BMP P Tracking Table'!$V28+20.691*'BMP P Tracking Table'!$AB28)+SQRT((3630*'BMP P Tracking Table'!$V28+20.691*'BMP P Tracking Table'!$AB28)^2-(4*(996.798*'BMP P Tracking Table'!$AB28)*-'BMP P Tracking Table'!$AX28)))/(2*(996.798*'BMP P Tracking Table'!$AB28)),IF(SUM('BMP P Tracking Table'!$X28:$AA28)=0,'BMP P Tracking Table'!$AX28/(-3630*'BMP P Tracking Table'!$V28),(-(3630*'BMP P Tracking Table'!$V28+20.691*'BMP P Tracking Table'!$AA28-216.711*'BMP P Tracking Table'!$Z28-83.853*'BMP P Tracking Table'!$Y28-42.834*'BMP P Tracking Table'!$X28)+SQRT((3630*'BMP P Tracking Table'!$V28+20.691*'BMP P Tracking Table'!$AA28-216.711*'BMP P Tracking Table'!$Z28-83.853*'BMP P Tracking Table'!$Y28-42.834*'BMP P Tracking Table'!$X28)^2-(4*(149.919*'BMP P Tracking Table'!$X28+236.676*'BMP P Tracking Table'!$Y28+726*'BMP P Tracking Table'!$Z28+996.798*'BMP P Tracking Table'!$AA28)*-'BMP P Tracking Table'!$AX28)))/(2*(149.919*'BMP P Tracking Table'!$X28+236.676*'BMP P Tracking Table'!$Y28+726*'BMP P Tracking Table'!$Z28+996.798*'BMP P Tracking Table'!$AA28)))))),"")</f>
        <v>0</v>
      </c>
      <c r="BB28" s="102" t="str">
        <f>IFERROR((VLOOKUP(CONCATENATE('BMP P Tracking Table'!$AW28," ",'BMP P Tracking Table'!$AY28),'Performance Curves'!$C$1:$L$46,_xlfn.SINGLE(MATCH('BMP P Tracking Table'!$BA28,'Performance Curves'!$D$1:$L$1,1))+2,FALSE)-VLOOKUP(CONCATENATE('BMP P Tracking Table'!$AW28," ",'BMP P Tracking Table'!$AY28),'Performance Curves'!$C$1:$L$46,_xlfn.SINGLE(MATCH('BMP P Tracking Table'!$BA28,'Performance Curves'!$D$1:$L$1,1))+1,FALSE)),"")</f>
        <v/>
      </c>
      <c r="BC28" s="102">
        <f>IFERROR(('BMP P Tracking Table'!$BA28-INDEX('Performance Curves'!$D$1:$L$1,1,MATCH('BMP P Tracking Table'!$BA28,'Performance Curves'!$D$1:$L$1,1)))/(INDEX('Performance Curves'!$D$1:$L$1,1,MATCH('BMP P Tracking Table'!$BA28,'Performance Curves'!$D$1:$L$1,1)+1)-INDEX('Performance Curves'!$D$1:$L$1,1,MATCH('BMP P Tracking Table'!$BA28,'Performance Curves'!$D$1:$L$1,1))),"")</f>
        <v>0</v>
      </c>
      <c r="BD28" s="103" t="str" cm="1">
        <f t="array" ref="BD28">IFERROR(IF('BMP P Tracking Table'!$BA28=2,VLOOKUP(CONCATENATE('BMP P Tracking Table'!$AW28," ",'BMP P Tracking Table'!$AY28),'Performance Curves'!$C$1:$L$44,_xlfn.SINGLE(MATCH('BMP P Tracking Table'!$BA28,'Performance Curves'!$D$1:$L$1,1))+1,FALSE),'BMP P Tracking Table'!$BB28*'BMP P Tracking Table'!$BC28+VLOOKUP(CONCATENATE('BMP P Tracking Table'!$AW28," ",'BMP P Tracking Table'!$AY28),'Performance Curves'!$C$1:$L$44,_xlfn.SINGLE(MATCH('BMP P Tracking Table'!$BA28,'Performance Curves'!$D$1:$L$1,1))+1,FALSE)),"")</f>
        <v/>
      </c>
      <c r="BE28" s="104" t="str">
        <f>IFERROR('BMP P Tracking Table'!$BD28*'BMP P Tracking Table'!$AZ28,"")</f>
        <v/>
      </c>
      <c r="BF28" s="98"/>
      <c r="BG28" s="37">
        <f t="shared" si="3"/>
        <v>0</v>
      </c>
      <c r="BI28" s="36" t="str">
        <f t="shared" si="1"/>
        <v>TAP TA 18(2) Sage 1</v>
      </c>
      <c r="BJ28" s="36" t="str">
        <f t="shared" si="2"/>
        <v>Sage Circle cul-de-sac retrofit - infiltration trenches</v>
      </c>
    </row>
    <row r="29" spans="1:65" s="36" customFormat="1">
      <c r="B29" s="65" t="s">
        <v>572</v>
      </c>
      <c r="C29" s="65" t="s">
        <v>574</v>
      </c>
      <c r="D29" s="65" t="s">
        <v>327</v>
      </c>
      <c r="E29" s="65" t="s">
        <v>9</v>
      </c>
      <c r="F29" s="94"/>
      <c r="G29" s="94"/>
      <c r="H29" s="65"/>
      <c r="I29" s="65"/>
      <c r="J29" s="65" t="s">
        <v>66</v>
      </c>
      <c r="K29" s="95"/>
      <c r="L29" s="65" t="s">
        <v>111</v>
      </c>
      <c r="M29" s="65">
        <v>2021</v>
      </c>
      <c r="N29" s="199">
        <v>44926</v>
      </c>
      <c r="O29" s="65"/>
      <c r="P29" s="65"/>
      <c r="Q29" s="65" t="s">
        <v>119</v>
      </c>
      <c r="R29" s="65" t="s">
        <v>146</v>
      </c>
      <c r="S29" s="65" t="str">
        <f>IFERROR(VLOOKUP('BMP P Tracking Table'!$R29,Dropdowns!$Q$3:$R$23,2,FALSE),"")</f>
        <v>Main Lake</v>
      </c>
      <c r="T29" s="65" t="s">
        <v>66</v>
      </c>
      <c r="U29" s="65" t="s">
        <v>570</v>
      </c>
      <c r="V29" s="65">
        <v>0.73899999999999999</v>
      </c>
      <c r="W29" s="65" t="s">
        <v>220</v>
      </c>
      <c r="X29" s="65">
        <v>1.32</v>
      </c>
      <c r="Y29" s="65">
        <v>0</v>
      </c>
      <c r="Z29" s="65">
        <v>0</v>
      </c>
      <c r="AA29" s="65">
        <v>0</v>
      </c>
      <c r="AB29" s="65"/>
      <c r="AC29" s="97"/>
      <c r="AD29" s="65"/>
      <c r="AE29" s="104">
        <f>IFERROR('BMP P Tracking Table'!$V29*VLOOKUP('BMP P Tracking Table'!$R29,'Loading Rates'!$B$1:$L$24,4,FALSE)+IF('BMP P Tracking Table'!$W29="By HSG",'BMP P Tracking Table'!$X29*VLOOKUP('BMP P Tracking Table'!$R29,'Loading Rates'!$B$1:$L$24,6,FALSE)+'BMP P Tracking Table'!$Y29*VLOOKUP('BMP P Tracking Table'!$R29,'Loading Rates'!$B$1:$L$24,7,FALSE)+'BMP P Tracking Table'!$Z29*VLOOKUP('BMP P Tracking Table'!$R29,'Loading Rates'!$B$1:$L$24,8,FALSE)+'BMP P Tracking Table'!$AA29*VLOOKUP('BMP P Tracking Table'!$R29,'Loading Rates'!$B$1:$L$24,9,FALSE),'BMP P Tracking Table'!$AB29*VLOOKUP('BMP P Tracking Table'!$R29,'Loading Rates'!$B$1:$L$24,10,FALSE)),"")</f>
        <v>0.85186299999999993</v>
      </c>
      <c r="AF29" s="104">
        <f>IFERROR(MIN(2,IF('BMP P Tracking Table'!$W29="Total Pervious",(-(3630*'BMP P Tracking Table'!$V29+20.691*'BMP P Tracking Table'!$AB29)+SQRT((3630*'BMP P Tracking Table'!$V29+20.691*'BMP P Tracking Table'!$AB29)^2-(4*(996.798*'BMP P Tracking Table'!$AB29)*-'BMP P Tracking Table'!$AC29)))/(2*(996.798*'BMP P Tracking Table'!$AB29)),IF(SUM('BMP P Tracking Table'!$X29:$AA29)=0,'BMP P Tracking Table'!$AC29/(-3630*'BMP P Tracking Table'!$V29),(-(3630*'BMP P Tracking Table'!$V29+20.691*'BMP P Tracking Table'!$AA29-216.711*'BMP P Tracking Table'!$Z29-83.853*'BMP P Tracking Table'!$Y29-42.834*'BMP P Tracking Table'!$X29)+SQRT((3630*'BMP P Tracking Table'!$V29+20.691*'BMP P Tracking Table'!$AA29-216.711*'BMP P Tracking Table'!$Z29-83.853*'BMP P Tracking Table'!$Y29-42.834*'BMP P Tracking Table'!$X29)^2-(4*(149.919*'BMP P Tracking Table'!$X29+236.676*'BMP P Tracking Table'!$Y29+726*'BMP P Tracking Table'!$Z29+996.798*'BMP P Tracking Table'!$AA29)*-'BMP P Tracking Table'!$AC29)))/(2*(149.919*'BMP P Tracking Table'!$X29+236.676*'BMP P Tracking Table'!$Y29+726*'BMP P Tracking Table'!$Z29+996.798*'BMP P Tracking Table'!$AA29))))),"")</f>
        <v>0</v>
      </c>
      <c r="AG29" s="104" t="str">
        <f>IFERROR((VLOOKUP(CONCATENATE('BMP P Tracking Table'!$U29," ",'BMP P Tracking Table'!$AD29),'Performance Curves'!$C$1:$L$46,_xlfn.SINGLE(MATCH('BMP P Tracking Table'!$AF29,'Performance Curves'!$D$1:$L$1,1))+2,FALSE)-VLOOKUP(CONCATENATE('BMP P Tracking Table'!$U29," ",'BMP P Tracking Table'!$AD29),'Performance Curves'!$C$1:$L$46,_xlfn.SINGLE(MATCH('BMP P Tracking Table'!$AF29,'Performance Curves'!$D$1:$L$1,1))+1,FALSE)),"")</f>
        <v/>
      </c>
      <c r="AH29" s="104">
        <f>IFERROR(('BMP P Tracking Table'!$AF29-INDEX('Performance Curves'!$D$1:$L$1,1,MATCH('BMP P Tracking Table'!$AF29,'Performance Curves'!$D$1:$L$1,1)))/(INDEX('Performance Curves'!$D$1:$L$1,1,MATCH('BMP P Tracking Table'!$AF29,'Performance Curves'!$D$1:$L$1,1)+1)-INDEX('Performance Curves'!$D$1:$L$1,1,MATCH('BMP P Tracking Table'!$AF29,'Performance Curves'!$D$1:$L$1,1))),"")</f>
        <v>0</v>
      </c>
      <c r="AI29" s="103" t="str">
        <f>IFERROR(IF('BMP P Tracking Table'!$AF29=2,VLOOKUP(CONCATENATE('BMP P Tracking Table'!$U29," ",'BMP P Tracking Table'!$AD29),'Performance Curves'!$C$1:$L$46,_xlfn.SINGLE(MATCH('BMP P Tracking Table'!$AF29,'Performance Curves'!$D$1:$L$1,1))+1,FALSE),'BMP P Tracking Table'!$AG29*'BMP P Tracking Table'!$AH29+VLOOKUP(CONCATENATE('BMP P Tracking Table'!$U29," ",'BMP P Tracking Table'!$AD29),'Performance Curves'!$C$1:$L$46,_xlfn.SINGLE(MATCH('BMP P Tracking Table'!$AF29,'Performance Curves'!$D$1:$L$1,1))+1,FALSE)),"")</f>
        <v/>
      </c>
      <c r="AJ29" s="104" t="str">
        <f>IFERROR('BMP P Tracking Table'!$AI29*'BMP P Tracking Table'!$AE29,"")</f>
        <v/>
      </c>
      <c r="AK29" s="65">
        <v>0.06</v>
      </c>
      <c r="AL29" s="98" t="s">
        <v>62</v>
      </c>
      <c r="AM29" s="98"/>
      <c r="AN29" s="64">
        <v>1</v>
      </c>
      <c r="AO29" s="102">
        <f t="shared" si="0"/>
        <v>0.06</v>
      </c>
      <c r="AP29" s="98"/>
      <c r="AQ29" s="98"/>
      <c r="AR29" s="98"/>
      <c r="AS29" s="98"/>
      <c r="AT29" s="98"/>
      <c r="AU29" s="98"/>
      <c r="AV29" s="98"/>
      <c r="AW29" s="65"/>
      <c r="AX29" s="99"/>
      <c r="AY29" s="99"/>
      <c r="AZ29" s="104" t="str">
        <f>IF('BMP P Tracking Table'!$AL29="Yes",IF('BMP P Tracking Table'!$AM29="No",'BMP P Tracking Table'!$V29*VLOOKUP('BMP P Tracking Table'!$R29,'Loading Rates'!$B$1:$L$24,4,FALSE)+IF('BMP P Tracking Table'!$W29="By HSG",'BMP P Tracking Table'!$X29*VLOOKUP('BMP P Tracking Table'!$R29,'Loading Rates'!$B$1:$L$24,6,FALSE)+'BMP P Tracking Table'!$Y29*VLOOKUP('BMP P Tracking Table'!$R29,'Loading Rates'!$B$1:$L$24,7,FALSE)+'BMP P Tracking Table'!$Z29*VLOOKUP('BMP P Tracking Table'!$R29,'Loading Rates'!$B$1:$L$24,8,FALSE)+'BMP P Tracking Table'!$AA29*VLOOKUP('BMP P Tracking Table'!$R29,'Loading Rates'!$B$1:$L$24,9,FALSE),'BMP P Tracking Table'!$AB29*VLOOKUP('BMP P Tracking Table'!$R29,'Loading Rates'!$B$1:$L$24,10,FALSE)),'BMP P Tracking Table'!$AP29*VLOOKUP('BMP P Tracking Table'!$R29,'Loading Rates'!$B$1:$L$24,4,FALSE)+IF('BMP P Tracking Table'!$AQ29="By HSG",'BMP P Tracking Table'!$AR29*VLOOKUP('BMP P Tracking Table'!$R29,'Loading Rates'!$B$1:$L$24,6,FALSE)+'BMP P Tracking Table'!$AS29*VLOOKUP('BMP P Tracking Table'!$R29,'Loading Rates'!$B$1:$L$24,7,FALSE)+'BMP P Tracking Table'!$AT29*VLOOKUP('BMP P Tracking Table'!$R29,'Loading Rates'!$B$1:$L$24,8,FALSE)+'BMP P Tracking Table'!$AU29*VLOOKUP('BMP P Tracking Table'!$R29,'Loading Rates'!$B$1:$L$24,9,FALSE),'BMP P Tracking Table'!$AV29*VLOOKUP('BMP P Tracking Table'!$R29,'Loading Rates'!$B$1:$L$24,10,FALSE))),"")</f>
        <v/>
      </c>
      <c r="BA29" s="104">
        <f>IFERROR(IF('BMP P Tracking Table'!$AM29="Yes",MIN(2,IF('BMP P Tracking Table'!$AQ29="Total Pervious",(-(3630*'BMP P Tracking Table'!$AP29+20.691*'BMP P Tracking Table'!$AV29)+SQRT((3630*'BMP P Tracking Table'!$AP29+20.691*'BMP P Tracking Table'!$AV29)^2-(4*(996.798*'BMP P Tracking Table'!$AV29)*-'BMP P Tracking Table'!$AX29)))/(2*(996.798*'BMP P Tracking Table'!$AV29)),IF(SUM('BMP P Tracking Table'!$AR29:$AU29)=0,'BMP P Tracking Table'!$AV29/(-3630*'BMP P Tracking Table'!$AP29),(-(3630*'BMP P Tracking Table'!$AP29+20.691*'BMP P Tracking Table'!$AU29-216.711*'BMP P Tracking Table'!$AT29-83.853*'BMP P Tracking Table'!$AS29-42.834*'BMP P Tracking Table'!$AR29)+SQRT((3630*'BMP P Tracking Table'!$AP29+20.691*'BMP P Tracking Table'!$AU29-216.711*'BMP P Tracking Table'!$AT29-83.853*'BMP P Tracking Table'!$AS29-42.834*'BMP P Tracking Table'!$AR29)^2-(4*(149.919*'BMP P Tracking Table'!$AR29+236.676*'BMP P Tracking Table'!$AS29+726*'BMP P Tracking Table'!$AT29+996.798*'BMP P Tracking Table'!$AU29)*-'BMP P Tracking Table'!$AX29)))/(2*(149.919*'BMP P Tracking Table'!$AR29+236.676*'BMP P Tracking Table'!$AS29+726*'BMP P Tracking Table'!$AT29+996.798*'BMP P Tracking Table'!$AU29))))),MIN(2,IF('BMP P Tracking Table'!$AQ29="Total Pervious",(-(3630*'BMP P Tracking Table'!$V29+20.691*'BMP P Tracking Table'!$AB29)+SQRT((3630*'BMP P Tracking Table'!$V29+20.691*'BMP P Tracking Table'!$AB29)^2-(4*(996.798*'BMP P Tracking Table'!$AB29)*-'BMP P Tracking Table'!$AX29)))/(2*(996.798*'BMP P Tracking Table'!$AB29)),IF(SUM('BMP P Tracking Table'!$X29:$AA29)=0,'BMP P Tracking Table'!$AX29/(-3630*'BMP P Tracking Table'!$V29),(-(3630*'BMP P Tracking Table'!$V29+20.691*'BMP P Tracking Table'!$AA29-216.711*'BMP P Tracking Table'!$Z29-83.853*'BMP P Tracking Table'!$Y29-42.834*'BMP P Tracking Table'!$X29)+SQRT((3630*'BMP P Tracking Table'!$V29+20.691*'BMP P Tracking Table'!$AA29-216.711*'BMP P Tracking Table'!$Z29-83.853*'BMP P Tracking Table'!$Y29-42.834*'BMP P Tracking Table'!$X29)^2-(4*(149.919*'BMP P Tracking Table'!$X29+236.676*'BMP P Tracking Table'!$Y29+726*'BMP P Tracking Table'!$Z29+996.798*'BMP P Tracking Table'!$AA29)*-'BMP P Tracking Table'!$AX29)))/(2*(149.919*'BMP P Tracking Table'!$X29+236.676*'BMP P Tracking Table'!$Y29+726*'BMP P Tracking Table'!$Z29+996.798*'BMP P Tracking Table'!$AA29)))))),"")</f>
        <v>0</v>
      </c>
      <c r="BB29" s="102" t="str">
        <f>IFERROR((VLOOKUP(CONCATENATE('BMP P Tracking Table'!$AW29," ",'BMP P Tracking Table'!$AY29),'Performance Curves'!$C$1:$L$46,_xlfn.SINGLE(MATCH('BMP P Tracking Table'!$BA29,'Performance Curves'!$D$1:$L$1,1))+2,FALSE)-VLOOKUP(CONCATENATE('BMP P Tracking Table'!$AW29," ",'BMP P Tracking Table'!$AY29),'Performance Curves'!$C$1:$L$46,_xlfn.SINGLE(MATCH('BMP P Tracking Table'!$BA29,'Performance Curves'!$D$1:$L$1,1))+1,FALSE)),"")</f>
        <v/>
      </c>
      <c r="BC29" s="102">
        <f>IFERROR(('BMP P Tracking Table'!$BA29-INDEX('Performance Curves'!$D$1:$L$1,1,MATCH('BMP P Tracking Table'!$BA29,'Performance Curves'!$D$1:$L$1,1)))/(INDEX('Performance Curves'!$D$1:$L$1,1,MATCH('BMP P Tracking Table'!$BA29,'Performance Curves'!$D$1:$L$1,1)+1)-INDEX('Performance Curves'!$D$1:$L$1,1,MATCH('BMP P Tracking Table'!$BA29,'Performance Curves'!$D$1:$L$1,1))),"")</f>
        <v>0</v>
      </c>
      <c r="BD29" s="103" t="str" cm="1">
        <f t="array" ref="BD29">IFERROR(IF('BMP P Tracking Table'!$BA29=2,VLOOKUP(CONCATENATE('BMP P Tracking Table'!$AW29," ",'BMP P Tracking Table'!$AY29),'Performance Curves'!$C$1:$L$44,_xlfn.SINGLE(MATCH('BMP P Tracking Table'!$BA29,'Performance Curves'!$D$1:$L$1,1))+1,FALSE),'BMP P Tracking Table'!$BB29*'BMP P Tracking Table'!$BC29+VLOOKUP(CONCATENATE('BMP P Tracking Table'!$AW29," ",'BMP P Tracking Table'!$AY29),'Performance Curves'!$C$1:$L$44,_xlfn.SINGLE(MATCH('BMP P Tracking Table'!$BA29,'Performance Curves'!$D$1:$L$1,1))+1,FALSE)),"")</f>
        <v/>
      </c>
      <c r="BE29" s="104" t="str">
        <f>IFERROR('BMP P Tracking Table'!$BD29*'BMP P Tracking Table'!$AZ29,"")</f>
        <v/>
      </c>
      <c r="BF29" s="98"/>
      <c r="BG29" s="37">
        <f t="shared" si="3"/>
        <v>0</v>
      </c>
      <c r="BI29" s="36" t="str">
        <f t="shared" si="1"/>
        <v>TAP TA 18(2) Sage 1 impervious removal</v>
      </c>
      <c r="BJ29" s="36" t="str">
        <f t="shared" si="2"/>
        <v>Sage Circle cul-de-sac retrofit - impervious removal</v>
      </c>
    </row>
    <row r="30" spans="1:65" s="36" customFormat="1">
      <c r="A30" s="217" t="s">
        <v>588</v>
      </c>
      <c r="B30" s="110" t="s">
        <v>588</v>
      </c>
      <c r="C30" s="110" t="s">
        <v>589</v>
      </c>
      <c r="D30" s="110" t="s">
        <v>327</v>
      </c>
      <c r="E30" s="110" t="s">
        <v>9</v>
      </c>
      <c r="F30" s="111"/>
      <c r="G30" s="111"/>
      <c r="H30" s="110" t="s">
        <v>588</v>
      </c>
      <c r="I30" s="110"/>
      <c r="J30" s="110" t="s">
        <v>66</v>
      </c>
      <c r="K30" s="112"/>
      <c r="L30" s="110" t="s">
        <v>111</v>
      </c>
      <c r="M30" s="110"/>
      <c r="N30" s="218">
        <v>37529</v>
      </c>
      <c r="O30" s="110"/>
      <c r="P30" s="110"/>
      <c r="Q30" s="110" t="s">
        <v>119</v>
      </c>
      <c r="R30" s="110" t="s">
        <v>146</v>
      </c>
      <c r="S30" s="110" t="str">
        <f>IFERROR(VLOOKUP('BMP P Tracking Table'!$R30,Dropdowns!$Q$3:$R$23,2,FALSE),"")</f>
        <v>Main Lake</v>
      </c>
      <c r="T30" s="110" t="s">
        <v>62</v>
      </c>
      <c r="U30" s="110" t="s">
        <v>47</v>
      </c>
      <c r="V30" s="110">
        <v>0.91</v>
      </c>
      <c r="W30" s="110" t="s">
        <v>219</v>
      </c>
      <c r="X30" s="110"/>
      <c r="Y30" s="110"/>
      <c r="Z30" s="110"/>
      <c r="AA30" s="110"/>
      <c r="AB30" s="110">
        <v>0.82</v>
      </c>
      <c r="AC30" s="113">
        <v>5217</v>
      </c>
      <c r="AD30" s="110" t="s">
        <v>206</v>
      </c>
      <c r="AE30" s="114">
        <f>IFERROR('BMP P Tracking Table'!$V30*VLOOKUP('BMP P Tracking Table'!$R30,'Loading Rates'!$B$1:$L$24,4,FALSE)+IF('BMP P Tracking Table'!$W30="By HSG",'BMP P Tracking Table'!$X30*VLOOKUP('BMP P Tracking Table'!$R30,'Loading Rates'!$B$1:$L$24,6,FALSE)+'BMP P Tracking Table'!$Y30*VLOOKUP('BMP P Tracking Table'!$R30,'Loading Rates'!$B$1:$L$24,7,FALSE)+'BMP P Tracking Table'!$Z30*VLOOKUP('BMP P Tracking Table'!$R30,'Loading Rates'!$B$1:$L$24,8,FALSE)+'BMP P Tracking Table'!$AA30*VLOOKUP('BMP P Tracking Table'!$R30,'Loading Rates'!$B$1:$L$24,9,FALSE),'BMP P Tracking Table'!$AB30*VLOOKUP('BMP P Tracking Table'!$R30,'Loading Rates'!$B$1:$L$24,10,FALSE)),"")</f>
        <v>1.2058899999999999</v>
      </c>
      <c r="AF30" s="114">
        <f>IFERROR(MIN(2,IF('BMP P Tracking Table'!$W30="Total Pervious",(-(3630*'BMP P Tracking Table'!$V30+20.691*'BMP P Tracking Table'!$AB30)+SQRT((3630*'BMP P Tracking Table'!$V30+20.691*'BMP P Tracking Table'!$AB30)^2-(4*(996.798*'BMP P Tracking Table'!$AB30)*-'BMP P Tracking Table'!$AC30)))/(2*(996.798*'BMP P Tracking Table'!$AB30)),IF(SUM('BMP P Tracking Table'!$X30:$AA30)=0,'BMP P Tracking Table'!$AC30/(-3630*'BMP P Tracking Table'!$V30),(-(3630*'BMP P Tracking Table'!$V30+20.691*'BMP P Tracking Table'!$AA30-216.711*'BMP P Tracking Table'!$Z30-83.853*'BMP P Tracking Table'!$Y30-42.834*'BMP P Tracking Table'!$X30)+SQRT((3630*'BMP P Tracking Table'!$V30+20.691*'BMP P Tracking Table'!$AA30-216.711*'BMP P Tracking Table'!$Z30-83.853*'BMP P Tracking Table'!$Y30-42.834*'BMP P Tracking Table'!$X30)^2-(4*(149.919*'BMP P Tracking Table'!$X30+236.676*'BMP P Tracking Table'!$Y30+726*'BMP P Tracking Table'!$Z30+996.798*'BMP P Tracking Table'!$AA30)*-'BMP P Tracking Table'!$AC30)))/(2*(149.919*'BMP P Tracking Table'!$X30+236.676*'BMP P Tracking Table'!$Y30+726*'BMP P Tracking Table'!$Z30+996.798*'BMP P Tracking Table'!$AA30))))),"")</f>
        <v>1.2105208012149675</v>
      </c>
      <c r="AG30" s="114">
        <f>IFERROR((VLOOKUP(CONCATENATE('BMP P Tracking Table'!$U30," ",'BMP P Tracking Table'!$AD30),'Performance Curves'!$C$1:$L$46,_xlfn.SINGLE(MATCH('BMP P Tracking Table'!$AF30,'Performance Curves'!$D$1:$L$1,1))+2,FALSE)-VLOOKUP(CONCATENATE('BMP P Tracking Table'!$U30," ",'BMP P Tracking Table'!$AD30),'Performance Curves'!$C$1:$L$46,_xlfn.SINGLE(MATCH('BMP P Tracking Table'!$AF30,'Performance Curves'!$D$1:$L$1,1))+1,FALSE)),"")</f>
        <v>2.0000000000000018E-2</v>
      </c>
      <c r="AH30" s="114">
        <f>IFERROR(('BMP P Tracking Table'!$AF30-INDEX('Performance Curves'!$D$1:$L$1,1,MATCH('BMP P Tracking Table'!$AF30,'Performance Curves'!$D$1:$L$1,1)))/(INDEX('Performance Curves'!$D$1:$L$1,1,MATCH('BMP P Tracking Table'!$AF30,'Performance Curves'!$D$1:$L$1,1)+1)-INDEX('Performance Curves'!$D$1:$L$1,1,MATCH('BMP P Tracking Table'!$AF30,'Performance Curves'!$D$1:$L$1,1))),"")</f>
        <v>0.42104160242993505</v>
      </c>
      <c r="AI30" s="115">
        <f>IFERROR(IF('BMP P Tracking Table'!$AF30=2,VLOOKUP(CONCATENATE('BMP P Tracking Table'!$U30," ",'BMP P Tracking Table'!$AD30),'Performance Curves'!$C$1:$L$46,_xlfn.SINGLE(MATCH('BMP P Tracking Table'!$AF30,'Performance Curves'!$D$1:$L$1,1))+1,FALSE),'BMP P Tracking Table'!$AG30*'BMP P Tracking Table'!$AH30+VLOOKUP(CONCATENATE('BMP P Tracking Table'!$U30," ",'BMP P Tracking Table'!$AD30),'Performance Curves'!$C$1:$L$46,_xlfn.SINGLE(MATCH('BMP P Tracking Table'!$AF30,'Performance Curves'!$D$1:$L$1,1))+1,FALSE)),"")</f>
        <v>0.98842083204859865</v>
      </c>
      <c r="AJ30" s="114">
        <f>IFERROR('BMP P Tracking Table'!$AI30*'BMP P Tracking Table'!$AE30,"")</f>
        <v>1.1919267971590846</v>
      </c>
      <c r="AK30" s="110"/>
      <c r="AL30" s="116" t="s">
        <v>62</v>
      </c>
      <c r="AM30" s="116"/>
      <c r="AN30" s="117">
        <v>0.38</v>
      </c>
      <c r="AO30" s="118">
        <f>(IF(AL30="Yes",IF(BG30&gt;0,IF(ISBLANK(AK30),AJ30,AK30)-IF(ISBLANK(BF30),BE30,BF30),"Enter Info --&gt;"),IF(ISBLANK(AK30),AJ30,AK30))*AN30)</f>
        <v>0.45293218292045212</v>
      </c>
      <c r="AP30" s="116"/>
      <c r="AQ30" s="116"/>
      <c r="AR30" s="116"/>
      <c r="AS30" s="116"/>
      <c r="AT30" s="116"/>
      <c r="AU30" s="116"/>
      <c r="AV30" s="116"/>
      <c r="AW30" s="110"/>
      <c r="AX30" s="119"/>
      <c r="AY30" s="119"/>
      <c r="AZ30" s="114" t="str">
        <f>IF('BMP P Tracking Table'!$AL30="Yes",IF('BMP P Tracking Table'!$AM30="No",'BMP P Tracking Table'!$V30*VLOOKUP('BMP P Tracking Table'!$R30,'Loading Rates'!$B$1:$L$24,4,FALSE)+IF('BMP P Tracking Table'!$W30="By HSG",'BMP P Tracking Table'!$X30*VLOOKUP('BMP P Tracking Table'!$R30,'Loading Rates'!$B$1:$L$24,6,FALSE)+'BMP P Tracking Table'!$Y30*VLOOKUP('BMP P Tracking Table'!$R30,'Loading Rates'!$B$1:$L$24,7,FALSE)+'BMP P Tracking Table'!$Z30*VLOOKUP('BMP P Tracking Table'!$R30,'Loading Rates'!$B$1:$L$24,8,FALSE)+'BMP P Tracking Table'!$AA30*VLOOKUP('BMP P Tracking Table'!$R30,'Loading Rates'!$B$1:$L$24,9,FALSE),'BMP P Tracking Table'!$AB30*VLOOKUP('BMP P Tracking Table'!$R30,'Loading Rates'!$B$1:$L$24,10,FALSE)),'BMP P Tracking Table'!$AP30*VLOOKUP('BMP P Tracking Table'!$R30,'Loading Rates'!$B$1:$L$24,4,FALSE)+IF('BMP P Tracking Table'!$AQ30="By HSG",'BMP P Tracking Table'!$AR30*VLOOKUP('BMP P Tracking Table'!$R30,'Loading Rates'!$B$1:$L$24,6,FALSE)+'BMP P Tracking Table'!$AS30*VLOOKUP('BMP P Tracking Table'!$R30,'Loading Rates'!$B$1:$L$24,7,FALSE)+'BMP P Tracking Table'!$AT30*VLOOKUP('BMP P Tracking Table'!$R30,'Loading Rates'!$B$1:$L$24,8,FALSE)+'BMP P Tracking Table'!$AU30*VLOOKUP('BMP P Tracking Table'!$R30,'Loading Rates'!$B$1:$L$24,9,FALSE),'BMP P Tracking Table'!$AV30*VLOOKUP('BMP P Tracking Table'!$R30,'Loading Rates'!$B$1:$L$24,10,FALSE))),"")</f>
        <v/>
      </c>
      <c r="BA30" s="114">
        <f>IFERROR(IF('BMP P Tracking Table'!$AM30="Yes",MIN(2,IF('BMP P Tracking Table'!$AQ30="Total Pervious",(-(3630*'BMP P Tracking Table'!$AP30+20.691*'BMP P Tracking Table'!$AV30)+SQRT((3630*'BMP P Tracking Table'!$AP30+20.691*'BMP P Tracking Table'!$AV30)^2-(4*(996.798*'BMP P Tracking Table'!$AV30)*-'BMP P Tracking Table'!$AX30)))/(2*(996.798*'BMP P Tracking Table'!$AV30)),IF(SUM('BMP P Tracking Table'!$AR30:$AU30)=0,'BMP P Tracking Table'!$AV30/(-3630*'BMP P Tracking Table'!$AP30),(-(3630*'BMP P Tracking Table'!$AP30+20.691*'BMP P Tracking Table'!$AU30-216.711*'BMP P Tracking Table'!$AT30-83.853*'BMP P Tracking Table'!$AS30-42.834*'BMP P Tracking Table'!$AR30)+SQRT((3630*'BMP P Tracking Table'!$AP30+20.691*'BMP P Tracking Table'!$AU30-216.711*'BMP P Tracking Table'!$AT30-83.853*'BMP P Tracking Table'!$AS30-42.834*'BMP P Tracking Table'!$AR30)^2-(4*(149.919*'BMP P Tracking Table'!$AR30+236.676*'BMP P Tracking Table'!$AS30+726*'BMP P Tracking Table'!$AT30+996.798*'BMP P Tracking Table'!$AU30)*-'BMP P Tracking Table'!$AX30)))/(2*(149.919*'BMP P Tracking Table'!$AR30+236.676*'BMP P Tracking Table'!$AS30+726*'BMP P Tracking Table'!$AT30+996.798*'BMP P Tracking Table'!$AU30))))),MIN(2,IF('BMP P Tracking Table'!$AQ30="Total Pervious",(-(3630*'BMP P Tracking Table'!$V30+20.691*'BMP P Tracking Table'!$AB30)+SQRT((3630*'BMP P Tracking Table'!$V30+20.691*'BMP P Tracking Table'!$AB30)^2-(4*(996.798*'BMP P Tracking Table'!$AB30)*-'BMP P Tracking Table'!$AX30)))/(2*(996.798*'BMP P Tracking Table'!$AB30)),IF(SUM('BMP P Tracking Table'!$X30:$AA30)=0,'BMP P Tracking Table'!$AX30/(-3630*'BMP P Tracking Table'!$V30),(-(3630*'BMP P Tracking Table'!$V30+20.691*'BMP P Tracking Table'!$AA30-216.711*'BMP P Tracking Table'!$Z30-83.853*'BMP P Tracking Table'!$Y30-42.834*'BMP P Tracking Table'!$X30)+SQRT((3630*'BMP P Tracking Table'!$V30+20.691*'BMP P Tracking Table'!$AA30-216.711*'BMP P Tracking Table'!$Z30-83.853*'BMP P Tracking Table'!$Y30-42.834*'BMP P Tracking Table'!$X30)^2-(4*(149.919*'BMP P Tracking Table'!$X30+236.676*'BMP P Tracking Table'!$Y30+726*'BMP P Tracking Table'!$Z30+996.798*'BMP P Tracking Table'!$AA30)*-'BMP P Tracking Table'!$AX30)))/(2*(149.919*'BMP P Tracking Table'!$X30+236.676*'BMP P Tracking Table'!$Y30+726*'BMP P Tracking Table'!$Z30+996.798*'BMP P Tracking Table'!$AA30)))))),"")</f>
        <v>0</v>
      </c>
      <c r="BB30" s="118" t="str">
        <f>IFERROR((VLOOKUP(CONCATENATE('BMP P Tracking Table'!$AW30," ",'BMP P Tracking Table'!$AY30),'Performance Curves'!$C$1:$L$46,_xlfn.SINGLE(MATCH('BMP P Tracking Table'!$BA30,'Performance Curves'!$D$1:$L$1,1))+2,FALSE)-VLOOKUP(CONCATENATE('BMP P Tracking Table'!$AW30," ",'BMP P Tracking Table'!$AY30),'Performance Curves'!$C$1:$L$46,_xlfn.SINGLE(MATCH('BMP P Tracking Table'!$BA30,'Performance Curves'!$D$1:$L$1,1))+1,FALSE)),"")</f>
        <v/>
      </c>
      <c r="BC30" s="118">
        <f>IFERROR(('BMP P Tracking Table'!$BA30-INDEX('Performance Curves'!$D$1:$L$1,1,MATCH('BMP P Tracking Table'!$BA30,'Performance Curves'!$D$1:$L$1,1)))/(INDEX('Performance Curves'!$D$1:$L$1,1,MATCH('BMP P Tracking Table'!$BA30,'Performance Curves'!$D$1:$L$1,1)+1)-INDEX('Performance Curves'!$D$1:$L$1,1,MATCH('BMP P Tracking Table'!$BA30,'Performance Curves'!$D$1:$L$1,1))),"")</f>
        <v>0</v>
      </c>
      <c r="BD30" s="115" t="str" cm="1">
        <f t="array" ref="BD30">IFERROR(IF('BMP P Tracking Table'!$BA30=2,VLOOKUP(CONCATENATE('BMP P Tracking Table'!$AW30," ",'BMP P Tracking Table'!$AY30),'Performance Curves'!$C$1:$L$44,_xlfn.SINGLE(MATCH('BMP P Tracking Table'!$BA30,'Performance Curves'!$D$1:$L$1,1))+1,FALSE),'BMP P Tracking Table'!$BB30*'BMP P Tracking Table'!$BC30+VLOOKUP(CONCATENATE('BMP P Tracking Table'!$AW30," ",'BMP P Tracking Table'!$AY30),'Performance Curves'!$C$1:$L$44,_xlfn.SINGLE(MATCH('BMP P Tracking Table'!$BA30,'Performance Curves'!$D$1:$L$1,1))+1,FALSE)),"")</f>
        <v/>
      </c>
      <c r="BE30" s="114" t="str">
        <f>IFERROR('BMP P Tracking Table'!$BD30*'BMP P Tracking Table'!$AZ30,"")</f>
        <v/>
      </c>
      <c r="BF30" s="116"/>
      <c r="BG30" s="120">
        <f t="shared" si="3"/>
        <v>0</v>
      </c>
      <c r="BH30" s="121" t="s">
        <v>648</v>
      </c>
      <c r="BI30" s="36" t="str">
        <f t="shared" si="1"/>
        <v xml:space="preserve">3790-9010.R1 </v>
      </c>
      <c r="BJ30" s="36" t="str">
        <f t="shared" si="2"/>
        <v>Oak Ridge-Forestdale Drywells SN 001</v>
      </c>
      <c r="BK30" s="121"/>
      <c r="BL30" s="121"/>
      <c r="BM30" s="121"/>
    </row>
    <row r="31" spans="1:65" s="36" customFormat="1">
      <c r="A31" s="217" t="s">
        <v>588</v>
      </c>
      <c r="B31" s="110" t="s">
        <v>588</v>
      </c>
      <c r="C31" s="110" t="s">
        <v>590</v>
      </c>
      <c r="D31" s="110" t="s">
        <v>327</v>
      </c>
      <c r="E31" s="110" t="s">
        <v>9</v>
      </c>
      <c r="F31" s="111"/>
      <c r="G31" s="111"/>
      <c r="H31" s="110" t="s">
        <v>588</v>
      </c>
      <c r="I31" s="110"/>
      <c r="J31" s="110" t="s">
        <v>66</v>
      </c>
      <c r="K31" s="112"/>
      <c r="L31" s="110" t="s">
        <v>111</v>
      </c>
      <c r="M31" s="110"/>
      <c r="N31" s="218">
        <v>37529</v>
      </c>
      <c r="O31" s="110"/>
      <c r="P31" s="110"/>
      <c r="Q31" s="110" t="s">
        <v>119</v>
      </c>
      <c r="R31" s="110" t="s">
        <v>146</v>
      </c>
      <c r="S31" s="110" t="str">
        <f>IFERROR(VLOOKUP('BMP P Tracking Table'!$R31,Dropdowns!$Q$3:$R$23,2,FALSE),"")</f>
        <v>Main Lake</v>
      </c>
      <c r="T31" s="110" t="s">
        <v>62</v>
      </c>
      <c r="U31" s="110" t="s">
        <v>47</v>
      </c>
      <c r="V31" s="110">
        <v>0.9</v>
      </c>
      <c r="W31" s="110" t="s">
        <v>219</v>
      </c>
      <c r="X31" s="110"/>
      <c r="Y31" s="110"/>
      <c r="Z31" s="110"/>
      <c r="AA31" s="110"/>
      <c r="AB31" s="110">
        <v>0.85</v>
      </c>
      <c r="AC31" s="113">
        <v>5217</v>
      </c>
      <c r="AD31" s="110" t="s">
        <v>206</v>
      </c>
      <c r="AE31" s="114">
        <f>IFERROR('BMP P Tracking Table'!$V31*VLOOKUP('BMP P Tracking Table'!$R31,'Loading Rates'!$B$1:$L$24,4,FALSE)+IF('BMP P Tracking Table'!$W31="By HSG",'BMP P Tracking Table'!$X31*VLOOKUP('BMP P Tracking Table'!$R31,'Loading Rates'!$B$1:$L$24,6,FALSE)+'BMP P Tracking Table'!$Y31*VLOOKUP('BMP P Tracking Table'!$R31,'Loading Rates'!$B$1:$L$24,7,FALSE)+'BMP P Tracking Table'!$Z31*VLOOKUP('BMP P Tracking Table'!$R31,'Loading Rates'!$B$1:$L$24,8,FALSE)+'BMP P Tracking Table'!$AA31*VLOOKUP('BMP P Tracking Table'!$R31,'Loading Rates'!$B$1:$L$24,9,FALSE),'BMP P Tracking Table'!$AB31*VLOOKUP('BMP P Tracking Table'!$R31,'Loading Rates'!$B$1:$L$24,10,FALSE)),"")</f>
        <v>1.2016500000000001</v>
      </c>
      <c r="AF31" s="114">
        <f>IFERROR(MIN(2,IF('BMP P Tracking Table'!$W31="Total Pervious",(-(3630*'BMP P Tracking Table'!$V31+20.691*'BMP P Tracking Table'!$AB31)+SQRT((3630*'BMP P Tracking Table'!$V31+20.691*'BMP P Tracking Table'!$AB31)^2-(4*(996.798*'BMP P Tracking Table'!$AB31)*-'BMP P Tracking Table'!$AC31)))/(2*(996.798*'BMP P Tracking Table'!$AB31)),IF(SUM('BMP P Tracking Table'!$X31:$AA31)=0,'BMP P Tracking Table'!$AC31/(-3630*'BMP P Tracking Table'!$V31),(-(3630*'BMP P Tracking Table'!$V31+20.691*'BMP P Tracking Table'!$AA31-216.711*'BMP P Tracking Table'!$Z31-83.853*'BMP P Tracking Table'!$Y31-42.834*'BMP P Tracking Table'!$X31)+SQRT((3630*'BMP P Tracking Table'!$V31+20.691*'BMP P Tracking Table'!$AA31-216.711*'BMP P Tracking Table'!$Z31-83.853*'BMP P Tracking Table'!$Y31-42.834*'BMP P Tracking Table'!$X31)^2-(4*(149.919*'BMP P Tracking Table'!$X31+236.676*'BMP P Tracking Table'!$Y31+726*'BMP P Tracking Table'!$Z31+996.798*'BMP P Tracking Table'!$AA31)*-'BMP P Tracking Table'!$AC31)))/(2*(149.919*'BMP P Tracking Table'!$X31+236.676*'BMP P Tracking Table'!$Y31+726*'BMP P Tracking Table'!$Z31+996.798*'BMP P Tracking Table'!$AA31))))),"")</f>
        <v>1.2104028134311162</v>
      </c>
      <c r="AG31" s="114">
        <f>IFERROR((VLOOKUP(CONCATENATE('BMP P Tracking Table'!$U31," ",'BMP P Tracking Table'!$AD31),'Performance Curves'!$C$1:$L$46,_xlfn.SINGLE(MATCH('BMP P Tracking Table'!$AF31,'Performance Curves'!$D$1:$L$1,1))+2,FALSE)-VLOOKUP(CONCATENATE('BMP P Tracking Table'!$U31," ",'BMP P Tracking Table'!$AD31),'Performance Curves'!$C$1:$L$46,_xlfn.SINGLE(MATCH('BMP P Tracking Table'!$AF31,'Performance Curves'!$D$1:$L$1,1))+1,FALSE)),"")</f>
        <v>2.0000000000000018E-2</v>
      </c>
      <c r="AH31" s="114">
        <f>IFERROR(('BMP P Tracking Table'!$AF31-INDEX('Performance Curves'!$D$1:$L$1,1,MATCH('BMP P Tracking Table'!$AF31,'Performance Curves'!$D$1:$L$1,1)))/(INDEX('Performance Curves'!$D$1:$L$1,1,MATCH('BMP P Tracking Table'!$AF31,'Performance Curves'!$D$1:$L$1,1)+1)-INDEX('Performance Curves'!$D$1:$L$1,1,MATCH('BMP P Tracking Table'!$AF31,'Performance Curves'!$D$1:$L$1,1))),"")</f>
        <v>0.42080562686223244</v>
      </c>
      <c r="AI31" s="115">
        <f>IFERROR(IF('BMP P Tracking Table'!$AF31=2,VLOOKUP(CONCATENATE('BMP P Tracking Table'!$U31," ",'BMP P Tracking Table'!$AD31),'Performance Curves'!$C$1:$L$46,_xlfn.SINGLE(MATCH('BMP P Tracking Table'!$AF31,'Performance Curves'!$D$1:$L$1,1))+1,FALSE),'BMP P Tracking Table'!$AG31*'BMP P Tracking Table'!$AH31+VLOOKUP(CONCATENATE('BMP P Tracking Table'!$U31," ",'BMP P Tracking Table'!$AD31),'Performance Curves'!$C$1:$L$46,_xlfn.SINGLE(MATCH('BMP P Tracking Table'!$AF31,'Performance Curves'!$D$1:$L$1,1))+1,FALSE)),"")</f>
        <v>0.9884161125372446</v>
      </c>
      <c r="AJ31" s="114">
        <f>IFERROR('BMP P Tracking Table'!$AI31*'BMP P Tracking Table'!$AE31,"")</f>
        <v>1.18773022163038</v>
      </c>
      <c r="AK31" s="110"/>
      <c r="AL31" s="116" t="s">
        <v>62</v>
      </c>
      <c r="AM31" s="116"/>
      <c r="AN31" s="117">
        <v>0.38</v>
      </c>
      <c r="AO31" s="118">
        <f t="shared" ref="AO31:AO39" si="4">(IF(AL31="Yes",IF(BG31&gt;0,IF(ISBLANK(AK31),AJ31,AK31)-IF(ISBLANK(BF31),BE31,BF31),"Enter Info --&gt;"),IF(ISBLANK(AK31),AJ31,AK31))*AN31)</f>
        <v>0.45133748421954439</v>
      </c>
      <c r="AP31" s="116"/>
      <c r="AQ31" s="116"/>
      <c r="AR31" s="116"/>
      <c r="AS31" s="116"/>
      <c r="AT31" s="116"/>
      <c r="AU31" s="116"/>
      <c r="AV31" s="116"/>
      <c r="AW31" s="110"/>
      <c r="AX31" s="119"/>
      <c r="AY31" s="119"/>
      <c r="AZ31" s="114" t="str">
        <f>IF('BMP P Tracking Table'!$AL31="Yes",IF('BMP P Tracking Table'!$AM31="No",'BMP P Tracking Table'!$V31*VLOOKUP('BMP P Tracking Table'!$R31,'Loading Rates'!$B$1:$L$24,4,FALSE)+IF('BMP P Tracking Table'!$W31="By HSG",'BMP P Tracking Table'!$X31*VLOOKUP('BMP P Tracking Table'!$R31,'Loading Rates'!$B$1:$L$24,6,FALSE)+'BMP P Tracking Table'!$Y31*VLOOKUP('BMP P Tracking Table'!$R31,'Loading Rates'!$B$1:$L$24,7,FALSE)+'BMP P Tracking Table'!$Z31*VLOOKUP('BMP P Tracking Table'!$R31,'Loading Rates'!$B$1:$L$24,8,FALSE)+'BMP P Tracking Table'!$AA31*VLOOKUP('BMP P Tracking Table'!$R31,'Loading Rates'!$B$1:$L$24,9,FALSE),'BMP P Tracking Table'!$AB31*VLOOKUP('BMP P Tracking Table'!$R31,'Loading Rates'!$B$1:$L$24,10,FALSE)),'BMP P Tracking Table'!$AP31*VLOOKUP('BMP P Tracking Table'!$R31,'Loading Rates'!$B$1:$L$24,4,FALSE)+IF('BMP P Tracking Table'!$AQ31="By HSG",'BMP P Tracking Table'!$AR31*VLOOKUP('BMP P Tracking Table'!$R31,'Loading Rates'!$B$1:$L$24,6,FALSE)+'BMP P Tracking Table'!$AS31*VLOOKUP('BMP P Tracking Table'!$R31,'Loading Rates'!$B$1:$L$24,7,FALSE)+'BMP P Tracking Table'!$AT31*VLOOKUP('BMP P Tracking Table'!$R31,'Loading Rates'!$B$1:$L$24,8,FALSE)+'BMP P Tracking Table'!$AU31*VLOOKUP('BMP P Tracking Table'!$R31,'Loading Rates'!$B$1:$L$24,9,FALSE),'BMP P Tracking Table'!$AV31*VLOOKUP('BMP P Tracking Table'!$R31,'Loading Rates'!$B$1:$L$24,10,FALSE))),"")</f>
        <v/>
      </c>
      <c r="BA31" s="114">
        <f>IFERROR(IF('BMP P Tracking Table'!$AM31="Yes",MIN(2,IF('BMP P Tracking Table'!$AQ31="Total Pervious",(-(3630*'BMP P Tracking Table'!$AP31+20.691*'BMP P Tracking Table'!$AV31)+SQRT((3630*'BMP P Tracking Table'!$AP31+20.691*'BMP P Tracking Table'!$AV31)^2-(4*(996.798*'BMP P Tracking Table'!$AV31)*-'BMP P Tracking Table'!$AX31)))/(2*(996.798*'BMP P Tracking Table'!$AV31)),IF(SUM('BMP P Tracking Table'!$AR31:$AU31)=0,'BMP P Tracking Table'!$AV31/(-3630*'BMP P Tracking Table'!$AP31),(-(3630*'BMP P Tracking Table'!$AP31+20.691*'BMP P Tracking Table'!$AU31-216.711*'BMP P Tracking Table'!$AT31-83.853*'BMP P Tracking Table'!$AS31-42.834*'BMP P Tracking Table'!$AR31)+SQRT((3630*'BMP P Tracking Table'!$AP31+20.691*'BMP P Tracking Table'!$AU31-216.711*'BMP P Tracking Table'!$AT31-83.853*'BMP P Tracking Table'!$AS31-42.834*'BMP P Tracking Table'!$AR31)^2-(4*(149.919*'BMP P Tracking Table'!$AR31+236.676*'BMP P Tracking Table'!$AS31+726*'BMP P Tracking Table'!$AT31+996.798*'BMP P Tracking Table'!$AU31)*-'BMP P Tracking Table'!$AX31)))/(2*(149.919*'BMP P Tracking Table'!$AR31+236.676*'BMP P Tracking Table'!$AS31+726*'BMP P Tracking Table'!$AT31+996.798*'BMP P Tracking Table'!$AU31))))),MIN(2,IF('BMP P Tracking Table'!$AQ31="Total Pervious",(-(3630*'BMP P Tracking Table'!$V31+20.691*'BMP P Tracking Table'!$AB31)+SQRT((3630*'BMP P Tracking Table'!$V31+20.691*'BMP P Tracking Table'!$AB31)^2-(4*(996.798*'BMP P Tracking Table'!$AB31)*-'BMP P Tracking Table'!$AX31)))/(2*(996.798*'BMP P Tracking Table'!$AB31)),IF(SUM('BMP P Tracking Table'!$X31:$AA31)=0,'BMP P Tracking Table'!$AX31/(-3630*'BMP P Tracking Table'!$V31),(-(3630*'BMP P Tracking Table'!$V31+20.691*'BMP P Tracking Table'!$AA31-216.711*'BMP P Tracking Table'!$Z31-83.853*'BMP P Tracking Table'!$Y31-42.834*'BMP P Tracking Table'!$X31)+SQRT((3630*'BMP P Tracking Table'!$V31+20.691*'BMP P Tracking Table'!$AA31-216.711*'BMP P Tracking Table'!$Z31-83.853*'BMP P Tracking Table'!$Y31-42.834*'BMP P Tracking Table'!$X31)^2-(4*(149.919*'BMP P Tracking Table'!$X31+236.676*'BMP P Tracking Table'!$Y31+726*'BMP P Tracking Table'!$Z31+996.798*'BMP P Tracking Table'!$AA31)*-'BMP P Tracking Table'!$AX31)))/(2*(149.919*'BMP P Tracking Table'!$X31+236.676*'BMP P Tracking Table'!$Y31+726*'BMP P Tracking Table'!$Z31+996.798*'BMP P Tracking Table'!$AA31)))))),"")</f>
        <v>0</v>
      </c>
      <c r="BB31" s="118" t="str">
        <f>IFERROR((VLOOKUP(CONCATENATE('BMP P Tracking Table'!$AW31," ",'BMP P Tracking Table'!$AY31),'Performance Curves'!$C$1:$L$46,_xlfn.SINGLE(MATCH('BMP P Tracking Table'!$BA31,'Performance Curves'!$D$1:$L$1,1))+2,FALSE)-VLOOKUP(CONCATENATE('BMP P Tracking Table'!$AW31," ",'BMP P Tracking Table'!$AY31),'Performance Curves'!$C$1:$L$46,_xlfn.SINGLE(MATCH('BMP P Tracking Table'!$BA31,'Performance Curves'!$D$1:$L$1,1))+1,FALSE)),"")</f>
        <v/>
      </c>
      <c r="BC31" s="118">
        <f>IFERROR(('BMP P Tracking Table'!$BA31-INDEX('Performance Curves'!$D$1:$L$1,1,MATCH('BMP P Tracking Table'!$BA31,'Performance Curves'!$D$1:$L$1,1)))/(INDEX('Performance Curves'!$D$1:$L$1,1,MATCH('BMP P Tracking Table'!$BA31,'Performance Curves'!$D$1:$L$1,1)+1)-INDEX('Performance Curves'!$D$1:$L$1,1,MATCH('BMP P Tracking Table'!$BA31,'Performance Curves'!$D$1:$L$1,1))),"")</f>
        <v>0</v>
      </c>
      <c r="BD31" s="115" t="str" cm="1">
        <f t="array" ref="BD31">IFERROR(IF('BMP P Tracking Table'!$BA31=2,VLOOKUP(CONCATENATE('BMP P Tracking Table'!$AW31," ",'BMP P Tracking Table'!$AY31),'Performance Curves'!$C$1:$L$44,_xlfn.SINGLE(MATCH('BMP P Tracking Table'!$BA31,'Performance Curves'!$D$1:$L$1,1))+1,FALSE),'BMP P Tracking Table'!$BB31*'BMP P Tracking Table'!$BC31+VLOOKUP(CONCATENATE('BMP P Tracking Table'!$AW31," ",'BMP P Tracking Table'!$AY31),'Performance Curves'!$C$1:$L$44,_xlfn.SINGLE(MATCH('BMP P Tracking Table'!$BA31,'Performance Curves'!$D$1:$L$1,1))+1,FALSE)),"")</f>
        <v/>
      </c>
      <c r="BE31" s="114" t="str">
        <f>IFERROR('BMP P Tracking Table'!$BD31*'BMP P Tracking Table'!$AZ31,"")</f>
        <v/>
      </c>
      <c r="BF31" s="116"/>
      <c r="BG31" s="120">
        <f t="shared" si="3"/>
        <v>0</v>
      </c>
      <c r="BH31" s="121" t="s">
        <v>648</v>
      </c>
      <c r="BI31" s="36" t="str">
        <f t="shared" si="1"/>
        <v xml:space="preserve">3790-9010.R1 </v>
      </c>
      <c r="BJ31" s="36" t="str">
        <f t="shared" si="2"/>
        <v>Oak Ridge-Forestdale Drywells SN 002</v>
      </c>
      <c r="BK31" s="121"/>
      <c r="BL31" s="121"/>
      <c r="BM31" s="121"/>
    </row>
    <row r="32" spans="1:65" s="36" customFormat="1">
      <c r="A32" s="217" t="s">
        <v>588</v>
      </c>
      <c r="B32" s="110" t="s">
        <v>588</v>
      </c>
      <c r="C32" s="110" t="s">
        <v>591</v>
      </c>
      <c r="D32" s="110" t="s">
        <v>327</v>
      </c>
      <c r="E32" s="110" t="s">
        <v>9</v>
      </c>
      <c r="F32" s="111"/>
      <c r="G32" s="111"/>
      <c r="H32" s="110" t="s">
        <v>588</v>
      </c>
      <c r="I32" s="110"/>
      <c r="J32" s="110" t="s">
        <v>66</v>
      </c>
      <c r="K32" s="112"/>
      <c r="L32" s="110" t="s">
        <v>111</v>
      </c>
      <c r="M32" s="110"/>
      <c r="N32" s="218">
        <v>37529</v>
      </c>
      <c r="O32" s="110"/>
      <c r="P32" s="110"/>
      <c r="Q32" s="110" t="s">
        <v>119</v>
      </c>
      <c r="R32" s="110" t="s">
        <v>146</v>
      </c>
      <c r="S32" s="110" t="str">
        <f>IFERROR(VLOOKUP('BMP P Tracking Table'!$R32,Dropdowns!$Q$3:$R$23,2,FALSE),"")</f>
        <v>Main Lake</v>
      </c>
      <c r="T32" s="110" t="s">
        <v>62</v>
      </c>
      <c r="U32" s="110" t="s">
        <v>47</v>
      </c>
      <c r="V32" s="110">
        <v>1.08</v>
      </c>
      <c r="W32" s="110" t="s">
        <v>219</v>
      </c>
      <c r="X32" s="110"/>
      <c r="Y32" s="110"/>
      <c r="Z32" s="110"/>
      <c r="AA32" s="110"/>
      <c r="AB32" s="110">
        <v>1.1599999999999999</v>
      </c>
      <c r="AC32" s="113">
        <v>6827</v>
      </c>
      <c r="AD32" s="110" t="s">
        <v>206</v>
      </c>
      <c r="AE32" s="114">
        <f>IFERROR('BMP P Tracking Table'!$V32*VLOOKUP('BMP P Tracking Table'!$R32,'Loading Rates'!$B$1:$L$24,4,FALSE)+IF('BMP P Tracking Table'!$W32="By HSG",'BMP P Tracking Table'!$X32*VLOOKUP('BMP P Tracking Table'!$R32,'Loading Rates'!$B$1:$L$24,6,FALSE)+'BMP P Tracking Table'!$Y32*VLOOKUP('BMP P Tracking Table'!$R32,'Loading Rates'!$B$1:$L$24,7,FALSE)+'BMP P Tracking Table'!$Z32*VLOOKUP('BMP P Tracking Table'!$R32,'Loading Rates'!$B$1:$L$24,8,FALSE)+'BMP P Tracking Table'!$AA32*VLOOKUP('BMP P Tracking Table'!$R32,'Loading Rates'!$B$1:$L$24,9,FALSE),'BMP P Tracking Table'!$AB32*VLOOKUP('BMP P Tracking Table'!$R32,'Loading Rates'!$B$1:$L$24,10,FALSE)),"")</f>
        <v>1.4743200000000001</v>
      </c>
      <c r="AF32" s="114">
        <f>IFERROR(MIN(2,IF('BMP P Tracking Table'!$W32="Total Pervious",(-(3630*'BMP P Tracking Table'!$V32+20.691*'BMP P Tracking Table'!$AB32)+SQRT((3630*'BMP P Tracking Table'!$V32+20.691*'BMP P Tracking Table'!$AB32)^2-(4*(996.798*'BMP P Tracking Table'!$AB32)*-'BMP P Tracking Table'!$AC32)))/(2*(996.798*'BMP P Tracking Table'!$AB32)),IF(SUM('BMP P Tracking Table'!$X32:$AA32)=0,'BMP P Tracking Table'!$AC32/(-3630*'BMP P Tracking Table'!$V32),(-(3630*'BMP P Tracking Table'!$V32+20.691*'BMP P Tracking Table'!$AA32-216.711*'BMP P Tracking Table'!$Z32-83.853*'BMP P Tracking Table'!$Y32-42.834*'BMP P Tracking Table'!$X32)+SQRT((3630*'BMP P Tracking Table'!$V32+20.691*'BMP P Tracking Table'!$AA32-216.711*'BMP P Tracking Table'!$Z32-83.853*'BMP P Tracking Table'!$Y32-42.834*'BMP P Tracking Table'!$X32)^2-(4*(149.919*'BMP P Tracking Table'!$X32+236.676*'BMP P Tracking Table'!$Y32+726*'BMP P Tracking Table'!$Z32+996.798*'BMP P Tracking Table'!$AA32)*-'BMP P Tracking Table'!$AC32)))/(2*(149.919*'BMP P Tracking Table'!$X32+236.676*'BMP P Tracking Table'!$Y32+726*'BMP P Tracking Table'!$Z32+996.798*'BMP P Tracking Table'!$AA32))))),"")</f>
        <v>1.2631092096839496</v>
      </c>
      <c r="AG32" s="114">
        <f>IFERROR((VLOOKUP(CONCATENATE('BMP P Tracking Table'!$U32," ",'BMP P Tracking Table'!$AD32),'Performance Curves'!$C$1:$L$46,_xlfn.SINGLE(MATCH('BMP P Tracking Table'!$AF32,'Performance Curves'!$D$1:$L$1,1))+2,FALSE)-VLOOKUP(CONCATENATE('BMP P Tracking Table'!$U32," ",'BMP P Tracking Table'!$AD32),'Performance Curves'!$C$1:$L$46,_xlfn.SINGLE(MATCH('BMP P Tracking Table'!$AF32,'Performance Curves'!$D$1:$L$1,1))+1,FALSE)),"")</f>
        <v>2.0000000000000018E-2</v>
      </c>
      <c r="AH32" s="114">
        <f>IFERROR(('BMP P Tracking Table'!$AF32-INDEX('Performance Curves'!$D$1:$L$1,1,MATCH('BMP P Tracking Table'!$AF32,'Performance Curves'!$D$1:$L$1,1)))/(INDEX('Performance Curves'!$D$1:$L$1,1,MATCH('BMP P Tracking Table'!$AF32,'Performance Curves'!$D$1:$L$1,1)+1)-INDEX('Performance Curves'!$D$1:$L$1,1,MATCH('BMP P Tracking Table'!$AF32,'Performance Curves'!$D$1:$L$1,1))),"")</f>
        <v>0.52621841936789915</v>
      </c>
      <c r="AI32" s="115">
        <f>IFERROR(IF('BMP P Tracking Table'!$AF32=2,VLOOKUP(CONCATENATE('BMP P Tracking Table'!$U32," ",'BMP P Tracking Table'!$AD32),'Performance Curves'!$C$1:$L$46,_xlfn.SINGLE(MATCH('BMP P Tracking Table'!$AF32,'Performance Curves'!$D$1:$L$1,1))+1,FALSE),'BMP P Tracking Table'!$AG32*'BMP P Tracking Table'!$AH32+VLOOKUP(CONCATENATE('BMP P Tracking Table'!$U32," ",'BMP P Tracking Table'!$AD32),'Performance Curves'!$C$1:$L$46,_xlfn.SINGLE(MATCH('BMP P Tracking Table'!$AF32,'Performance Curves'!$D$1:$L$1,1))+1,FALSE)),"")</f>
        <v>0.99052436838735802</v>
      </c>
      <c r="AJ32" s="114">
        <f>IFERROR('BMP P Tracking Table'!$AI32*'BMP P Tracking Table'!$AE32,"")</f>
        <v>1.4603498868008498</v>
      </c>
      <c r="AK32" s="110"/>
      <c r="AL32" s="116" t="s">
        <v>62</v>
      </c>
      <c r="AM32" s="116"/>
      <c r="AN32" s="117">
        <v>0.41</v>
      </c>
      <c r="AO32" s="118">
        <f t="shared" si="4"/>
        <v>0.59874345358834835</v>
      </c>
      <c r="AP32" s="116"/>
      <c r="AQ32" s="116"/>
      <c r="AR32" s="116"/>
      <c r="AS32" s="116"/>
      <c r="AT32" s="116"/>
      <c r="AU32" s="116"/>
      <c r="AV32" s="116"/>
      <c r="AW32" s="110"/>
      <c r="AX32" s="119"/>
      <c r="AY32" s="119"/>
      <c r="AZ32" s="114" t="str">
        <f>IF('BMP P Tracking Table'!$AL32="Yes",IF('BMP P Tracking Table'!$AM32="No",'BMP P Tracking Table'!$V32*VLOOKUP('BMP P Tracking Table'!$R32,'Loading Rates'!$B$1:$L$24,4,FALSE)+IF('BMP P Tracking Table'!$W32="By HSG",'BMP P Tracking Table'!$X32*VLOOKUP('BMP P Tracking Table'!$R32,'Loading Rates'!$B$1:$L$24,6,FALSE)+'BMP P Tracking Table'!$Y32*VLOOKUP('BMP P Tracking Table'!$R32,'Loading Rates'!$B$1:$L$24,7,FALSE)+'BMP P Tracking Table'!$Z32*VLOOKUP('BMP P Tracking Table'!$R32,'Loading Rates'!$B$1:$L$24,8,FALSE)+'BMP P Tracking Table'!$AA32*VLOOKUP('BMP P Tracking Table'!$R32,'Loading Rates'!$B$1:$L$24,9,FALSE),'BMP P Tracking Table'!$AB32*VLOOKUP('BMP P Tracking Table'!$R32,'Loading Rates'!$B$1:$L$24,10,FALSE)),'BMP P Tracking Table'!$AP32*VLOOKUP('BMP P Tracking Table'!$R32,'Loading Rates'!$B$1:$L$24,4,FALSE)+IF('BMP P Tracking Table'!$AQ32="By HSG",'BMP P Tracking Table'!$AR32*VLOOKUP('BMP P Tracking Table'!$R32,'Loading Rates'!$B$1:$L$24,6,FALSE)+'BMP P Tracking Table'!$AS32*VLOOKUP('BMP P Tracking Table'!$R32,'Loading Rates'!$B$1:$L$24,7,FALSE)+'BMP P Tracking Table'!$AT32*VLOOKUP('BMP P Tracking Table'!$R32,'Loading Rates'!$B$1:$L$24,8,FALSE)+'BMP P Tracking Table'!$AU32*VLOOKUP('BMP P Tracking Table'!$R32,'Loading Rates'!$B$1:$L$24,9,FALSE),'BMP P Tracking Table'!$AV32*VLOOKUP('BMP P Tracking Table'!$R32,'Loading Rates'!$B$1:$L$24,10,FALSE))),"")</f>
        <v/>
      </c>
      <c r="BA32" s="114">
        <f>IFERROR(IF('BMP P Tracking Table'!$AM32="Yes",MIN(2,IF('BMP P Tracking Table'!$AQ32="Total Pervious",(-(3630*'BMP P Tracking Table'!$AP32+20.691*'BMP P Tracking Table'!$AV32)+SQRT((3630*'BMP P Tracking Table'!$AP32+20.691*'BMP P Tracking Table'!$AV32)^2-(4*(996.798*'BMP P Tracking Table'!$AV32)*-'BMP P Tracking Table'!$AX32)))/(2*(996.798*'BMP P Tracking Table'!$AV32)),IF(SUM('BMP P Tracking Table'!$AR32:$AU32)=0,'BMP P Tracking Table'!$AV32/(-3630*'BMP P Tracking Table'!$AP32),(-(3630*'BMP P Tracking Table'!$AP32+20.691*'BMP P Tracking Table'!$AU32-216.711*'BMP P Tracking Table'!$AT32-83.853*'BMP P Tracking Table'!$AS32-42.834*'BMP P Tracking Table'!$AR32)+SQRT((3630*'BMP P Tracking Table'!$AP32+20.691*'BMP P Tracking Table'!$AU32-216.711*'BMP P Tracking Table'!$AT32-83.853*'BMP P Tracking Table'!$AS32-42.834*'BMP P Tracking Table'!$AR32)^2-(4*(149.919*'BMP P Tracking Table'!$AR32+236.676*'BMP P Tracking Table'!$AS32+726*'BMP P Tracking Table'!$AT32+996.798*'BMP P Tracking Table'!$AU32)*-'BMP P Tracking Table'!$AX32)))/(2*(149.919*'BMP P Tracking Table'!$AR32+236.676*'BMP P Tracking Table'!$AS32+726*'BMP P Tracking Table'!$AT32+996.798*'BMP P Tracking Table'!$AU32))))),MIN(2,IF('BMP P Tracking Table'!$AQ32="Total Pervious",(-(3630*'BMP P Tracking Table'!$V32+20.691*'BMP P Tracking Table'!$AB32)+SQRT((3630*'BMP P Tracking Table'!$V32+20.691*'BMP P Tracking Table'!$AB32)^2-(4*(996.798*'BMP P Tracking Table'!$AB32)*-'BMP P Tracking Table'!$AX32)))/(2*(996.798*'BMP P Tracking Table'!$AB32)),IF(SUM('BMP P Tracking Table'!$X32:$AA32)=0,'BMP P Tracking Table'!$AX32/(-3630*'BMP P Tracking Table'!$V32),(-(3630*'BMP P Tracking Table'!$V32+20.691*'BMP P Tracking Table'!$AA32-216.711*'BMP P Tracking Table'!$Z32-83.853*'BMP P Tracking Table'!$Y32-42.834*'BMP P Tracking Table'!$X32)+SQRT((3630*'BMP P Tracking Table'!$V32+20.691*'BMP P Tracking Table'!$AA32-216.711*'BMP P Tracking Table'!$Z32-83.853*'BMP P Tracking Table'!$Y32-42.834*'BMP P Tracking Table'!$X32)^2-(4*(149.919*'BMP P Tracking Table'!$X32+236.676*'BMP P Tracking Table'!$Y32+726*'BMP P Tracking Table'!$Z32+996.798*'BMP P Tracking Table'!$AA32)*-'BMP P Tracking Table'!$AX32)))/(2*(149.919*'BMP P Tracking Table'!$X32+236.676*'BMP P Tracking Table'!$Y32+726*'BMP P Tracking Table'!$Z32+996.798*'BMP P Tracking Table'!$AA32)))))),"")</f>
        <v>0</v>
      </c>
      <c r="BB32" s="118" t="str">
        <f>IFERROR((VLOOKUP(CONCATENATE('BMP P Tracking Table'!$AW32," ",'BMP P Tracking Table'!$AY32),'Performance Curves'!$C$1:$L$46,_xlfn.SINGLE(MATCH('BMP P Tracking Table'!$BA32,'Performance Curves'!$D$1:$L$1,1))+2,FALSE)-VLOOKUP(CONCATENATE('BMP P Tracking Table'!$AW32," ",'BMP P Tracking Table'!$AY32),'Performance Curves'!$C$1:$L$46,_xlfn.SINGLE(MATCH('BMP P Tracking Table'!$BA32,'Performance Curves'!$D$1:$L$1,1))+1,FALSE)),"")</f>
        <v/>
      </c>
      <c r="BC32" s="118">
        <f>IFERROR(('BMP P Tracking Table'!$BA32-INDEX('Performance Curves'!$D$1:$L$1,1,MATCH('BMP P Tracking Table'!$BA32,'Performance Curves'!$D$1:$L$1,1)))/(INDEX('Performance Curves'!$D$1:$L$1,1,MATCH('BMP P Tracking Table'!$BA32,'Performance Curves'!$D$1:$L$1,1)+1)-INDEX('Performance Curves'!$D$1:$L$1,1,MATCH('BMP P Tracking Table'!$BA32,'Performance Curves'!$D$1:$L$1,1))),"")</f>
        <v>0</v>
      </c>
      <c r="BD32" s="115" t="str" cm="1">
        <f t="array" ref="BD32">IFERROR(IF('BMP P Tracking Table'!$BA32=2,VLOOKUP(CONCATENATE('BMP P Tracking Table'!$AW32," ",'BMP P Tracking Table'!$AY32),'Performance Curves'!$C$1:$L$44,_xlfn.SINGLE(MATCH('BMP P Tracking Table'!$BA32,'Performance Curves'!$D$1:$L$1,1))+1,FALSE),'BMP P Tracking Table'!$BB32*'BMP P Tracking Table'!$BC32+VLOOKUP(CONCATENATE('BMP P Tracking Table'!$AW32," ",'BMP P Tracking Table'!$AY32),'Performance Curves'!$C$1:$L$44,_xlfn.SINGLE(MATCH('BMP P Tracking Table'!$BA32,'Performance Curves'!$D$1:$L$1,1))+1,FALSE)),"")</f>
        <v/>
      </c>
      <c r="BE32" s="114" t="str">
        <f>IFERROR('BMP P Tracking Table'!$BD32*'BMP P Tracking Table'!$AZ32,"")</f>
        <v/>
      </c>
      <c r="BF32" s="116"/>
      <c r="BG32" s="120">
        <f t="shared" si="3"/>
        <v>0</v>
      </c>
      <c r="BH32" s="121" t="s">
        <v>648</v>
      </c>
      <c r="BI32" s="36" t="str">
        <f t="shared" si="1"/>
        <v xml:space="preserve">3790-9010.R1 </v>
      </c>
      <c r="BJ32" s="36" t="str">
        <f t="shared" si="2"/>
        <v>Oak Ridge-Forestdale Drywells SN 003</v>
      </c>
      <c r="BK32" s="121"/>
      <c r="BL32" s="121"/>
      <c r="BM32" s="121"/>
    </row>
    <row r="33" spans="1:65" s="36" customFormat="1">
      <c r="A33" s="217" t="s">
        <v>588</v>
      </c>
      <c r="B33" s="110" t="s">
        <v>588</v>
      </c>
      <c r="C33" s="110" t="s">
        <v>592</v>
      </c>
      <c r="D33" s="110" t="s">
        <v>327</v>
      </c>
      <c r="E33" s="110" t="s">
        <v>9</v>
      </c>
      <c r="F33" s="111"/>
      <c r="G33" s="111"/>
      <c r="H33" s="110" t="s">
        <v>588</v>
      </c>
      <c r="I33" s="110"/>
      <c r="J33" s="110" t="s">
        <v>66</v>
      </c>
      <c r="K33" s="112"/>
      <c r="L33" s="110" t="s">
        <v>111</v>
      </c>
      <c r="M33" s="110"/>
      <c r="N33" s="218">
        <v>37529</v>
      </c>
      <c r="O33" s="110"/>
      <c r="P33" s="110"/>
      <c r="Q33" s="110" t="s">
        <v>119</v>
      </c>
      <c r="R33" s="110" t="s">
        <v>146</v>
      </c>
      <c r="S33" s="110" t="str">
        <f>IFERROR(VLOOKUP('BMP P Tracking Table'!$R33,Dropdowns!$Q$3:$R$23,2,FALSE),"")</f>
        <v>Main Lake</v>
      </c>
      <c r="T33" s="110" t="s">
        <v>62</v>
      </c>
      <c r="U33" s="110" t="s">
        <v>47</v>
      </c>
      <c r="V33" s="110">
        <v>0.86</v>
      </c>
      <c r="W33" s="110" t="s">
        <v>219</v>
      </c>
      <c r="X33" s="110"/>
      <c r="Y33" s="110"/>
      <c r="Z33" s="110"/>
      <c r="AA33" s="110"/>
      <c r="AB33" s="110">
        <v>1.1399999999999999</v>
      </c>
      <c r="AC33" s="113">
        <v>3477</v>
      </c>
      <c r="AD33" s="110" t="s">
        <v>206</v>
      </c>
      <c r="AE33" s="114">
        <f>IFERROR('BMP P Tracking Table'!$V33*VLOOKUP('BMP P Tracking Table'!$R33,'Loading Rates'!$B$1:$L$24,4,FALSE)+IF('BMP P Tracking Table'!$W33="By HSG",'BMP P Tracking Table'!$X33*VLOOKUP('BMP P Tracking Table'!$R33,'Loading Rates'!$B$1:$L$24,6,FALSE)+'BMP P Tracking Table'!$Y33*VLOOKUP('BMP P Tracking Table'!$R33,'Loading Rates'!$B$1:$L$24,7,FALSE)+'BMP P Tracking Table'!$Z33*VLOOKUP('BMP P Tracking Table'!$R33,'Loading Rates'!$B$1:$L$24,8,FALSE)+'BMP P Tracking Table'!$AA33*VLOOKUP('BMP P Tracking Table'!$R33,'Loading Rates'!$B$1:$L$24,9,FALSE),'BMP P Tracking Table'!$AB33*VLOOKUP('BMP P Tracking Table'!$R33,'Loading Rates'!$B$1:$L$24,10,FALSE)),"")</f>
        <v>1.2239599999999999</v>
      </c>
      <c r="AF33" s="114">
        <f>IFERROR(MIN(2,IF('BMP P Tracking Table'!$W33="Total Pervious",(-(3630*'BMP P Tracking Table'!$V33+20.691*'BMP P Tracking Table'!$AB33)+SQRT((3630*'BMP P Tracking Table'!$V33+20.691*'BMP P Tracking Table'!$AB33)^2-(4*(996.798*'BMP P Tracking Table'!$AB33)*-'BMP P Tracking Table'!$AC33)))/(2*(996.798*'BMP P Tracking Table'!$AB33)),IF(SUM('BMP P Tracking Table'!$X33:$AA33)=0,'BMP P Tracking Table'!$AC33/(-3630*'BMP P Tracking Table'!$V33),(-(3630*'BMP P Tracking Table'!$V33+20.691*'BMP P Tracking Table'!$AA33-216.711*'BMP P Tracking Table'!$Z33-83.853*'BMP P Tracking Table'!$Y33-42.834*'BMP P Tracking Table'!$X33)+SQRT((3630*'BMP P Tracking Table'!$V33+20.691*'BMP P Tracking Table'!$AA33-216.711*'BMP P Tracking Table'!$Z33-83.853*'BMP P Tracking Table'!$Y33-42.834*'BMP P Tracking Table'!$X33)^2-(4*(149.919*'BMP P Tracking Table'!$X33+236.676*'BMP P Tracking Table'!$Y33+726*'BMP P Tracking Table'!$Z33+996.798*'BMP P Tracking Table'!$AA33)*-'BMP P Tracking Table'!$AC33)))/(2*(149.919*'BMP P Tracking Table'!$X33+236.676*'BMP P Tracking Table'!$Y33+726*'BMP P Tracking Table'!$Z33+996.798*'BMP P Tracking Table'!$AA33))))),"")</f>
        <v>0.84653234511389619</v>
      </c>
      <c r="AG33" s="114">
        <f>IFERROR((VLOOKUP(CONCATENATE('BMP P Tracking Table'!$U33," ",'BMP P Tracking Table'!$AD33),'Performance Curves'!$C$1:$L$46,_xlfn.SINGLE(MATCH('BMP P Tracking Table'!$AF33,'Performance Curves'!$D$1:$L$1,1))+2,FALSE)-VLOOKUP(CONCATENATE('BMP P Tracking Table'!$U33," ",'BMP P Tracking Table'!$AD33),'Performance Curves'!$C$1:$L$46,_xlfn.SINGLE(MATCH('BMP P Tracking Table'!$AF33,'Performance Curves'!$D$1:$L$1,1))+1,FALSE)),"")</f>
        <v>2.0000000000000018E-2</v>
      </c>
      <c r="AH33" s="114">
        <f>IFERROR(('BMP P Tracking Table'!$AF33-INDEX('Performance Curves'!$D$1:$L$1,1,MATCH('BMP P Tracking Table'!$AF33,'Performance Curves'!$D$1:$L$1,1)))/(INDEX('Performance Curves'!$D$1:$L$1,1,MATCH('BMP P Tracking Table'!$AF33,'Performance Curves'!$D$1:$L$1,1)+1)-INDEX('Performance Curves'!$D$1:$L$1,1,MATCH('BMP P Tracking Table'!$AF33,'Performance Curves'!$D$1:$L$1,1))),"")</f>
        <v>0.23266172556948078</v>
      </c>
      <c r="AI33" s="115">
        <f>IFERROR(IF('BMP P Tracking Table'!$AF33=2,VLOOKUP(CONCATENATE('BMP P Tracking Table'!$U33," ",'BMP P Tracking Table'!$AD33),'Performance Curves'!$C$1:$L$46,_xlfn.SINGLE(MATCH('BMP P Tracking Table'!$AF33,'Performance Curves'!$D$1:$L$1,1))+1,FALSE),'BMP P Tracking Table'!$AG33*'BMP P Tracking Table'!$AH33+VLOOKUP(CONCATENATE('BMP P Tracking Table'!$U33," ",'BMP P Tracking Table'!$AD33),'Performance Curves'!$C$1:$L$46,_xlfn.SINGLE(MATCH('BMP P Tracking Table'!$AF33,'Performance Curves'!$D$1:$L$1,1))+1,FALSE)),"")</f>
        <v>0.96465323451138962</v>
      </c>
      <c r="AJ33" s="114">
        <f>IFERROR('BMP P Tracking Table'!$AI33*'BMP P Tracking Table'!$AE33,"")</f>
        <v>1.1806969729125605</v>
      </c>
      <c r="AK33" s="110"/>
      <c r="AL33" s="116" t="s">
        <v>62</v>
      </c>
      <c r="AM33" s="116"/>
      <c r="AN33" s="117">
        <v>0.26</v>
      </c>
      <c r="AO33" s="118">
        <f t="shared" si="4"/>
        <v>0.30698121295726571</v>
      </c>
      <c r="AP33" s="116"/>
      <c r="AQ33" s="116"/>
      <c r="AR33" s="116"/>
      <c r="AS33" s="116"/>
      <c r="AT33" s="116"/>
      <c r="AU33" s="116"/>
      <c r="AV33" s="116"/>
      <c r="AW33" s="110"/>
      <c r="AX33" s="119"/>
      <c r="AY33" s="119"/>
      <c r="AZ33" s="114" t="str">
        <f>IF('BMP P Tracking Table'!$AL33="Yes",IF('BMP P Tracking Table'!$AM33="No",'BMP P Tracking Table'!$V33*VLOOKUP('BMP P Tracking Table'!$R33,'Loading Rates'!$B$1:$L$24,4,FALSE)+IF('BMP P Tracking Table'!$W33="By HSG",'BMP P Tracking Table'!$X33*VLOOKUP('BMP P Tracking Table'!$R33,'Loading Rates'!$B$1:$L$24,6,FALSE)+'BMP P Tracking Table'!$Y33*VLOOKUP('BMP P Tracking Table'!$R33,'Loading Rates'!$B$1:$L$24,7,FALSE)+'BMP P Tracking Table'!$Z33*VLOOKUP('BMP P Tracking Table'!$R33,'Loading Rates'!$B$1:$L$24,8,FALSE)+'BMP P Tracking Table'!$AA33*VLOOKUP('BMP P Tracking Table'!$R33,'Loading Rates'!$B$1:$L$24,9,FALSE),'BMP P Tracking Table'!$AB33*VLOOKUP('BMP P Tracking Table'!$R33,'Loading Rates'!$B$1:$L$24,10,FALSE)),'BMP P Tracking Table'!$AP33*VLOOKUP('BMP P Tracking Table'!$R33,'Loading Rates'!$B$1:$L$24,4,FALSE)+IF('BMP P Tracking Table'!$AQ33="By HSG",'BMP P Tracking Table'!$AR33*VLOOKUP('BMP P Tracking Table'!$R33,'Loading Rates'!$B$1:$L$24,6,FALSE)+'BMP P Tracking Table'!$AS33*VLOOKUP('BMP P Tracking Table'!$R33,'Loading Rates'!$B$1:$L$24,7,FALSE)+'BMP P Tracking Table'!$AT33*VLOOKUP('BMP P Tracking Table'!$R33,'Loading Rates'!$B$1:$L$24,8,FALSE)+'BMP P Tracking Table'!$AU33*VLOOKUP('BMP P Tracking Table'!$R33,'Loading Rates'!$B$1:$L$24,9,FALSE),'BMP P Tracking Table'!$AV33*VLOOKUP('BMP P Tracking Table'!$R33,'Loading Rates'!$B$1:$L$24,10,FALSE))),"")</f>
        <v/>
      </c>
      <c r="BA33" s="114">
        <f>IFERROR(IF('BMP P Tracking Table'!$AM33="Yes",MIN(2,IF('BMP P Tracking Table'!$AQ33="Total Pervious",(-(3630*'BMP P Tracking Table'!$AP33+20.691*'BMP P Tracking Table'!$AV33)+SQRT((3630*'BMP P Tracking Table'!$AP33+20.691*'BMP P Tracking Table'!$AV33)^2-(4*(996.798*'BMP P Tracking Table'!$AV33)*-'BMP P Tracking Table'!$AX33)))/(2*(996.798*'BMP P Tracking Table'!$AV33)),IF(SUM('BMP P Tracking Table'!$AR33:$AU33)=0,'BMP P Tracking Table'!$AV33/(-3630*'BMP P Tracking Table'!$AP33),(-(3630*'BMP P Tracking Table'!$AP33+20.691*'BMP P Tracking Table'!$AU33-216.711*'BMP P Tracking Table'!$AT33-83.853*'BMP P Tracking Table'!$AS33-42.834*'BMP P Tracking Table'!$AR33)+SQRT((3630*'BMP P Tracking Table'!$AP33+20.691*'BMP P Tracking Table'!$AU33-216.711*'BMP P Tracking Table'!$AT33-83.853*'BMP P Tracking Table'!$AS33-42.834*'BMP P Tracking Table'!$AR33)^2-(4*(149.919*'BMP P Tracking Table'!$AR33+236.676*'BMP P Tracking Table'!$AS33+726*'BMP P Tracking Table'!$AT33+996.798*'BMP P Tracking Table'!$AU33)*-'BMP P Tracking Table'!$AX33)))/(2*(149.919*'BMP P Tracking Table'!$AR33+236.676*'BMP P Tracking Table'!$AS33+726*'BMP P Tracking Table'!$AT33+996.798*'BMP P Tracking Table'!$AU33))))),MIN(2,IF('BMP P Tracking Table'!$AQ33="Total Pervious",(-(3630*'BMP P Tracking Table'!$V33+20.691*'BMP P Tracking Table'!$AB33)+SQRT((3630*'BMP P Tracking Table'!$V33+20.691*'BMP P Tracking Table'!$AB33)^2-(4*(996.798*'BMP P Tracking Table'!$AB33)*-'BMP P Tracking Table'!$AX33)))/(2*(996.798*'BMP P Tracking Table'!$AB33)),IF(SUM('BMP P Tracking Table'!$X33:$AA33)=0,'BMP P Tracking Table'!$AX33/(-3630*'BMP P Tracking Table'!$V33),(-(3630*'BMP P Tracking Table'!$V33+20.691*'BMP P Tracking Table'!$AA33-216.711*'BMP P Tracking Table'!$Z33-83.853*'BMP P Tracking Table'!$Y33-42.834*'BMP P Tracking Table'!$X33)+SQRT((3630*'BMP P Tracking Table'!$V33+20.691*'BMP P Tracking Table'!$AA33-216.711*'BMP P Tracking Table'!$Z33-83.853*'BMP P Tracking Table'!$Y33-42.834*'BMP P Tracking Table'!$X33)^2-(4*(149.919*'BMP P Tracking Table'!$X33+236.676*'BMP P Tracking Table'!$Y33+726*'BMP P Tracking Table'!$Z33+996.798*'BMP P Tracking Table'!$AA33)*-'BMP P Tracking Table'!$AX33)))/(2*(149.919*'BMP P Tracking Table'!$X33+236.676*'BMP P Tracking Table'!$Y33+726*'BMP P Tracking Table'!$Z33+996.798*'BMP P Tracking Table'!$AA33)))))),"")</f>
        <v>0</v>
      </c>
      <c r="BB33" s="118" t="str">
        <f>IFERROR((VLOOKUP(CONCATENATE('BMP P Tracking Table'!$AW33," ",'BMP P Tracking Table'!$AY33),'Performance Curves'!$C$1:$L$46,_xlfn.SINGLE(MATCH('BMP P Tracking Table'!$BA33,'Performance Curves'!$D$1:$L$1,1))+2,FALSE)-VLOOKUP(CONCATENATE('BMP P Tracking Table'!$AW33," ",'BMP P Tracking Table'!$AY33),'Performance Curves'!$C$1:$L$46,_xlfn.SINGLE(MATCH('BMP P Tracking Table'!$BA33,'Performance Curves'!$D$1:$L$1,1))+1,FALSE)),"")</f>
        <v/>
      </c>
      <c r="BC33" s="118">
        <f>IFERROR(('BMP P Tracking Table'!$BA33-INDEX('Performance Curves'!$D$1:$L$1,1,MATCH('BMP P Tracking Table'!$BA33,'Performance Curves'!$D$1:$L$1,1)))/(INDEX('Performance Curves'!$D$1:$L$1,1,MATCH('BMP P Tracking Table'!$BA33,'Performance Curves'!$D$1:$L$1,1)+1)-INDEX('Performance Curves'!$D$1:$L$1,1,MATCH('BMP P Tracking Table'!$BA33,'Performance Curves'!$D$1:$L$1,1))),"")</f>
        <v>0</v>
      </c>
      <c r="BD33" s="115" t="str" cm="1">
        <f t="array" ref="BD33">IFERROR(IF('BMP P Tracking Table'!$BA33=2,VLOOKUP(CONCATENATE('BMP P Tracking Table'!$AW33," ",'BMP P Tracking Table'!$AY33),'Performance Curves'!$C$1:$L$44,_xlfn.SINGLE(MATCH('BMP P Tracking Table'!$BA33,'Performance Curves'!$D$1:$L$1,1))+1,FALSE),'BMP P Tracking Table'!$BB33*'BMP P Tracking Table'!$BC33+VLOOKUP(CONCATENATE('BMP P Tracking Table'!$AW33," ",'BMP P Tracking Table'!$AY33),'Performance Curves'!$C$1:$L$44,_xlfn.SINGLE(MATCH('BMP P Tracking Table'!$BA33,'Performance Curves'!$D$1:$L$1,1))+1,FALSE)),"")</f>
        <v/>
      </c>
      <c r="BE33" s="114" t="str">
        <f>IFERROR('BMP P Tracking Table'!$BD33*'BMP P Tracking Table'!$AZ33,"")</f>
        <v/>
      </c>
      <c r="BF33" s="116"/>
      <c r="BG33" s="120">
        <f t="shared" si="3"/>
        <v>0</v>
      </c>
      <c r="BH33" s="121" t="s">
        <v>648</v>
      </c>
      <c r="BI33" s="36" t="str">
        <f t="shared" si="1"/>
        <v xml:space="preserve">3790-9010.R1 </v>
      </c>
      <c r="BJ33" s="36" t="str">
        <f t="shared" si="2"/>
        <v>Oak Ridge-Forestdale Drywells SN 004</v>
      </c>
      <c r="BK33" s="121"/>
      <c r="BL33" s="121"/>
      <c r="BM33" s="121"/>
    </row>
    <row r="34" spans="1:65" s="36" customFormat="1">
      <c r="A34" s="217" t="s">
        <v>588</v>
      </c>
      <c r="B34" s="110" t="s">
        <v>588</v>
      </c>
      <c r="C34" s="110" t="s">
        <v>593</v>
      </c>
      <c r="D34" s="110" t="s">
        <v>327</v>
      </c>
      <c r="E34" s="110" t="s">
        <v>9</v>
      </c>
      <c r="F34" s="111"/>
      <c r="G34" s="111"/>
      <c r="H34" s="110" t="s">
        <v>588</v>
      </c>
      <c r="I34" s="110"/>
      <c r="J34" s="110" t="s">
        <v>66</v>
      </c>
      <c r="K34" s="112"/>
      <c r="L34" s="110" t="s">
        <v>111</v>
      </c>
      <c r="M34" s="110"/>
      <c r="N34" s="218">
        <v>37529</v>
      </c>
      <c r="O34" s="110"/>
      <c r="P34" s="110"/>
      <c r="Q34" s="110" t="s">
        <v>119</v>
      </c>
      <c r="R34" s="110" t="s">
        <v>146</v>
      </c>
      <c r="S34" s="110" t="str">
        <f>IFERROR(VLOOKUP('BMP P Tracking Table'!$R34,Dropdowns!$Q$3:$R$23,2,FALSE),"")</f>
        <v>Main Lake</v>
      </c>
      <c r="T34" s="110" t="s">
        <v>62</v>
      </c>
      <c r="U34" s="110" t="s">
        <v>47</v>
      </c>
      <c r="V34" s="110">
        <v>0.75</v>
      </c>
      <c r="W34" s="110" t="s">
        <v>219</v>
      </c>
      <c r="X34" s="110"/>
      <c r="Y34" s="110"/>
      <c r="Z34" s="110"/>
      <c r="AA34" s="110"/>
      <c r="AB34" s="110">
        <v>6.63</v>
      </c>
      <c r="AC34" s="113">
        <v>9012</v>
      </c>
      <c r="AD34" s="110" t="s">
        <v>206</v>
      </c>
      <c r="AE34" s="114">
        <f>IFERROR('BMP P Tracking Table'!$V34*VLOOKUP('BMP P Tracking Table'!$R34,'Loading Rates'!$B$1:$L$24,4,FALSE)+IF('BMP P Tracking Table'!$W34="By HSG",'BMP P Tracking Table'!$X34*VLOOKUP('BMP P Tracking Table'!$R34,'Loading Rates'!$B$1:$L$24,6,FALSE)+'BMP P Tracking Table'!$Y34*VLOOKUP('BMP P Tracking Table'!$R34,'Loading Rates'!$B$1:$L$24,7,FALSE)+'BMP P Tracking Table'!$Z34*VLOOKUP('BMP P Tracking Table'!$R34,'Loading Rates'!$B$1:$L$24,8,FALSE)+'BMP P Tracking Table'!$AA34*VLOOKUP('BMP P Tracking Table'!$R34,'Loading Rates'!$B$1:$L$24,9,FALSE),'BMP P Tracking Table'!$AB34*VLOOKUP('BMP P Tracking Table'!$R34,'Loading Rates'!$B$1:$L$24,10,FALSE)),"")</f>
        <v>2.3692799999999998</v>
      </c>
      <c r="AF34" s="114">
        <f>IFERROR(MIN(2,IF('BMP P Tracking Table'!$W34="Total Pervious",(-(3630*'BMP P Tracking Table'!$V34+20.691*'BMP P Tracking Table'!$AB34)+SQRT((3630*'BMP P Tracking Table'!$V34+20.691*'BMP P Tracking Table'!$AB34)^2-(4*(996.798*'BMP P Tracking Table'!$AB34)*-'BMP P Tracking Table'!$AC34)))/(2*(996.798*'BMP P Tracking Table'!$AB34)),IF(SUM('BMP P Tracking Table'!$X34:$AA34)=0,'BMP P Tracking Table'!$AC34/(-3630*'BMP P Tracking Table'!$V34),(-(3630*'BMP P Tracking Table'!$V34+20.691*'BMP P Tracking Table'!$AA34-216.711*'BMP P Tracking Table'!$Z34-83.853*'BMP P Tracking Table'!$Y34-42.834*'BMP P Tracking Table'!$X34)+SQRT((3630*'BMP P Tracking Table'!$V34+20.691*'BMP P Tracking Table'!$AA34-216.711*'BMP P Tracking Table'!$Z34-83.853*'BMP P Tracking Table'!$Y34-42.834*'BMP P Tracking Table'!$X34)^2-(4*(149.919*'BMP P Tracking Table'!$X34+236.676*'BMP P Tracking Table'!$Y34+726*'BMP P Tracking Table'!$Z34+996.798*'BMP P Tracking Table'!$AA34)*-'BMP P Tracking Table'!$AC34)))/(2*(149.919*'BMP P Tracking Table'!$X34+236.676*'BMP P Tracking Table'!$Y34+726*'BMP P Tracking Table'!$Z34+996.798*'BMP P Tracking Table'!$AA34))))),"")</f>
        <v>0.97126946339851916</v>
      </c>
      <c r="AG34" s="114">
        <f>IFERROR((VLOOKUP(CONCATENATE('BMP P Tracking Table'!$U34," ",'BMP P Tracking Table'!$AD34),'Performance Curves'!$C$1:$L$46,_xlfn.SINGLE(MATCH('BMP P Tracking Table'!$AF34,'Performance Curves'!$D$1:$L$1,1))+2,FALSE)-VLOOKUP(CONCATENATE('BMP P Tracking Table'!$U34," ",'BMP P Tracking Table'!$AD34),'Performance Curves'!$C$1:$L$46,_xlfn.SINGLE(MATCH('BMP P Tracking Table'!$AF34,'Performance Curves'!$D$1:$L$1,1))+1,FALSE)),"")</f>
        <v>2.0000000000000018E-2</v>
      </c>
      <c r="AH34" s="114">
        <f>IFERROR(('BMP P Tracking Table'!$AF34-INDEX('Performance Curves'!$D$1:$L$1,1,MATCH('BMP P Tracking Table'!$AF34,'Performance Curves'!$D$1:$L$1,1)))/(INDEX('Performance Curves'!$D$1:$L$1,1,MATCH('BMP P Tracking Table'!$AF34,'Performance Curves'!$D$1:$L$1,1)+1)-INDEX('Performance Curves'!$D$1:$L$1,1,MATCH('BMP P Tracking Table'!$AF34,'Performance Curves'!$D$1:$L$1,1))),"")</f>
        <v>0.85634731699259581</v>
      </c>
      <c r="AI34" s="115">
        <f>IFERROR(IF('BMP P Tracking Table'!$AF34=2,VLOOKUP(CONCATENATE('BMP P Tracking Table'!$U34," ",'BMP P Tracking Table'!$AD34),'Performance Curves'!$C$1:$L$46,_xlfn.SINGLE(MATCH('BMP P Tracking Table'!$AF34,'Performance Curves'!$D$1:$L$1,1))+1,FALSE),'BMP P Tracking Table'!$AG34*'BMP P Tracking Table'!$AH34+VLOOKUP(CONCATENATE('BMP P Tracking Table'!$U34," ",'BMP P Tracking Table'!$AD34),'Performance Curves'!$C$1:$L$46,_xlfn.SINGLE(MATCH('BMP P Tracking Table'!$AF34,'Performance Curves'!$D$1:$L$1,1))+1,FALSE)),"")</f>
        <v>0.97712694633985187</v>
      </c>
      <c r="AJ34" s="114">
        <f>IFERROR('BMP P Tracking Table'!$AI34*'BMP P Tracking Table'!$AE34,"")</f>
        <v>2.3150873314240838</v>
      </c>
      <c r="AK34" s="110"/>
      <c r="AL34" s="116" t="s">
        <v>62</v>
      </c>
      <c r="AM34" s="116"/>
      <c r="AN34" s="117">
        <v>1</v>
      </c>
      <c r="AO34" s="118">
        <f t="shared" si="4"/>
        <v>2.3150873314240838</v>
      </c>
      <c r="AP34" s="116"/>
      <c r="AQ34" s="116"/>
      <c r="AR34" s="116"/>
      <c r="AS34" s="116"/>
      <c r="AT34" s="116"/>
      <c r="AU34" s="116"/>
      <c r="AV34" s="116"/>
      <c r="AW34" s="110"/>
      <c r="AX34" s="119"/>
      <c r="AY34" s="119"/>
      <c r="AZ34" s="114" t="str">
        <f>IF('BMP P Tracking Table'!$AL34="Yes",IF('BMP P Tracking Table'!$AM34="No",'BMP P Tracking Table'!$V34*VLOOKUP('BMP P Tracking Table'!$R34,'Loading Rates'!$B$1:$L$24,4,FALSE)+IF('BMP P Tracking Table'!$W34="By HSG",'BMP P Tracking Table'!$X34*VLOOKUP('BMP P Tracking Table'!$R34,'Loading Rates'!$B$1:$L$24,6,FALSE)+'BMP P Tracking Table'!$Y34*VLOOKUP('BMP P Tracking Table'!$R34,'Loading Rates'!$B$1:$L$24,7,FALSE)+'BMP P Tracking Table'!$Z34*VLOOKUP('BMP P Tracking Table'!$R34,'Loading Rates'!$B$1:$L$24,8,FALSE)+'BMP P Tracking Table'!$AA34*VLOOKUP('BMP P Tracking Table'!$R34,'Loading Rates'!$B$1:$L$24,9,FALSE),'BMP P Tracking Table'!$AB34*VLOOKUP('BMP P Tracking Table'!$R34,'Loading Rates'!$B$1:$L$24,10,FALSE)),'BMP P Tracking Table'!$AP34*VLOOKUP('BMP P Tracking Table'!$R34,'Loading Rates'!$B$1:$L$24,4,FALSE)+IF('BMP P Tracking Table'!$AQ34="By HSG",'BMP P Tracking Table'!$AR34*VLOOKUP('BMP P Tracking Table'!$R34,'Loading Rates'!$B$1:$L$24,6,FALSE)+'BMP P Tracking Table'!$AS34*VLOOKUP('BMP P Tracking Table'!$R34,'Loading Rates'!$B$1:$L$24,7,FALSE)+'BMP P Tracking Table'!$AT34*VLOOKUP('BMP P Tracking Table'!$R34,'Loading Rates'!$B$1:$L$24,8,FALSE)+'BMP P Tracking Table'!$AU34*VLOOKUP('BMP P Tracking Table'!$R34,'Loading Rates'!$B$1:$L$24,9,FALSE),'BMP P Tracking Table'!$AV34*VLOOKUP('BMP P Tracking Table'!$R34,'Loading Rates'!$B$1:$L$24,10,FALSE))),"")</f>
        <v/>
      </c>
      <c r="BA34" s="114">
        <f>IFERROR(IF('BMP P Tracking Table'!$AM34="Yes",MIN(2,IF('BMP P Tracking Table'!$AQ34="Total Pervious",(-(3630*'BMP P Tracking Table'!$AP34+20.691*'BMP P Tracking Table'!$AV34)+SQRT((3630*'BMP P Tracking Table'!$AP34+20.691*'BMP P Tracking Table'!$AV34)^2-(4*(996.798*'BMP P Tracking Table'!$AV34)*-'BMP P Tracking Table'!$AX34)))/(2*(996.798*'BMP P Tracking Table'!$AV34)),IF(SUM('BMP P Tracking Table'!$AR34:$AU34)=0,'BMP P Tracking Table'!$AV34/(-3630*'BMP P Tracking Table'!$AP34),(-(3630*'BMP P Tracking Table'!$AP34+20.691*'BMP P Tracking Table'!$AU34-216.711*'BMP P Tracking Table'!$AT34-83.853*'BMP P Tracking Table'!$AS34-42.834*'BMP P Tracking Table'!$AR34)+SQRT((3630*'BMP P Tracking Table'!$AP34+20.691*'BMP P Tracking Table'!$AU34-216.711*'BMP P Tracking Table'!$AT34-83.853*'BMP P Tracking Table'!$AS34-42.834*'BMP P Tracking Table'!$AR34)^2-(4*(149.919*'BMP P Tracking Table'!$AR34+236.676*'BMP P Tracking Table'!$AS34+726*'BMP P Tracking Table'!$AT34+996.798*'BMP P Tracking Table'!$AU34)*-'BMP P Tracking Table'!$AX34)))/(2*(149.919*'BMP P Tracking Table'!$AR34+236.676*'BMP P Tracking Table'!$AS34+726*'BMP P Tracking Table'!$AT34+996.798*'BMP P Tracking Table'!$AU34))))),MIN(2,IF('BMP P Tracking Table'!$AQ34="Total Pervious",(-(3630*'BMP P Tracking Table'!$V34+20.691*'BMP P Tracking Table'!$AB34)+SQRT((3630*'BMP P Tracking Table'!$V34+20.691*'BMP P Tracking Table'!$AB34)^2-(4*(996.798*'BMP P Tracking Table'!$AB34)*-'BMP P Tracking Table'!$AX34)))/(2*(996.798*'BMP P Tracking Table'!$AB34)),IF(SUM('BMP P Tracking Table'!$X34:$AA34)=0,'BMP P Tracking Table'!$AX34/(-3630*'BMP P Tracking Table'!$V34),(-(3630*'BMP P Tracking Table'!$V34+20.691*'BMP P Tracking Table'!$AA34-216.711*'BMP P Tracking Table'!$Z34-83.853*'BMP P Tracking Table'!$Y34-42.834*'BMP P Tracking Table'!$X34)+SQRT((3630*'BMP P Tracking Table'!$V34+20.691*'BMP P Tracking Table'!$AA34-216.711*'BMP P Tracking Table'!$Z34-83.853*'BMP P Tracking Table'!$Y34-42.834*'BMP P Tracking Table'!$X34)^2-(4*(149.919*'BMP P Tracking Table'!$X34+236.676*'BMP P Tracking Table'!$Y34+726*'BMP P Tracking Table'!$Z34+996.798*'BMP P Tracking Table'!$AA34)*-'BMP P Tracking Table'!$AX34)))/(2*(149.919*'BMP P Tracking Table'!$X34+236.676*'BMP P Tracking Table'!$Y34+726*'BMP P Tracking Table'!$Z34+996.798*'BMP P Tracking Table'!$AA34)))))),"")</f>
        <v>0</v>
      </c>
      <c r="BB34" s="118" t="str">
        <f>IFERROR((VLOOKUP(CONCATENATE('BMP P Tracking Table'!$AW34," ",'BMP P Tracking Table'!$AY34),'Performance Curves'!$C$1:$L$46,_xlfn.SINGLE(MATCH('BMP P Tracking Table'!$BA34,'Performance Curves'!$D$1:$L$1,1))+2,FALSE)-VLOOKUP(CONCATENATE('BMP P Tracking Table'!$AW34," ",'BMP P Tracking Table'!$AY34),'Performance Curves'!$C$1:$L$46,_xlfn.SINGLE(MATCH('BMP P Tracking Table'!$BA34,'Performance Curves'!$D$1:$L$1,1))+1,FALSE)),"")</f>
        <v/>
      </c>
      <c r="BC34" s="118">
        <f>IFERROR(('BMP P Tracking Table'!$BA34-INDEX('Performance Curves'!$D$1:$L$1,1,MATCH('BMP P Tracking Table'!$BA34,'Performance Curves'!$D$1:$L$1,1)))/(INDEX('Performance Curves'!$D$1:$L$1,1,MATCH('BMP P Tracking Table'!$BA34,'Performance Curves'!$D$1:$L$1,1)+1)-INDEX('Performance Curves'!$D$1:$L$1,1,MATCH('BMP P Tracking Table'!$BA34,'Performance Curves'!$D$1:$L$1,1))),"")</f>
        <v>0</v>
      </c>
      <c r="BD34" s="115" t="str" cm="1">
        <f t="array" ref="BD34">IFERROR(IF('BMP P Tracking Table'!$BA34=2,VLOOKUP(CONCATENATE('BMP P Tracking Table'!$AW34," ",'BMP P Tracking Table'!$AY34),'Performance Curves'!$C$1:$L$44,_xlfn.SINGLE(MATCH('BMP P Tracking Table'!$BA34,'Performance Curves'!$D$1:$L$1,1))+1,FALSE),'BMP P Tracking Table'!$BB34*'BMP P Tracking Table'!$BC34+VLOOKUP(CONCATENATE('BMP P Tracking Table'!$AW34," ",'BMP P Tracking Table'!$AY34),'Performance Curves'!$C$1:$L$44,_xlfn.SINGLE(MATCH('BMP P Tracking Table'!$BA34,'Performance Curves'!$D$1:$L$1,1))+1,FALSE)),"")</f>
        <v/>
      </c>
      <c r="BE34" s="114" t="str">
        <f>IFERROR('BMP P Tracking Table'!$BD34*'BMP P Tracking Table'!$AZ34,"")</f>
        <v/>
      </c>
      <c r="BF34" s="122"/>
      <c r="BG34" s="120">
        <f t="shared" si="3"/>
        <v>0</v>
      </c>
      <c r="BH34" s="121" t="s">
        <v>648</v>
      </c>
      <c r="BI34" s="36" t="str">
        <f t="shared" si="1"/>
        <v xml:space="preserve">3790-9010.R1 </v>
      </c>
      <c r="BJ34" s="36" t="str">
        <f t="shared" si="2"/>
        <v>Oak Ridge-Forestdale Drywells SN 005</v>
      </c>
      <c r="BK34" s="121"/>
      <c r="BL34" s="121"/>
      <c r="BM34" s="121"/>
    </row>
    <row r="35" spans="1:65" s="36" customFormat="1">
      <c r="A35" s="217" t="s">
        <v>588</v>
      </c>
      <c r="B35" s="110" t="s">
        <v>588</v>
      </c>
      <c r="C35" s="110" t="s">
        <v>594</v>
      </c>
      <c r="D35" s="110" t="s">
        <v>327</v>
      </c>
      <c r="E35" s="110" t="s">
        <v>9</v>
      </c>
      <c r="F35" s="111"/>
      <c r="G35" s="111"/>
      <c r="H35" s="110" t="s">
        <v>588</v>
      </c>
      <c r="I35" s="110"/>
      <c r="J35" s="110" t="s">
        <v>66</v>
      </c>
      <c r="K35" s="112"/>
      <c r="L35" s="110" t="s">
        <v>111</v>
      </c>
      <c r="M35" s="110"/>
      <c r="N35" s="218">
        <v>37529</v>
      </c>
      <c r="O35" s="110"/>
      <c r="P35" s="110"/>
      <c r="Q35" s="110" t="s">
        <v>119</v>
      </c>
      <c r="R35" s="110" t="s">
        <v>146</v>
      </c>
      <c r="S35" s="110" t="str">
        <f>IFERROR(VLOOKUP('BMP P Tracking Table'!$R35,Dropdowns!$Q$3:$R$23,2,FALSE),"")</f>
        <v>Main Lake</v>
      </c>
      <c r="T35" s="110" t="s">
        <v>62</v>
      </c>
      <c r="U35" s="110" t="s">
        <v>47</v>
      </c>
      <c r="V35" s="110">
        <v>1.18</v>
      </c>
      <c r="W35" s="110" t="s">
        <v>219</v>
      </c>
      <c r="X35" s="110"/>
      <c r="Y35" s="110"/>
      <c r="Z35" s="110"/>
      <c r="AA35" s="110"/>
      <c r="AB35" s="110">
        <v>1.24</v>
      </c>
      <c r="AC35" s="113">
        <v>7847</v>
      </c>
      <c r="AD35" s="110" t="s">
        <v>206</v>
      </c>
      <c r="AE35" s="114">
        <f>IFERROR('BMP P Tracking Table'!$V35*VLOOKUP('BMP P Tracking Table'!$R35,'Loading Rates'!$B$1:$L$24,4,FALSE)+IF('BMP P Tracking Table'!$W35="By HSG",'BMP P Tracking Table'!$X35*VLOOKUP('BMP P Tracking Table'!$R35,'Loading Rates'!$B$1:$L$24,6,FALSE)+'BMP P Tracking Table'!$Y35*VLOOKUP('BMP P Tracking Table'!$R35,'Loading Rates'!$B$1:$L$24,7,FALSE)+'BMP P Tracking Table'!$Z35*VLOOKUP('BMP P Tracking Table'!$R35,'Loading Rates'!$B$1:$L$24,8,FALSE)+'BMP P Tracking Table'!$AA35*VLOOKUP('BMP P Tracking Table'!$R35,'Loading Rates'!$B$1:$L$24,9,FALSE),'BMP P Tracking Table'!$AB35*VLOOKUP('BMP P Tracking Table'!$R35,'Loading Rates'!$B$1:$L$24,10,FALSE)),"")</f>
        <v>1.6045</v>
      </c>
      <c r="AF35" s="114">
        <f>IFERROR(MIN(2,IF('BMP P Tracking Table'!$W35="Total Pervious",(-(3630*'BMP P Tracking Table'!$V35+20.691*'BMP P Tracking Table'!$AB35)+SQRT((3630*'BMP P Tracking Table'!$V35+20.691*'BMP P Tracking Table'!$AB35)^2-(4*(996.798*'BMP P Tracking Table'!$AB35)*-'BMP P Tracking Table'!$AC35)))/(2*(996.798*'BMP P Tracking Table'!$AB35)),IF(SUM('BMP P Tracking Table'!$X35:$AA35)=0,'BMP P Tracking Table'!$AC35/(-3630*'BMP P Tracking Table'!$V35),(-(3630*'BMP P Tracking Table'!$V35+20.691*'BMP P Tracking Table'!$AA35-216.711*'BMP P Tracking Table'!$Z35-83.853*'BMP P Tracking Table'!$Y35-42.834*'BMP P Tracking Table'!$X35)+SQRT((3630*'BMP P Tracking Table'!$V35+20.691*'BMP P Tracking Table'!$AA35-216.711*'BMP P Tracking Table'!$Z35-83.853*'BMP P Tracking Table'!$Y35-42.834*'BMP P Tracking Table'!$X35)^2-(4*(149.919*'BMP P Tracking Table'!$X35+236.676*'BMP P Tracking Table'!$Y35+726*'BMP P Tracking Table'!$Z35+996.798*'BMP P Tracking Table'!$AA35)*-'BMP P Tracking Table'!$AC35)))/(2*(149.919*'BMP P Tracking Table'!$X35+236.676*'BMP P Tracking Table'!$Y35+726*'BMP P Tracking Table'!$Z35+996.798*'BMP P Tracking Table'!$AA35))))),"")</f>
        <v>1.3207113557530437</v>
      </c>
      <c r="AG35" s="114">
        <f>IFERROR((VLOOKUP(CONCATENATE('BMP P Tracking Table'!$U35," ",'BMP P Tracking Table'!$AD35),'Performance Curves'!$C$1:$L$46,_xlfn.SINGLE(MATCH('BMP P Tracking Table'!$AF35,'Performance Curves'!$D$1:$L$1,1))+2,FALSE)-VLOOKUP(CONCATENATE('BMP P Tracking Table'!$U35," ",'BMP P Tracking Table'!$AD35),'Performance Curves'!$C$1:$L$46,_xlfn.SINGLE(MATCH('BMP P Tracking Table'!$AF35,'Performance Curves'!$D$1:$L$1,1))+1,FALSE)),"")</f>
        <v>2.0000000000000018E-2</v>
      </c>
      <c r="AH35" s="114">
        <f>IFERROR(('BMP P Tracking Table'!$AF35-INDEX('Performance Curves'!$D$1:$L$1,1,MATCH('BMP P Tracking Table'!$AF35,'Performance Curves'!$D$1:$L$1,1)))/(INDEX('Performance Curves'!$D$1:$L$1,1,MATCH('BMP P Tracking Table'!$AF35,'Performance Curves'!$D$1:$L$1,1)+1)-INDEX('Performance Curves'!$D$1:$L$1,1,MATCH('BMP P Tracking Table'!$AF35,'Performance Curves'!$D$1:$L$1,1))),"")</f>
        <v>0.64142271150608732</v>
      </c>
      <c r="AI35" s="115">
        <f>IFERROR(IF('BMP P Tracking Table'!$AF35=2,VLOOKUP(CONCATENATE('BMP P Tracking Table'!$U35," ",'BMP P Tracking Table'!$AD35),'Performance Curves'!$C$1:$L$46,_xlfn.SINGLE(MATCH('BMP P Tracking Table'!$AF35,'Performance Curves'!$D$1:$L$1,1))+1,FALSE),'BMP P Tracking Table'!$AG35*'BMP P Tracking Table'!$AH35+VLOOKUP(CONCATENATE('BMP P Tracking Table'!$U35," ",'BMP P Tracking Table'!$AD35),'Performance Curves'!$C$1:$L$46,_xlfn.SINGLE(MATCH('BMP P Tracking Table'!$AF35,'Performance Curves'!$D$1:$L$1,1))+1,FALSE)),"")</f>
        <v>0.99282845423012178</v>
      </c>
      <c r="AJ35" s="114">
        <f>IFERROR('BMP P Tracking Table'!$AI35*'BMP P Tracking Table'!$AE35,"")</f>
        <v>1.5929932548122305</v>
      </c>
      <c r="AK35" s="110"/>
      <c r="AL35" s="116" t="s">
        <v>62</v>
      </c>
      <c r="AM35" s="116"/>
      <c r="AN35" s="117">
        <v>0.26</v>
      </c>
      <c r="AO35" s="118">
        <f t="shared" si="4"/>
        <v>0.41417824625117994</v>
      </c>
      <c r="AP35" s="116"/>
      <c r="AQ35" s="116"/>
      <c r="AR35" s="116"/>
      <c r="AS35" s="116"/>
      <c r="AT35" s="116"/>
      <c r="AU35" s="116"/>
      <c r="AV35" s="116"/>
      <c r="AW35" s="110"/>
      <c r="AX35" s="119"/>
      <c r="AY35" s="119"/>
      <c r="AZ35" s="114" t="str">
        <f>IF('BMP P Tracking Table'!$AL35="Yes",IF('BMP P Tracking Table'!$AM35="No",'BMP P Tracking Table'!$V35*VLOOKUP('BMP P Tracking Table'!$R35,'Loading Rates'!$B$1:$L$24,4,FALSE)+IF('BMP P Tracking Table'!$W35="By HSG",'BMP P Tracking Table'!$X35*VLOOKUP('BMP P Tracking Table'!$R35,'Loading Rates'!$B$1:$L$24,6,FALSE)+'BMP P Tracking Table'!$Y35*VLOOKUP('BMP P Tracking Table'!$R35,'Loading Rates'!$B$1:$L$24,7,FALSE)+'BMP P Tracking Table'!$Z35*VLOOKUP('BMP P Tracking Table'!$R35,'Loading Rates'!$B$1:$L$24,8,FALSE)+'BMP P Tracking Table'!$AA35*VLOOKUP('BMP P Tracking Table'!$R35,'Loading Rates'!$B$1:$L$24,9,FALSE),'BMP P Tracking Table'!$AB35*VLOOKUP('BMP P Tracking Table'!$R35,'Loading Rates'!$B$1:$L$24,10,FALSE)),'BMP P Tracking Table'!$AP35*VLOOKUP('BMP P Tracking Table'!$R35,'Loading Rates'!$B$1:$L$24,4,FALSE)+IF('BMP P Tracking Table'!$AQ35="By HSG",'BMP P Tracking Table'!$AR35*VLOOKUP('BMP P Tracking Table'!$R35,'Loading Rates'!$B$1:$L$24,6,FALSE)+'BMP P Tracking Table'!$AS35*VLOOKUP('BMP P Tracking Table'!$R35,'Loading Rates'!$B$1:$L$24,7,FALSE)+'BMP P Tracking Table'!$AT35*VLOOKUP('BMP P Tracking Table'!$R35,'Loading Rates'!$B$1:$L$24,8,FALSE)+'BMP P Tracking Table'!$AU35*VLOOKUP('BMP P Tracking Table'!$R35,'Loading Rates'!$B$1:$L$24,9,FALSE),'BMP P Tracking Table'!$AV35*VLOOKUP('BMP P Tracking Table'!$R35,'Loading Rates'!$B$1:$L$24,10,FALSE))),"")</f>
        <v/>
      </c>
      <c r="BA35" s="114">
        <f>IFERROR(IF('BMP P Tracking Table'!$AM35="Yes",MIN(2,IF('BMP P Tracking Table'!$AQ35="Total Pervious",(-(3630*'BMP P Tracking Table'!$AP35+20.691*'BMP P Tracking Table'!$AV35)+SQRT((3630*'BMP P Tracking Table'!$AP35+20.691*'BMP P Tracking Table'!$AV35)^2-(4*(996.798*'BMP P Tracking Table'!$AV35)*-'BMP P Tracking Table'!$AX35)))/(2*(996.798*'BMP P Tracking Table'!$AV35)),IF(SUM('BMP P Tracking Table'!$AR35:$AU35)=0,'BMP P Tracking Table'!$AV35/(-3630*'BMP P Tracking Table'!$AP35),(-(3630*'BMP P Tracking Table'!$AP35+20.691*'BMP P Tracking Table'!$AU35-216.711*'BMP P Tracking Table'!$AT35-83.853*'BMP P Tracking Table'!$AS35-42.834*'BMP P Tracking Table'!$AR35)+SQRT((3630*'BMP P Tracking Table'!$AP35+20.691*'BMP P Tracking Table'!$AU35-216.711*'BMP P Tracking Table'!$AT35-83.853*'BMP P Tracking Table'!$AS35-42.834*'BMP P Tracking Table'!$AR35)^2-(4*(149.919*'BMP P Tracking Table'!$AR35+236.676*'BMP P Tracking Table'!$AS35+726*'BMP P Tracking Table'!$AT35+996.798*'BMP P Tracking Table'!$AU35)*-'BMP P Tracking Table'!$AX35)))/(2*(149.919*'BMP P Tracking Table'!$AR35+236.676*'BMP P Tracking Table'!$AS35+726*'BMP P Tracking Table'!$AT35+996.798*'BMP P Tracking Table'!$AU35))))),MIN(2,IF('BMP P Tracking Table'!$AQ35="Total Pervious",(-(3630*'BMP P Tracking Table'!$V35+20.691*'BMP P Tracking Table'!$AB35)+SQRT((3630*'BMP P Tracking Table'!$V35+20.691*'BMP P Tracking Table'!$AB35)^2-(4*(996.798*'BMP P Tracking Table'!$AB35)*-'BMP P Tracking Table'!$AX35)))/(2*(996.798*'BMP P Tracking Table'!$AB35)),IF(SUM('BMP P Tracking Table'!$X35:$AA35)=0,'BMP P Tracking Table'!$AX35/(-3630*'BMP P Tracking Table'!$V35),(-(3630*'BMP P Tracking Table'!$V35+20.691*'BMP P Tracking Table'!$AA35-216.711*'BMP P Tracking Table'!$Z35-83.853*'BMP P Tracking Table'!$Y35-42.834*'BMP P Tracking Table'!$X35)+SQRT((3630*'BMP P Tracking Table'!$V35+20.691*'BMP P Tracking Table'!$AA35-216.711*'BMP P Tracking Table'!$Z35-83.853*'BMP P Tracking Table'!$Y35-42.834*'BMP P Tracking Table'!$X35)^2-(4*(149.919*'BMP P Tracking Table'!$X35+236.676*'BMP P Tracking Table'!$Y35+726*'BMP P Tracking Table'!$Z35+996.798*'BMP P Tracking Table'!$AA35)*-'BMP P Tracking Table'!$AX35)))/(2*(149.919*'BMP P Tracking Table'!$X35+236.676*'BMP P Tracking Table'!$Y35+726*'BMP P Tracking Table'!$Z35+996.798*'BMP P Tracking Table'!$AA35)))))),"")</f>
        <v>0</v>
      </c>
      <c r="BB35" s="118" t="str">
        <f>IFERROR((VLOOKUP(CONCATENATE('BMP P Tracking Table'!$AW35," ",'BMP P Tracking Table'!$AY35),'Performance Curves'!$C$1:$L$46,_xlfn.SINGLE(MATCH('BMP P Tracking Table'!$BA35,'Performance Curves'!$D$1:$L$1,1))+2,FALSE)-VLOOKUP(CONCATENATE('BMP P Tracking Table'!$AW35," ",'BMP P Tracking Table'!$AY35),'Performance Curves'!$C$1:$L$46,_xlfn.SINGLE(MATCH('BMP P Tracking Table'!$BA35,'Performance Curves'!$D$1:$L$1,1))+1,FALSE)),"")</f>
        <v/>
      </c>
      <c r="BC35" s="118">
        <f>IFERROR(('BMP P Tracking Table'!$BA35-INDEX('Performance Curves'!$D$1:$L$1,1,MATCH('BMP P Tracking Table'!$BA35,'Performance Curves'!$D$1:$L$1,1)))/(INDEX('Performance Curves'!$D$1:$L$1,1,MATCH('BMP P Tracking Table'!$BA35,'Performance Curves'!$D$1:$L$1,1)+1)-INDEX('Performance Curves'!$D$1:$L$1,1,MATCH('BMP P Tracking Table'!$BA35,'Performance Curves'!$D$1:$L$1,1))),"")</f>
        <v>0</v>
      </c>
      <c r="BD35" s="115" t="str" cm="1">
        <f t="array" ref="BD35">IFERROR(IF('BMP P Tracking Table'!$BA35=2,VLOOKUP(CONCATENATE('BMP P Tracking Table'!$AW35," ",'BMP P Tracking Table'!$AY35),'Performance Curves'!$C$1:$L$44,_xlfn.SINGLE(MATCH('BMP P Tracking Table'!$BA35,'Performance Curves'!$D$1:$L$1,1))+1,FALSE),'BMP P Tracking Table'!$BB35*'BMP P Tracking Table'!$BC35+VLOOKUP(CONCATENATE('BMP P Tracking Table'!$AW35," ",'BMP P Tracking Table'!$AY35),'Performance Curves'!$C$1:$L$44,_xlfn.SINGLE(MATCH('BMP P Tracking Table'!$BA35,'Performance Curves'!$D$1:$L$1,1))+1,FALSE)),"")</f>
        <v/>
      </c>
      <c r="BE35" s="114" t="str">
        <f>IFERROR('BMP P Tracking Table'!$BD35*'BMP P Tracking Table'!$AZ35,"")</f>
        <v/>
      </c>
      <c r="BF35" s="116"/>
      <c r="BG35" s="120">
        <f t="shared" si="3"/>
        <v>0</v>
      </c>
      <c r="BH35" s="121" t="s">
        <v>648</v>
      </c>
      <c r="BI35" s="36" t="str">
        <f t="shared" si="1"/>
        <v xml:space="preserve">3790-9010.R1 </v>
      </c>
      <c r="BJ35" s="36" t="str">
        <f t="shared" si="2"/>
        <v>Oak Ridge-Forestdale Drywells SN 006</v>
      </c>
      <c r="BK35" s="121"/>
      <c r="BL35" s="121"/>
      <c r="BM35" s="121"/>
    </row>
    <row r="36" spans="1:65" s="36" customFormat="1">
      <c r="A36" s="217" t="s">
        <v>588</v>
      </c>
      <c r="B36" s="110" t="s">
        <v>588</v>
      </c>
      <c r="C36" s="110" t="s">
        <v>595</v>
      </c>
      <c r="D36" s="110" t="s">
        <v>327</v>
      </c>
      <c r="E36" s="110" t="s">
        <v>9</v>
      </c>
      <c r="F36" s="111"/>
      <c r="G36" s="111"/>
      <c r="H36" s="110" t="s">
        <v>588</v>
      </c>
      <c r="I36" s="110"/>
      <c r="J36" s="110" t="s">
        <v>66</v>
      </c>
      <c r="K36" s="112"/>
      <c r="L36" s="110" t="s">
        <v>111</v>
      </c>
      <c r="M36" s="110"/>
      <c r="N36" s="218">
        <v>37529</v>
      </c>
      <c r="O36" s="110"/>
      <c r="P36" s="110"/>
      <c r="Q36" s="110" t="s">
        <v>119</v>
      </c>
      <c r="R36" s="110" t="s">
        <v>146</v>
      </c>
      <c r="S36" s="110" t="str">
        <f>IFERROR(VLOOKUP('BMP P Tracking Table'!$R36,Dropdowns!$Q$3:$R$23,2,FALSE),"")</f>
        <v>Main Lake</v>
      </c>
      <c r="T36" s="110" t="s">
        <v>62</v>
      </c>
      <c r="U36" s="110" t="s">
        <v>47</v>
      </c>
      <c r="V36" s="110">
        <v>1.32</v>
      </c>
      <c r="W36" s="110" t="s">
        <v>219</v>
      </c>
      <c r="X36" s="110"/>
      <c r="Y36" s="110"/>
      <c r="Z36" s="110"/>
      <c r="AA36" s="110"/>
      <c r="AB36" s="110">
        <v>1.82</v>
      </c>
      <c r="AC36" s="113">
        <v>10127</v>
      </c>
      <c r="AD36" s="110" t="s">
        <v>206</v>
      </c>
      <c r="AE36" s="114">
        <f>IFERROR('BMP P Tracking Table'!$V36*VLOOKUP('BMP P Tracking Table'!$R36,'Loading Rates'!$B$1:$L$24,4,FALSE)+IF('BMP P Tracking Table'!$W36="By HSG",'BMP P Tracking Table'!$X36*VLOOKUP('BMP P Tracking Table'!$R36,'Loading Rates'!$B$1:$L$24,6,FALSE)+'BMP P Tracking Table'!$Y36*VLOOKUP('BMP P Tracking Table'!$R36,'Loading Rates'!$B$1:$L$24,7,FALSE)+'BMP P Tracking Table'!$Z36*VLOOKUP('BMP P Tracking Table'!$R36,'Loading Rates'!$B$1:$L$24,8,FALSE)+'BMP P Tracking Table'!$AA36*VLOOKUP('BMP P Tracking Table'!$R36,'Loading Rates'!$B$1:$L$24,9,FALSE),'BMP P Tracking Table'!$AB36*VLOOKUP('BMP P Tracking Table'!$R36,'Loading Rates'!$B$1:$L$24,10,FALSE)),"")</f>
        <v>1.89486</v>
      </c>
      <c r="AF36" s="114">
        <f>IFERROR(MIN(2,IF('BMP P Tracking Table'!$W36="Total Pervious",(-(3630*'BMP P Tracking Table'!$V36+20.691*'BMP P Tracking Table'!$AB36)+SQRT((3630*'BMP P Tracking Table'!$V36+20.691*'BMP P Tracking Table'!$AB36)^2-(4*(996.798*'BMP P Tracking Table'!$AB36)*-'BMP P Tracking Table'!$AC36)))/(2*(996.798*'BMP P Tracking Table'!$AB36)),IF(SUM('BMP P Tracking Table'!$X36:$AA36)=0,'BMP P Tracking Table'!$AC36/(-3630*'BMP P Tracking Table'!$V36),(-(3630*'BMP P Tracking Table'!$V36+20.691*'BMP P Tracking Table'!$AA36-216.711*'BMP P Tracking Table'!$Z36-83.853*'BMP P Tracking Table'!$Y36-42.834*'BMP P Tracking Table'!$X36)+SQRT((3630*'BMP P Tracking Table'!$V36+20.691*'BMP P Tracking Table'!$AA36-216.711*'BMP P Tracking Table'!$Z36-83.853*'BMP P Tracking Table'!$Y36-42.834*'BMP P Tracking Table'!$X36)^2-(4*(149.919*'BMP P Tracking Table'!$X36+236.676*'BMP P Tracking Table'!$Y36+726*'BMP P Tracking Table'!$Z36+996.798*'BMP P Tracking Table'!$AA36)*-'BMP P Tracking Table'!$AC36)))/(2*(149.919*'BMP P Tracking Table'!$X36+236.676*'BMP P Tracking Table'!$Y36+726*'BMP P Tracking Table'!$Z36+996.798*'BMP P Tracking Table'!$AA36))))),"")</f>
        <v>1.3807841839811335</v>
      </c>
      <c r="AG36" s="114">
        <f>IFERROR((VLOOKUP(CONCATENATE('BMP P Tracking Table'!$U36," ",'BMP P Tracking Table'!$AD36),'Performance Curves'!$C$1:$L$46,_xlfn.SINGLE(MATCH('BMP P Tracking Table'!$AF36,'Performance Curves'!$D$1:$L$1,1))+2,FALSE)-VLOOKUP(CONCATENATE('BMP P Tracking Table'!$U36," ",'BMP P Tracking Table'!$AD36),'Performance Curves'!$C$1:$L$46,_xlfn.SINGLE(MATCH('BMP P Tracking Table'!$AF36,'Performance Curves'!$D$1:$L$1,1))+1,FALSE)),"")</f>
        <v>2.0000000000000018E-2</v>
      </c>
      <c r="AH36" s="114">
        <f>IFERROR(('BMP P Tracking Table'!$AF36-INDEX('Performance Curves'!$D$1:$L$1,1,MATCH('BMP P Tracking Table'!$AF36,'Performance Curves'!$D$1:$L$1,1)))/(INDEX('Performance Curves'!$D$1:$L$1,1,MATCH('BMP P Tracking Table'!$AF36,'Performance Curves'!$D$1:$L$1,1)+1)-INDEX('Performance Curves'!$D$1:$L$1,1,MATCH('BMP P Tracking Table'!$AF36,'Performance Curves'!$D$1:$L$1,1))),"")</f>
        <v>0.7615683679622669</v>
      </c>
      <c r="AI36" s="115">
        <f>IFERROR(IF('BMP P Tracking Table'!$AF36=2,VLOOKUP(CONCATENATE('BMP P Tracking Table'!$U36," ",'BMP P Tracking Table'!$AD36),'Performance Curves'!$C$1:$L$46,_xlfn.SINGLE(MATCH('BMP P Tracking Table'!$AF36,'Performance Curves'!$D$1:$L$1,1))+1,FALSE),'BMP P Tracking Table'!$AG36*'BMP P Tracking Table'!$AH36+VLOOKUP(CONCATENATE('BMP P Tracking Table'!$U36," ",'BMP P Tracking Table'!$AD36),'Performance Curves'!$C$1:$L$46,_xlfn.SINGLE(MATCH('BMP P Tracking Table'!$AF36,'Performance Curves'!$D$1:$L$1,1))+1,FALSE)),"")</f>
        <v>0.99523136735924533</v>
      </c>
      <c r="AJ36" s="114">
        <f>IFERROR('BMP P Tracking Table'!$AI36*'BMP P Tracking Table'!$AE36,"")</f>
        <v>1.8858241087543397</v>
      </c>
      <c r="AK36" s="110"/>
      <c r="AL36" s="116" t="s">
        <v>62</v>
      </c>
      <c r="AM36" s="116"/>
      <c r="AN36" s="117">
        <v>0.3</v>
      </c>
      <c r="AO36" s="118">
        <f t="shared" si="4"/>
        <v>0.56574723262630189</v>
      </c>
      <c r="AP36" s="116"/>
      <c r="AQ36" s="116"/>
      <c r="AR36" s="116"/>
      <c r="AS36" s="116"/>
      <c r="AT36" s="116"/>
      <c r="AU36" s="116"/>
      <c r="AV36" s="116"/>
      <c r="AW36" s="110"/>
      <c r="AX36" s="119"/>
      <c r="AY36" s="119"/>
      <c r="AZ36" s="114" t="str">
        <f>IF('BMP P Tracking Table'!$AL36="Yes",IF('BMP P Tracking Table'!$AM36="No",'BMP P Tracking Table'!$V36*VLOOKUP('BMP P Tracking Table'!$R36,'Loading Rates'!$B$1:$L$24,4,FALSE)+IF('BMP P Tracking Table'!$W36="By HSG",'BMP P Tracking Table'!$X36*VLOOKUP('BMP P Tracking Table'!$R36,'Loading Rates'!$B$1:$L$24,6,FALSE)+'BMP P Tracking Table'!$Y36*VLOOKUP('BMP P Tracking Table'!$R36,'Loading Rates'!$B$1:$L$24,7,FALSE)+'BMP P Tracking Table'!$Z36*VLOOKUP('BMP P Tracking Table'!$R36,'Loading Rates'!$B$1:$L$24,8,FALSE)+'BMP P Tracking Table'!$AA36*VLOOKUP('BMP P Tracking Table'!$R36,'Loading Rates'!$B$1:$L$24,9,FALSE),'BMP P Tracking Table'!$AB36*VLOOKUP('BMP P Tracking Table'!$R36,'Loading Rates'!$B$1:$L$24,10,FALSE)),'BMP P Tracking Table'!$AP36*VLOOKUP('BMP P Tracking Table'!$R36,'Loading Rates'!$B$1:$L$24,4,FALSE)+IF('BMP P Tracking Table'!$AQ36="By HSG",'BMP P Tracking Table'!$AR36*VLOOKUP('BMP P Tracking Table'!$R36,'Loading Rates'!$B$1:$L$24,6,FALSE)+'BMP P Tracking Table'!$AS36*VLOOKUP('BMP P Tracking Table'!$R36,'Loading Rates'!$B$1:$L$24,7,FALSE)+'BMP P Tracking Table'!$AT36*VLOOKUP('BMP P Tracking Table'!$R36,'Loading Rates'!$B$1:$L$24,8,FALSE)+'BMP P Tracking Table'!$AU36*VLOOKUP('BMP P Tracking Table'!$R36,'Loading Rates'!$B$1:$L$24,9,FALSE),'BMP P Tracking Table'!$AV36*VLOOKUP('BMP P Tracking Table'!$R36,'Loading Rates'!$B$1:$L$24,10,FALSE))),"")</f>
        <v/>
      </c>
      <c r="BA36" s="114">
        <f>IFERROR(IF('BMP P Tracking Table'!$AM36="Yes",MIN(2,IF('BMP P Tracking Table'!$AQ36="Total Pervious",(-(3630*'BMP P Tracking Table'!$AP36+20.691*'BMP P Tracking Table'!$AV36)+SQRT((3630*'BMP P Tracking Table'!$AP36+20.691*'BMP P Tracking Table'!$AV36)^2-(4*(996.798*'BMP P Tracking Table'!$AV36)*-'BMP P Tracking Table'!$AX36)))/(2*(996.798*'BMP P Tracking Table'!$AV36)),IF(SUM('BMP P Tracking Table'!$AR36:$AU36)=0,'BMP P Tracking Table'!$AV36/(-3630*'BMP P Tracking Table'!$AP36),(-(3630*'BMP P Tracking Table'!$AP36+20.691*'BMP P Tracking Table'!$AU36-216.711*'BMP P Tracking Table'!$AT36-83.853*'BMP P Tracking Table'!$AS36-42.834*'BMP P Tracking Table'!$AR36)+SQRT((3630*'BMP P Tracking Table'!$AP36+20.691*'BMP P Tracking Table'!$AU36-216.711*'BMP P Tracking Table'!$AT36-83.853*'BMP P Tracking Table'!$AS36-42.834*'BMP P Tracking Table'!$AR36)^2-(4*(149.919*'BMP P Tracking Table'!$AR36+236.676*'BMP P Tracking Table'!$AS36+726*'BMP P Tracking Table'!$AT36+996.798*'BMP P Tracking Table'!$AU36)*-'BMP P Tracking Table'!$AX36)))/(2*(149.919*'BMP P Tracking Table'!$AR36+236.676*'BMP P Tracking Table'!$AS36+726*'BMP P Tracking Table'!$AT36+996.798*'BMP P Tracking Table'!$AU36))))),MIN(2,IF('BMP P Tracking Table'!$AQ36="Total Pervious",(-(3630*'BMP P Tracking Table'!$V36+20.691*'BMP P Tracking Table'!$AB36)+SQRT((3630*'BMP P Tracking Table'!$V36+20.691*'BMP P Tracking Table'!$AB36)^2-(4*(996.798*'BMP P Tracking Table'!$AB36)*-'BMP P Tracking Table'!$AX36)))/(2*(996.798*'BMP P Tracking Table'!$AB36)),IF(SUM('BMP P Tracking Table'!$X36:$AA36)=0,'BMP P Tracking Table'!$AX36/(-3630*'BMP P Tracking Table'!$V36),(-(3630*'BMP P Tracking Table'!$V36+20.691*'BMP P Tracking Table'!$AA36-216.711*'BMP P Tracking Table'!$Z36-83.853*'BMP P Tracking Table'!$Y36-42.834*'BMP P Tracking Table'!$X36)+SQRT((3630*'BMP P Tracking Table'!$V36+20.691*'BMP P Tracking Table'!$AA36-216.711*'BMP P Tracking Table'!$Z36-83.853*'BMP P Tracking Table'!$Y36-42.834*'BMP P Tracking Table'!$X36)^2-(4*(149.919*'BMP P Tracking Table'!$X36+236.676*'BMP P Tracking Table'!$Y36+726*'BMP P Tracking Table'!$Z36+996.798*'BMP P Tracking Table'!$AA36)*-'BMP P Tracking Table'!$AX36)))/(2*(149.919*'BMP P Tracking Table'!$X36+236.676*'BMP P Tracking Table'!$Y36+726*'BMP P Tracking Table'!$Z36+996.798*'BMP P Tracking Table'!$AA36)))))),"")</f>
        <v>0</v>
      </c>
      <c r="BB36" s="118" t="str">
        <f>IFERROR((VLOOKUP(CONCATENATE('BMP P Tracking Table'!$AW36," ",'BMP P Tracking Table'!$AY36),'Performance Curves'!$C$1:$L$46,_xlfn.SINGLE(MATCH('BMP P Tracking Table'!$BA36,'Performance Curves'!$D$1:$L$1,1))+2,FALSE)-VLOOKUP(CONCATENATE('BMP P Tracking Table'!$AW36," ",'BMP P Tracking Table'!$AY36),'Performance Curves'!$C$1:$L$46,_xlfn.SINGLE(MATCH('BMP P Tracking Table'!$BA36,'Performance Curves'!$D$1:$L$1,1))+1,FALSE)),"")</f>
        <v/>
      </c>
      <c r="BC36" s="118">
        <f>IFERROR(('BMP P Tracking Table'!$BA36-INDEX('Performance Curves'!$D$1:$L$1,1,MATCH('BMP P Tracking Table'!$BA36,'Performance Curves'!$D$1:$L$1,1)))/(INDEX('Performance Curves'!$D$1:$L$1,1,MATCH('BMP P Tracking Table'!$BA36,'Performance Curves'!$D$1:$L$1,1)+1)-INDEX('Performance Curves'!$D$1:$L$1,1,MATCH('BMP P Tracking Table'!$BA36,'Performance Curves'!$D$1:$L$1,1))),"")</f>
        <v>0</v>
      </c>
      <c r="BD36" s="115" t="str" cm="1">
        <f t="array" ref="BD36">IFERROR(IF('BMP P Tracking Table'!$BA36=2,VLOOKUP(CONCATENATE('BMP P Tracking Table'!$AW36," ",'BMP P Tracking Table'!$AY36),'Performance Curves'!$C$1:$L$44,_xlfn.SINGLE(MATCH('BMP P Tracking Table'!$BA36,'Performance Curves'!$D$1:$L$1,1))+1,FALSE),'BMP P Tracking Table'!$BB36*'BMP P Tracking Table'!$BC36+VLOOKUP(CONCATENATE('BMP P Tracking Table'!$AW36," ",'BMP P Tracking Table'!$AY36),'Performance Curves'!$C$1:$L$44,_xlfn.SINGLE(MATCH('BMP P Tracking Table'!$BA36,'Performance Curves'!$D$1:$L$1,1))+1,FALSE)),"")</f>
        <v/>
      </c>
      <c r="BE36" s="114" t="str">
        <f>IFERROR('BMP P Tracking Table'!$BD36*'BMP P Tracking Table'!$AZ36,"")</f>
        <v/>
      </c>
      <c r="BF36" s="116"/>
      <c r="BG36" s="120">
        <f t="shared" si="3"/>
        <v>0</v>
      </c>
      <c r="BH36" s="121" t="s">
        <v>648</v>
      </c>
      <c r="BI36" s="36" t="str">
        <f t="shared" si="1"/>
        <v xml:space="preserve">3790-9010.R1 </v>
      </c>
      <c r="BJ36" s="36" t="str">
        <f t="shared" si="2"/>
        <v>Oak Ridge-Forestdale Drywells SN 007</v>
      </c>
      <c r="BK36" s="121"/>
      <c r="BL36" s="121"/>
      <c r="BM36" s="121"/>
    </row>
    <row r="37" spans="1:65" s="36" customFormat="1">
      <c r="A37" s="217" t="s">
        <v>588</v>
      </c>
      <c r="B37" s="110" t="s">
        <v>588</v>
      </c>
      <c r="C37" s="110" t="s">
        <v>596</v>
      </c>
      <c r="D37" s="110" t="s">
        <v>327</v>
      </c>
      <c r="E37" s="110" t="s">
        <v>9</v>
      </c>
      <c r="F37" s="111"/>
      <c r="G37" s="111"/>
      <c r="H37" s="110" t="s">
        <v>588</v>
      </c>
      <c r="I37" s="110"/>
      <c r="J37" s="110" t="s">
        <v>66</v>
      </c>
      <c r="K37" s="112"/>
      <c r="L37" s="110" t="s">
        <v>111</v>
      </c>
      <c r="M37" s="110"/>
      <c r="N37" s="218">
        <v>37529</v>
      </c>
      <c r="O37" s="110"/>
      <c r="P37" s="110"/>
      <c r="Q37" s="110" t="s">
        <v>119</v>
      </c>
      <c r="R37" s="110" t="s">
        <v>146</v>
      </c>
      <c r="S37" s="110" t="str">
        <f>IFERROR(VLOOKUP('BMP P Tracking Table'!$R37,Dropdowns!$Q$3:$R$23,2,FALSE),"")</f>
        <v>Main Lake</v>
      </c>
      <c r="T37" s="110" t="s">
        <v>62</v>
      </c>
      <c r="U37" s="110" t="s">
        <v>47</v>
      </c>
      <c r="V37" s="110">
        <v>1.1599999999999999</v>
      </c>
      <c r="W37" s="110" t="s">
        <v>219</v>
      </c>
      <c r="X37" s="110"/>
      <c r="Y37" s="110"/>
      <c r="Z37" s="110"/>
      <c r="AA37" s="110"/>
      <c r="AB37" s="110">
        <v>1.93</v>
      </c>
      <c r="AC37" s="113">
        <v>6947</v>
      </c>
      <c r="AD37" s="110" t="s">
        <v>206</v>
      </c>
      <c r="AE37" s="114">
        <f>IFERROR('BMP P Tracking Table'!$V37*VLOOKUP('BMP P Tracking Table'!$R37,'Loading Rates'!$B$1:$L$24,4,FALSE)+IF('BMP P Tracking Table'!$W37="By HSG",'BMP P Tracking Table'!$X37*VLOOKUP('BMP P Tracking Table'!$R37,'Loading Rates'!$B$1:$L$24,6,FALSE)+'BMP P Tracking Table'!$Y37*VLOOKUP('BMP P Tracking Table'!$R37,'Loading Rates'!$B$1:$L$24,7,FALSE)+'BMP P Tracking Table'!$Z37*VLOOKUP('BMP P Tracking Table'!$R37,'Loading Rates'!$B$1:$L$24,8,FALSE)+'BMP P Tracking Table'!$AA37*VLOOKUP('BMP P Tracking Table'!$R37,'Loading Rates'!$B$1:$L$24,9,FALSE),'BMP P Tracking Table'!$AB37*VLOOKUP('BMP P Tracking Table'!$R37,'Loading Rates'!$B$1:$L$24,10,FALSE)),"")</f>
        <v>1.7415499999999999</v>
      </c>
      <c r="AF37" s="114">
        <f>IFERROR(MIN(2,IF('BMP P Tracking Table'!$W37="Total Pervious",(-(3630*'BMP P Tracking Table'!$V37+20.691*'BMP P Tracking Table'!$AB37)+SQRT((3630*'BMP P Tracking Table'!$V37+20.691*'BMP P Tracking Table'!$AB37)^2-(4*(996.798*'BMP P Tracking Table'!$AB37)*-'BMP P Tracking Table'!$AC37)))/(2*(996.798*'BMP P Tracking Table'!$AB37)),IF(SUM('BMP P Tracking Table'!$X37:$AA37)=0,'BMP P Tracking Table'!$AC37/(-3630*'BMP P Tracking Table'!$V37),(-(3630*'BMP P Tracking Table'!$V37+20.691*'BMP P Tracking Table'!$AA37-216.711*'BMP P Tracking Table'!$Z37-83.853*'BMP P Tracking Table'!$Y37-42.834*'BMP P Tracking Table'!$X37)+SQRT((3630*'BMP P Tracking Table'!$V37+20.691*'BMP P Tracking Table'!$AA37-216.711*'BMP P Tracking Table'!$Z37-83.853*'BMP P Tracking Table'!$Y37-42.834*'BMP P Tracking Table'!$X37)^2-(4*(149.919*'BMP P Tracking Table'!$X37+236.676*'BMP P Tracking Table'!$Y37+726*'BMP P Tracking Table'!$Z37+996.798*'BMP P Tracking Table'!$AA37)*-'BMP P Tracking Table'!$AC37)))/(2*(149.919*'BMP P Tracking Table'!$X37+236.676*'BMP P Tracking Table'!$Y37+726*'BMP P Tracking Table'!$Z37+996.798*'BMP P Tracking Table'!$AA37))))),"")</f>
        <v>1.0933143426696652</v>
      </c>
      <c r="AG37" s="114">
        <f>IFERROR((VLOOKUP(CONCATENATE('BMP P Tracking Table'!$U37," ",'BMP P Tracking Table'!$AD37),'Performance Curves'!$C$1:$L$46,_xlfn.SINGLE(MATCH('BMP P Tracking Table'!$AF37,'Performance Curves'!$D$1:$L$1,1))+2,FALSE)-VLOOKUP(CONCATENATE('BMP P Tracking Table'!$U37," ",'BMP P Tracking Table'!$AD37),'Performance Curves'!$C$1:$L$46,_xlfn.SINGLE(MATCH('BMP P Tracking Table'!$AF37,'Performance Curves'!$D$1:$L$1,1))+1,FALSE)),"")</f>
        <v>2.0000000000000018E-2</v>
      </c>
      <c r="AH37" s="114">
        <f>IFERROR(('BMP P Tracking Table'!$AF37-INDEX('Performance Curves'!$D$1:$L$1,1,MATCH('BMP P Tracking Table'!$AF37,'Performance Curves'!$D$1:$L$1,1)))/(INDEX('Performance Curves'!$D$1:$L$1,1,MATCH('BMP P Tracking Table'!$AF37,'Performance Curves'!$D$1:$L$1,1)+1)-INDEX('Performance Curves'!$D$1:$L$1,1,MATCH('BMP P Tracking Table'!$AF37,'Performance Curves'!$D$1:$L$1,1))),"")</f>
        <v>0.18662868533933041</v>
      </c>
      <c r="AI37" s="115">
        <f>IFERROR(IF('BMP P Tracking Table'!$AF37=2,VLOOKUP(CONCATENATE('BMP P Tracking Table'!$U37," ",'BMP P Tracking Table'!$AD37),'Performance Curves'!$C$1:$L$46,_xlfn.SINGLE(MATCH('BMP P Tracking Table'!$AF37,'Performance Curves'!$D$1:$L$1,1))+1,FALSE),'BMP P Tracking Table'!$AG37*'BMP P Tracking Table'!$AH37+VLOOKUP(CONCATENATE('BMP P Tracking Table'!$U37," ",'BMP P Tracking Table'!$AD37),'Performance Curves'!$C$1:$L$46,_xlfn.SINGLE(MATCH('BMP P Tracking Table'!$AF37,'Performance Curves'!$D$1:$L$1,1))+1,FALSE)),"")</f>
        <v>0.98373257370678657</v>
      </c>
      <c r="AJ37" s="114">
        <f>IFERROR('BMP P Tracking Table'!$AI37*'BMP P Tracking Table'!$AE37,"")</f>
        <v>1.7132194637390541</v>
      </c>
      <c r="AK37" s="110"/>
      <c r="AL37" s="116" t="s">
        <v>62</v>
      </c>
      <c r="AM37" s="116"/>
      <c r="AN37" s="117">
        <v>0.25</v>
      </c>
      <c r="AO37" s="118">
        <f t="shared" si="4"/>
        <v>0.42830486593476352</v>
      </c>
      <c r="AP37" s="116"/>
      <c r="AQ37" s="116"/>
      <c r="AR37" s="116"/>
      <c r="AS37" s="116"/>
      <c r="AT37" s="116"/>
      <c r="AU37" s="116"/>
      <c r="AV37" s="116"/>
      <c r="AW37" s="110"/>
      <c r="AX37" s="119"/>
      <c r="AY37" s="119"/>
      <c r="AZ37" s="114" t="str">
        <f>IF('BMP P Tracking Table'!$AL37="Yes",IF('BMP P Tracking Table'!$AM37="No",'BMP P Tracking Table'!$V37*VLOOKUP('BMP P Tracking Table'!$R37,'Loading Rates'!$B$1:$L$24,4,FALSE)+IF('BMP P Tracking Table'!$W37="By HSG",'BMP P Tracking Table'!$X37*VLOOKUP('BMP P Tracking Table'!$R37,'Loading Rates'!$B$1:$L$24,6,FALSE)+'BMP P Tracking Table'!$Y37*VLOOKUP('BMP P Tracking Table'!$R37,'Loading Rates'!$B$1:$L$24,7,FALSE)+'BMP P Tracking Table'!$Z37*VLOOKUP('BMP P Tracking Table'!$R37,'Loading Rates'!$B$1:$L$24,8,FALSE)+'BMP P Tracking Table'!$AA37*VLOOKUP('BMP P Tracking Table'!$R37,'Loading Rates'!$B$1:$L$24,9,FALSE),'BMP P Tracking Table'!$AB37*VLOOKUP('BMP P Tracking Table'!$R37,'Loading Rates'!$B$1:$L$24,10,FALSE)),'BMP P Tracking Table'!$AP37*VLOOKUP('BMP P Tracking Table'!$R37,'Loading Rates'!$B$1:$L$24,4,FALSE)+IF('BMP P Tracking Table'!$AQ37="By HSG",'BMP P Tracking Table'!$AR37*VLOOKUP('BMP P Tracking Table'!$R37,'Loading Rates'!$B$1:$L$24,6,FALSE)+'BMP P Tracking Table'!$AS37*VLOOKUP('BMP P Tracking Table'!$R37,'Loading Rates'!$B$1:$L$24,7,FALSE)+'BMP P Tracking Table'!$AT37*VLOOKUP('BMP P Tracking Table'!$R37,'Loading Rates'!$B$1:$L$24,8,FALSE)+'BMP P Tracking Table'!$AU37*VLOOKUP('BMP P Tracking Table'!$R37,'Loading Rates'!$B$1:$L$24,9,FALSE),'BMP P Tracking Table'!$AV37*VLOOKUP('BMP P Tracking Table'!$R37,'Loading Rates'!$B$1:$L$24,10,FALSE))),"")</f>
        <v/>
      </c>
      <c r="BA37" s="114">
        <f>IFERROR(IF('BMP P Tracking Table'!$AM37="Yes",MIN(2,IF('BMP P Tracking Table'!$AQ37="Total Pervious",(-(3630*'BMP P Tracking Table'!$AP37+20.691*'BMP P Tracking Table'!$AV37)+SQRT((3630*'BMP P Tracking Table'!$AP37+20.691*'BMP P Tracking Table'!$AV37)^2-(4*(996.798*'BMP P Tracking Table'!$AV37)*-'BMP P Tracking Table'!$AX37)))/(2*(996.798*'BMP P Tracking Table'!$AV37)),IF(SUM('BMP P Tracking Table'!$AR37:$AU37)=0,'BMP P Tracking Table'!$AV37/(-3630*'BMP P Tracking Table'!$AP37),(-(3630*'BMP P Tracking Table'!$AP37+20.691*'BMP P Tracking Table'!$AU37-216.711*'BMP P Tracking Table'!$AT37-83.853*'BMP P Tracking Table'!$AS37-42.834*'BMP P Tracking Table'!$AR37)+SQRT((3630*'BMP P Tracking Table'!$AP37+20.691*'BMP P Tracking Table'!$AU37-216.711*'BMP P Tracking Table'!$AT37-83.853*'BMP P Tracking Table'!$AS37-42.834*'BMP P Tracking Table'!$AR37)^2-(4*(149.919*'BMP P Tracking Table'!$AR37+236.676*'BMP P Tracking Table'!$AS37+726*'BMP P Tracking Table'!$AT37+996.798*'BMP P Tracking Table'!$AU37)*-'BMP P Tracking Table'!$AX37)))/(2*(149.919*'BMP P Tracking Table'!$AR37+236.676*'BMP P Tracking Table'!$AS37+726*'BMP P Tracking Table'!$AT37+996.798*'BMP P Tracking Table'!$AU37))))),MIN(2,IF('BMP P Tracking Table'!$AQ37="Total Pervious",(-(3630*'BMP P Tracking Table'!$V37+20.691*'BMP P Tracking Table'!$AB37)+SQRT((3630*'BMP P Tracking Table'!$V37+20.691*'BMP P Tracking Table'!$AB37)^2-(4*(996.798*'BMP P Tracking Table'!$AB37)*-'BMP P Tracking Table'!$AX37)))/(2*(996.798*'BMP P Tracking Table'!$AB37)),IF(SUM('BMP P Tracking Table'!$X37:$AA37)=0,'BMP P Tracking Table'!$AX37/(-3630*'BMP P Tracking Table'!$V37),(-(3630*'BMP P Tracking Table'!$V37+20.691*'BMP P Tracking Table'!$AA37-216.711*'BMP P Tracking Table'!$Z37-83.853*'BMP P Tracking Table'!$Y37-42.834*'BMP P Tracking Table'!$X37)+SQRT((3630*'BMP P Tracking Table'!$V37+20.691*'BMP P Tracking Table'!$AA37-216.711*'BMP P Tracking Table'!$Z37-83.853*'BMP P Tracking Table'!$Y37-42.834*'BMP P Tracking Table'!$X37)^2-(4*(149.919*'BMP P Tracking Table'!$X37+236.676*'BMP P Tracking Table'!$Y37+726*'BMP P Tracking Table'!$Z37+996.798*'BMP P Tracking Table'!$AA37)*-'BMP P Tracking Table'!$AX37)))/(2*(149.919*'BMP P Tracking Table'!$X37+236.676*'BMP P Tracking Table'!$Y37+726*'BMP P Tracking Table'!$Z37+996.798*'BMP P Tracking Table'!$AA37)))))),"")</f>
        <v>0</v>
      </c>
      <c r="BB37" s="118" t="str">
        <f>IFERROR((VLOOKUP(CONCATENATE('BMP P Tracking Table'!$AW37," ",'BMP P Tracking Table'!$AY37),'Performance Curves'!$C$1:$L$46,_xlfn.SINGLE(MATCH('BMP P Tracking Table'!$BA37,'Performance Curves'!$D$1:$L$1,1))+2,FALSE)-VLOOKUP(CONCATENATE('BMP P Tracking Table'!$AW37," ",'BMP P Tracking Table'!$AY37),'Performance Curves'!$C$1:$L$46,_xlfn.SINGLE(MATCH('BMP P Tracking Table'!$BA37,'Performance Curves'!$D$1:$L$1,1))+1,FALSE)),"")</f>
        <v/>
      </c>
      <c r="BC37" s="118">
        <f>IFERROR(('BMP P Tracking Table'!$BA37-INDEX('Performance Curves'!$D$1:$L$1,1,MATCH('BMP P Tracking Table'!$BA37,'Performance Curves'!$D$1:$L$1,1)))/(INDEX('Performance Curves'!$D$1:$L$1,1,MATCH('BMP P Tracking Table'!$BA37,'Performance Curves'!$D$1:$L$1,1)+1)-INDEX('Performance Curves'!$D$1:$L$1,1,MATCH('BMP P Tracking Table'!$BA37,'Performance Curves'!$D$1:$L$1,1))),"")</f>
        <v>0</v>
      </c>
      <c r="BD37" s="115" t="str" cm="1">
        <f t="array" ref="BD37">IFERROR(IF('BMP P Tracking Table'!$BA37=2,VLOOKUP(CONCATENATE('BMP P Tracking Table'!$AW37," ",'BMP P Tracking Table'!$AY37),'Performance Curves'!$C$1:$L$44,_xlfn.SINGLE(MATCH('BMP P Tracking Table'!$BA37,'Performance Curves'!$D$1:$L$1,1))+1,FALSE),'BMP P Tracking Table'!$BB37*'BMP P Tracking Table'!$BC37+VLOOKUP(CONCATENATE('BMP P Tracking Table'!$AW37," ",'BMP P Tracking Table'!$AY37),'Performance Curves'!$C$1:$L$44,_xlfn.SINGLE(MATCH('BMP P Tracking Table'!$BA37,'Performance Curves'!$D$1:$L$1,1))+1,FALSE)),"")</f>
        <v/>
      </c>
      <c r="BE37" s="114" t="str">
        <f>IFERROR('BMP P Tracking Table'!$BD37*'BMP P Tracking Table'!$AZ37,"")</f>
        <v/>
      </c>
      <c r="BF37" s="116"/>
      <c r="BG37" s="120">
        <f t="shared" si="3"/>
        <v>0</v>
      </c>
      <c r="BH37" s="121" t="s">
        <v>648</v>
      </c>
      <c r="BI37" s="36" t="str">
        <f t="shared" si="1"/>
        <v xml:space="preserve">3790-9010.R1 </v>
      </c>
      <c r="BJ37" s="36" t="str">
        <f t="shared" si="2"/>
        <v>Oak Ridge-Forestdale Drywells SN 008</v>
      </c>
      <c r="BK37" s="121"/>
      <c r="BL37" s="121"/>
      <c r="BM37" s="121"/>
    </row>
    <row r="38" spans="1:65" s="36" customFormat="1">
      <c r="A38" s="217" t="s">
        <v>588</v>
      </c>
      <c r="B38" s="110" t="s">
        <v>588</v>
      </c>
      <c r="C38" s="110" t="s">
        <v>597</v>
      </c>
      <c r="D38" s="110" t="s">
        <v>327</v>
      </c>
      <c r="E38" s="110" t="s">
        <v>9</v>
      </c>
      <c r="F38" s="111"/>
      <c r="G38" s="111"/>
      <c r="H38" s="110" t="s">
        <v>588</v>
      </c>
      <c r="I38" s="110"/>
      <c r="J38" s="110" t="s">
        <v>66</v>
      </c>
      <c r="K38" s="112"/>
      <c r="L38" s="110" t="s">
        <v>111</v>
      </c>
      <c r="M38" s="110"/>
      <c r="N38" s="218">
        <v>37529</v>
      </c>
      <c r="O38" s="110"/>
      <c r="P38" s="110"/>
      <c r="Q38" s="110" t="s">
        <v>119</v>
      </c>
      <c r="R38" s="110" t="s">
        <v>146</v>
      </c>
      <c r="S38" s="110" t="str">
        <f>IFERROR(VLOOKUP('BMP P Tracking Table'!$R38,Dropdowns!$Q$3:$R$23,2,FALSE),"")</f>
        <v>Main Lake</v>
      </c>
      <c r="T38" s="110" t="s">
        <v>62</v>
      </c>
      <c r="U38" s="110" t="s">
        <v>47</v>
      </c>
      <c r="V38" s="110">
        <v>1.1100000000000001</v>
      </c>
      <c r="W38" s="110" t="s">
        <v>219</v>
      </c>
      <c r="X38" s="110"/>
      <c r="Y38" s="110"/>
      <c r="Z38" s="110"/>
      <c r="AA38" s="110"/>
      <c r="AB38" s="110">
        <v>2.09</v>
      </c>
      <c r="AC38" s="113">
        <v>9398</v>
      </c>
      <c r="AD38" s="110" t="s">
        <v>206</v>
      </c>
      <c r="AE38" s="114">
        <f>IFERROR('BMP P Tracking Table'!$V38*VLOOKUP('BMP P Tracking Table'!$R38,'Loading Rates'!$B$1:$L$24,4,FALSE)+IF('BMP P Tracking Table'!$W38="By HSG",'BMP P Tracking Table'!$X38*VLOOKUP('BMP P Tracking Table'!$R38,'Loading Rates'!$B$1:$L$24,6,FALSE)+'BMP P Tracking Table'!$Y38*VLOOKUP('BMP P Tracking Table'!$R38,'Loading Rates'!$B$1:$L$24,7,FALSE)+'BMP P Tracking Table'!$Z38*VLOOKUP('BMP P Tracking Table'!$R38,'Loading Rates'!$B$1:$L$24,8,FALSE)+'BMP P Tracking Table'!$AA38*VLOOKUP('BMP P Tracking Table'!$R38,'Loading Rates'!$B$1:$L$24,9,FALSE),'BMP P Tracking Table'!$AB38*VLOOKUP('BMP P Tracking Table'!$R38,'Loading Rates'!$B$1:$L$24,10,FALSE)),"")</f>
        <v>1.7226600000000001</v>
      </c>
      <c r="AF38" s="114">
        <f>IFERROR(MIN(2,IF('BMP P Tracking Table'!$W38="Total Pervious",(-(3630*'BMP P Tracking Table'!$V38+20.691*'BMP P Tracking Table'!$AB38)+SQRT((3630*'BMP P Tracking Table'!$V38+20.691*'BMP P Tracking Table'!$AB38)^2-(4*(996.798*'BMP P Tracking Table'!$AB38)*-'BMP P Tracking Table'!$AC38)))/(2*(996.798*'BMP P Tracking Table'!$AB38)),IF(SUM('BMP P Tracking Table'!$X38:$AA38)=0,'BMP P Tracking Table'!$AC38/(-3630*'BMP P Tracking Table'!$V38),(-(3630*'BMP P Tracking Table'!$V38+20.691*'BMP P Tracking Table'!$AA38-216.711*'BMP P Tracking Table'!$Z38-83.853*'BMP P Tracking Table'!$Y38-42.834*'BMP P Tracking Table'!$X38)+SQRT((3630*'BMP P Tracking Table'!$V38+20.691*'BMP P Tracking Table'!$AA38-216.711*'BMP P Tracking Table'!$Z38-83.853*'BMP P Tracking Table'!$Y38-42.834*'BMP P Tracking Table'!$X38)^2-(4*(149.919*'BMP P Tracking Table'!$X38+236.676*'BMP P Tracking Table'!$Y38+726*'BMP P Tracking Table'!$Z38+996.798*'BMP P Tracking Table'!$AA38)*-'BMP P Tracking Table'!$AC38)))/(2*(149.919*'BMP P Tracking Table'!$X38+236.676*'BMP P Tracking Table'!$Y38+726*'BMP P Tracking Table'!$Z38+996.798*'BMP P Tracking Table'!$AA38))))),"")</f>
        <v>1.3606215078638175</v>
      </c>
      <c r="AG38" s="114">
        <f>IFERROR((VLOOKUP(CONCATENATE('BMP P Tracking Table'!$U38," ",'BMP P Tracking Table'!$AD38),'Performance Curves'!$C$1:$L$46,_xlfn.SINGLE(MATCH('BMP P Tracking Table'!$AF38,'Performance Curves'!$D$1:$L$1,1))+2,FALSE)-VLOOKUP(CONCATENATE('BMP P Tracking Table'!$U38," ",'BMP P Tracking Table'!$AD38),'Performance Curves'!$C$1:$L$46,_xlfn.SINGLE(MATCH('BMP P Tracking Table'!$AF38,'Performance Curves'!$D$1:$L$1,1))+1,FALSE)),"")</f>
        <v>2.0000000000000018E-2</v>
      </c>
      <c r="AH38" s="114">
        <f>IFERROR(('BMP P Tracking Table'!$AF38-INDEX('Performance Curves'!$D$1:$L$1,1,MATCH('BMP P Tracking Table'!$AF38,'Performance Curves'!$D$1:$L$1,1)))/(INDEX('Performance Curves'!$D$1:$L$1,1,MATCH('BMP P Tracking Table'!$AF38,'Performance Curves'!$D$1:$L$1,1)+1)-INDEX('Performance Curves'!$D$1:$L$1,1,MATCH('BMP P Tracking Table'!$AF38,'Performance Curves'!$D$1:$L$1,1))),"")</f>
        <v>0.72124301572763505</v>
      </c>
      <c r="AI38" s="115">
        <f>IFERROR(IF('BMP P Tracking Table'!$AF38=2,VLOOKUP(CONCATENATE('BMP P Tracking Table'!$U38," ",'BMP P Tracking Table'!$AD38),'Performance Curves'!$C$1:$L$46,_xlfn.SINGLE(MATCH('BMP P Tracking Table'!$AF38,'Performance Curves'!$D$1:$L$1,1))+1,FALSE),'BMP P Tracking Table'!$AG38*'BMP P Tracking Table'!$AH38+VLOOKUP(CONCATENATE('BMP P Tracking Table'!$U38," ",'BMP P Tracking Table'!$AD38),'Performance Curves'!$C$1:$L$46,_xlfn.SINGLE(MATCH('BMP P Tracking Table'!$AF38,'Performance Curves'!$D$1:$L$1,1))+1,FALSE)),"")</f>
        <v>0.99442486031455268</v>
      </c>
      <c r="AJ38" s="114">
        <f>IFERROR('BMP P Tracking Table'!$AI38*'BMP P Tracking Table'!$AE38,"")</f>
        <v>1.7130559298694674</v>
      </c>
      <c r="AK38" s="110"/>
      <c r="AL38" s="116" t="s">
        <v>62</v>
      </c>
      <c r="AM38" s="116"/>
      <c r="AN38" s="117">
        <v>0.4</v>
      </c>
      <c r="AO38" s="118">
        <f t="shared" si="4"/>
        <v>0.68522237194778701</v>
      </c>
      <c r="AP38" s="116"/>
      <c r="AQ38" s="116"/>
      <c r="AR38" s="116"/>
      <c r="AS38" s="116"/>
      <c r="AT38" s="116"/>
      <c r="AU38" s="116"/>
      <c r="AV38" s="116"/>
      <c r="AW38" s="110"/>
      <c r="AX38" s="119"/>
      <c r="AY38" s="119"/>
      <c r="AZ38" s="114" t="str">
        <f>IF('BMP P Tracking Table'!$AL38="Yes",IF('BMP P Tracking Table'!$AM38="No",'BMP P Tracking Table'!$V38*VLOOKUP('BMP P Tracking Table'!$R38,'Loading Rates'!$B$1:$L$24,4,FALSE)+IF('BMP P Tracking Table'!$W38="By HSG",'BMP P Tracking Table'!$X38*VLOOKUP('BMP P Tracking Table'!$R38,'Loading Rates'!$B$1:$L$24,6,FALSE)+'BMP P Tracking Table'!$Y38*VLOOKUP('BMP P Tracking Table'!$R38,'Loading Rates'!$B$1:$L$24,7,FALSE)+'BMP P Tracking Table'!$Z38*VLOOKUP('BMP P Tracking Table'!$R38,'Loading Rates'!$B$1:$L$24,8,FALSE)+'BMP P Tracking Table'!$AA38*VLOOKUP('BMP P Tracking Table'!$R38,'Loading Rates'!$B$1:$L$24,9,FALSE),'BMP P Tracking Table'!$AB38*VLOOKUP('BMP P Tracking Table'!$R38,'Loading Rates'!$B$1:$L$24,10,FALSE)),'BMP P Tracking Table'!$AP38*VLOOKUP('BMP P Tracking Table'!$R38,'Loading Rates'!$B$1:$L$24,4,FALSE)+IF('BMP P Tracking Table'!$AQ38="By HSG",'BMP P Tracking Table'!$AR38*VLOOKUP('BMP P Tracking Table'!$R38,'Loading Rates'!$B$1:$L$24,6,FALSE)+'BMP P Tracking Table'!$AS38*VLOOKUP('BMP P Tracking Table'!$R38,'Loading Rates'!$B$1:$L$24,7,FALSE)+'BMP P Tracking Table'!$AT38*VLOOKUP('BMP P Tracking Table'!$R38,'Loading Rates'!$B$1:$L$24,8,FALSE)+'BMP P Tracking Table'!$AU38*VLOOKUP('BMP P Tracking Table'!$R38,'Loading Rates'!$B$1:$L$24,9,FALSE),'BMP P Tracking Table'!$AV38*VLOOKUP('BMP P Tracking Table'!$R38,'Loading Rates'!$B$1:$L$24,10,FALSE))),"")</f>
        <v/>
      </c>
      <c r="BA38" s="114">
        <f>IFERROR(IF('BMP P Tracking Table'!$AM38="Yes",MIN(2,IF('BMP P Tracking Table'!$AQ38="Total Pervious",(-(3630*'BMP P Tracking Table'!$AP38+20.691*'BMP P Tracking Table'!$AV38)+SQRT((3630*'BMP P Tracking Table'!$AP38+20.691*'BMP P Tracking Table'!$AV38)^2-(4*(996.798*'BMP P Tracking Table'!$AV38)*-'BMP P Tracking Table'!$AX38)))/(2*(996.798*'BMP P Tracking Table'!$AV38)),IF(SUM('BMP P Tracking Table'!$AR38:$AU38)=0,'BMP P Tracking Table'!$AV38/(-3630*'BMP P Tracking Table'!$AP38),(-(3630*'BMP P Tracking Table'!$AP38+20.691*'BMP P Tracking Table'!$AU38-216.711*'BMP P Tracking Table'!$AT38-83.853*'BMP P Tracking Table'!$AS38-42.834*'BMP P Tracking Table'!$AR38)+SQRT((3630*'BMP P Tracking Table'!$AP38+20.691*'BMP P Tracking Table'!$AU38-216.711*'BMP P Tracking Table'!$AT38-83.853*'BMP P Tracking Table'!$AS38-42.834*'BMP P Tracking Table'!$AR38)^2-(4*(149.919*'BMP P Tracking Table'!$AR38+236.676*'BMP P Tracking Table'!$AS38+726*'BMP P Tracking Table'!$AT38+996.798*'BMP P Tracking Table'!$AU38)*-'BMP P Tracking Table'!$AX38)))/(2*(149.919*'BMP P Tracking Table'!$AR38+236.676*'BMP P Tracking Table'!$AS38+726*'BMP P Tracking Table'!$AT38+996.798*'BMP P Tracking Table'!$AU38))))),MIN(2,IF('BMP P Tracking Table'!$AQ38="Total Pervious",(-(3630*'BMP P Tracking Table'!$V38+20.691*'BMP P Tracking Table'!$AB38)+SQRT((3630*'BMP P Tracking Table'!$V38+20.691*'BMP P Tracking Table'!$AB38)^2-(4*(996.798*'BMP P Tracking Table'!$AB38)*-'BMP P Tracking Table'!$AX38)))/(2*(996.798*'BMP P Tracking Table'!$AB38)),IF(SUM('BMP P Tracking Table'!$X38:$AA38)=0,'BMP P Tracking Table'!$AX38/(-3630*'BMP P Tracking Table'!$V38),(-(3630*'BMP P Tracking Table'!$V38+20.691*'BMP P Tracking Table'!$AA38-216.711*'BMP P Tracking Table'!$Z38-83.853*'BMP P Tracking Table'!$Y38-42.834*'BMP P Tracking Table'!$X38)+SQRT((3630*'BMP P Tracking Table'!$V38+20.691*'BMP P Tracking Table'!$AA38-216.711*'BMP P Tracking Table'!$Z38-83.853*'BMP P Tracking Table'!$Y38-42.834*'BMP P Tracking Table'!$X38)^2-(4*(149.919*'BMP P Tracking Table'!$X38+236.676*'BMP P Tracking Table'!$Y38+726*'BMP P Tracking Table'!$Z38+996.798*'BMP P Tracking Table'!$AA38)*-'BMP P Tracking Table'!$AX38)))/(2*(149.919*'BMP P Tracking Table'!$X38+236.676*'BMP P Tracking Table'!$Y38+726*'BMP P Tracking Table'!$Z38+996.798*'BMP P Tracking Table'!$AA38)))))),"")</f>
        <v>0</v>
      </c>
      <c r="BB38" s="118" t="str">
        <f>IFERROR((VLOOKUP(CONCATENATE('BMP P Tracking Table'!$AW38," ",'BMP P Tracking Table'!$AY38),'Performance Curves'!$C$1:$L$46,_xlfn.SINGLE(MATCH('BMP P Tracking Table'!$BA38,'Performance Curves'!$D$1:$L$1,1))+2,FALSE)-VLOOKUP(CONCATENATE('BMP P Tracking Table'!$AW38," ",'BMP P Tracking Table'!$AY38),'Performance Curves'!$C$1:$L$46,_xlfn.SINGLE(MATCH('BMP P Tracking Table'!$BA38,'Performance Curves'!$D$1:$L$1,1))+1,FALSE)),"")</f>
        <v/>
      </c>
      <c r="BC38" s="118">
        <f>IFERROR(('BMP P Tracking Table'!$BA38-INDEX('Performance Curves'!$D$1:$L$1,1,MATCH('BMP P Tracking Table'!$BA38,'Performance Curves'!$D$1:$L$1,1)))/(INDEX('Performance Curves'!$D$1:$L$1,1,MATCH('BMP P Tracking Table'!$BA38,'Performance Curves'!$D$1:$L$1,1)+1)-INDEX('Performance Curves'!$D$1:$L$1,1,MATCH('BMP P Tracking Table'!$BA38,'Performance Curves'!$D$1:$L$1,1))),"")</f>
        <v>0</v>
      </c>
      <c r="BD38" s="115" t="str" cm="1">
        <f t="array" ref="BD38">IFERROR(IF('BMP P Tracking Table'!$BA38=2,VLOOKUP(CONCATENATE('BMP P Tracking Table'!$AW38," ",'BMP P Tracking Table'!$AY38),'Performance Curves'!$C$1:$L$44,_xlfn.SINGLE(MATCH('BMP P Tracking Table'!$BA38,'Performance Curves'!$D$1:$L$1,1))+1,FALSE),'BMP P Tracking Table'!$BB38*'BMP P Tracking Table'!$BC38+VLOOKUP(CONCATENATE('BMP P Tracking Table'!$AW38," ",'BMP P Tracking Table'!$AY38),'Performance Curves'!$C$1:$L$44,_xlfn.SINGLE(MATCH('BMP P Tracking Table'!$BA38,'Performance Curves'!$D$1:$L$1,1))+1,FALSE)),"")</f>
        <v/>
      </c>
      <c r="BE38" s="114" t="str">
        <f>IFERROR('BMP P Tracking Table'!$BD38*'BMP P Tracking Table'!$AZ38,"")</f>
        <v/>
      </c>
      <c r="BF38" s="116"/>
      <c r="BG38" s="120">
        <f t="shared" si="3"/>
        <v>0</v>
      </c>
      <c r="BH38" s="121" t="s">
        <v>648</v>
      </c>
      <c r="BI38" s="36" t="str">
        <f t="shared" si="1"/>
        <v xml:space="preserve">3790-9010.R1 </v>
      </c>
      <c r="BJ38" s="36" t="str">
        <f t="shared" si="2"/>
        <v>Oak Ridge-Forestdale Drywells SN 009</v>
      </c>
      <c r="BK38" s="121"/>
      <c r="BL38" s="121"/>
      <c r="BM38" s="121"/>
    </row>
    <row r="39" spans="1:65" s="36" customFormat="1">
      <c r="A39" s="217" t="s">
        <v>588</v>
      </c>
      <c r="B39" s="110" t="s">
        <v>588</v>
      </c>
      <c r="C39" s="110" t="s">
        <v>598</v>
      </c>
      <c r="D39" s="110" t="s">
        <v>327</v>
      </c>
      <c r="E39" s="110" t="s">
        <v>9</v>
      </c>
      <c r="F39" s="111"/>
      <c r="G39" s="111"/>
      <c r="H39" s="110" t="s">
        <v>588</v>
      </c>
      <c r="I39" s="110"/>
      <c r="J39" s="110" t="s">
        <v>66</v>
      </c>
      <c r="K39" s="112"/>
      <c r="L39" s="110" t="s">
        <v>111</v>
      </c>
      <c r="M39" s="110"/>
      <c r="N39" s="218">
        <v>37529</v>
      </c>
      <c r="O39" s="110"/>
      <c r="P39" s="110"/>
      <c r="Q39" s="110" t="s">
        <v>119</v>
      </c>
      <c r="R39" s="110" t="s">
        <v>146</v>
      </c>
      <c r="S39" s="110" t="str">
        <f>IFERROR(VLOOKUP('BMP P Tracking Table'!$R39,Dropdowns!$Q$3:$R$23,2,FALSE),"")</f>
        <v>Main Lake</v>
      </c>
      <c r="T39" s="110" t="s">
        <v>62</v>
      </c>
      <c r="U39" s="110" t="s">
        <v>47</v>
      </c>
      <c r="V39" s="110">
        <v>1.33</v>
      </c>
      <c r="W39" s="110" t="s">
        <v>219</v>
      </c>
      <c r="X39" s="110"/>
      <c r="Y39" s="110"/>
      <c r="Z39" s="110"/>
      <c r="AA39" s="110"/>
      <c r="AB39" s="110">
        <v>1.92</v>
      </c>
      <c r="AC39" s="113">
        <v>10067</v>
      </c>
      <c r="AD39" s="110" t="s">
        <v>206</v>
      </c>
      <c r="AE39" s="114">
        <f>IFERROR('BMP P Tracking Table'!$V39*VLOOKUP('BMP P Tracking Table'!$R39,'Loading Rates'!$B$1:$L$24,4,FALSE)+IF('BMP P Tracking Table'!$W39="By HSG",'BMP P Tracking Table'!$X39*VLOOKUP('BMP P Tracking Table'!$R39,'Loading Rates'!$B$1:$L$24,6,FALSE)+'BMP P Tracking Table'!$Y39*VLOOKUP('BMP P Tracking Table'!$R39,'Loading Rates'!$B$1:$L$24,7,FALSE)+'BMP P Tracking Table'!$Z39*VLOOKUP('BMP P Tracking Table'!$R39,'Loading Rates'!$B$1:$L$24,8,FALSE)+'BMP P Tracking Table'!$AA39*VLOOKUP('BMP P Tracking Table'!$R39,'Loading Rates'!$B$1:$L$24,9,FALSE),'BMP P Tracking Table'!$AB39*VLOOKUP('BMP P Tracking Table'!$R39,'Loading Rates'!$B$1:$L$24,10,FALSE)),"")</f>
        <v>1.9291300000000002</v>
      </c>
      <c r="AF39" s="114">
        <f>IFERROR(MIN(2,IF('BMP P Tracking Table'!$W39="Total Pervious",(-(3630*'BMP P Tracking Table'!$V39+20.691*'BMP P Tracking Table'!$AB39)+SQRT((3630*'BMP P Tracking Table'!$V39+20.691*'BMP P Tracking Table'!$AB39)^2-(4*(996.798*'BMP P Tracking Table'!$AB39)*-'BMP P Tracking Table'!$AC39)))/(2*(996.798*'BMP P Tracking Table'!$AB39)),IF(SUM('BMP P Tracking Table'!$X39:$AA39)=0,'BMP P Tracking Table'!$AC39/(-3630*'BMP P Tracking Table'!$V39),(-(3630*'BMP P Tracking Table'!$V39+20.691*'BMP P Tracking Table'!$AA39-216.711*'BMP P Tracking Table'!$Z39-83.853*'BMP P Tracking Table'!$Y39-42.834*'BMP P Tracking Table'!$X39)+SQRT((3630*'BMP P Tracking Table'!$V39+20.691*'BMP P Tracking Table'!$AA39-216.711*'BMP P Tracking Table'!$Z39-83.853*'BMP P Tracking Table'!$Y39-42.834*'BMP P Tracking Table'!$X39)^2-(4*(149.919*'BMP P Tracking Table'!$X39+236.676*'BMP P Tracking Table'!$Y39+726*'BMP P Tracking Table'!$Z39+996.798*'BMP P Tracking Table'!$AA39)*-'BMP P Tracking Table'!$AC39)))/(2*(149.919*'BMP P Tracking Table'!$X39+236.676*'BMP P Tracking Table'!$Y39+726*'BMP P Tracking Table'!$Z39+996.798*'BMP P Tracking Table'!$AA39))))),"")</f>
        <v>1.3507680335131722</v>
      </c>
      <c r="AG39" s="114">
        <f>IFERROR((VLOOKUP(CONCATENATE('BMP P Tracking Table'!$U39," ",'BMP P Tracking Table'!$AD39),'Performance Curves'!$C$1:$L$46,_xlfn.SINGLE(MATCH('BMP P Tracking Table'!$AF39,'Performance Curves'!$D$1:$L$1,1))+2,FALSE)-VLOOKUP(CONCATENATE('BMP P Tracking Table'!$U39," ",'BMP P Tracking Table'!$AD39),'Performance Curves'!$C$1:$L$46,_xlfn.SINGLE(MATCH('BMP P Tracking Table'!$AF39,'Performance Curves'!$D$1:$L$1,1))+1,FALSE)),"")</f>
        <v>2.0000000000000018E-2</v>
      </c>
      <c r="AH39" s="114">
        <f>IFERROR(('BMP P Tracking Table'!$AF39-INDEX('Performance Curves'!$D$1:$L$1,1,MATCH('BMP P Tracking Table'!$AF39,'Performance Curves'!$D$1:$L$1,1)))/(INDEX('Performance Curves'!$D$1:$L$1,1,MATCH('BMP P Tracking Table'!$AF39,'Performance Curves'!$D$1:$L$1,1)+1)-INDEX('Performance Curves'!$D$1:$L$1,1,MATCH('BMP P Tracking Table'!$AF39,'Performance Curves'!$D$1:$L$1,1))),"")</f>
        <v>0.70153606702634441</v>
      </c>
      <c r="AI39" s="115">
        <f>IFERROR(IF('BMP P Tracking Table'!$AF39=2,VLOOKUP(CONCATENATE('BMP P Tracking Table'!$U39," ",'BMP P Tracking Table'!$AD39),'Performance Curves'!$C$1:$L$46,_xlfn.SINGLE(MATCH('BMP P Tracking Table'!$AF39,'Performance Curves'!$D$1:$L$1,1))+1,FALSE),'BMP P Tracking Table'!$AG39*'BMP P Tracking Table'!$AH39+VLOOKUP(CONCATENATE('BMP P Tracking Table'!$U39," ",'BMP P Tracking Table'!$AD39),'Performance Curves'!$C$1:$L$46,_xlfn.SINGLE(MATCH('BMP P Tracking Table'!$AF39,'Performance Curves'!$D$1:$L$1,1))+1,FALSE)),"")</f>
        <v>0.99403072134052683</v>
      </c>
      <c r="AJ39" s="114">
        <f>IFERROR('BMP P Tracking Table'!$AI39*'BMP P Tracking Table'!$AE39,"")</f>
        <v>1.9176144854596509</v>
      </c>
      <c r="AK39" s="110"/>
      <c r="AL39" s="116" t="s">
        <v>62</v>
      </c>
      <c r="AM39" s="116"/>
      <c r="AN39" s="117">
        <v>0.28000000000000003</v>
      </c>
      <c r="AO39" s="118">
        <f t="shared" si="4"/>
        <v>0.5369320559287023</v>
      </c>
      <c r="AP39" s="116"/>
      <c r="AQ39" s="116"/>
      <c r="AR39" s="116"/>
      <c r="AS39" s="116"/>
      <c r="AT39" s="116"/>
      <c r="AU39" s="116"/>
      <c r="AV39" s="116"/>
      <c r="AW39" s="110"/>
      <c r="AX39" s="119"/>
      <c r="AY39" s="119"/>
      <c r="AZ39" s="114" t="str">
        <f>IF('BMP P Tracking Table'!$AL39="Yes",IF('BMP P Tracking Table'!$AM39="No",'BMP P Tracking Table'!$V39*VLOOKUP('BMP P Tracking Table'!$R39,'Loading Rates'!$B$1:$L$24,4,FALSE)+IF('BMP P Tracking Table'!$W39="By HSG",'BMP P Tracking Table'!$X39*VLOOKUP('BMP P Tracking Table'!$R39,'Loading Rates'!$B$1:$L$24,6,FALSE)+'BMP P Tracking Table'!$Y39*VLOOKUP('BMP P Tracking Table'!$R39,'Loading Rates'!$B$1:$L$24,7,FALSE)+'BMP P Tracking Table'!$Z39*VLOOKUP('BMP P Tracking Table'!$R39,'Loading Rates'!$B$1:$L$24,8,FALSE)+'BMP P Tracking Table'!$AA39*VLOOKUP('BMP P Tracking Table'!$R39,'Loading Rates'!$B$1:$L$24,9,FALSE),'BMP P Tracking Table'!$AB39*VLOOKUP('BMP P Tracking Table'!$R39,'Loading Rates'!$B$1:$L$24,10,FALSE)),'BMP P Tracking Table'!$AP39*VLOOKUP('BMP P Tracking Table'!$R39,'Loading Rates'!$B$1:$L$24,4,FALSE)+IF('BMP P Tracking Table'!$AQ39="By HSG",'BMP P Tracking Table'!$AR39*VLOOKUP('BMP P Tracking Table'!$R39,'Loading Rates'!$B$1:$L$24,6,FALSE)+'BMP P Tracking Table'!$AS39*VLOOKUP('BMP P Tracking Table'!$R39,'Loading Rates'!$B$1:$L$24,7,FALSE)+'BMP P Tracking Table'!$AT39*VLOOKUP('BMP P Tracking Table'!$R39,'Loading Rates'!$B$1:$L$24,8,FALSE)+'BMP P Tracking Table'!$AU39*VLOOKUP('BMP P Tracking Table'!$R39,'Loading Rates'!$B$1:$L$24,9,FALSE),'BMP P Tracking Table'!$AV39*VLOOKUP('BMP P Tracking Table'!$R39,'Loading Rates'!$B$1:$L$24,10,FALSE))),"")</f>
        <v/>
      </c>
      <c r="BA39" s="114">
        <f>IFERROR(IF('BMP P Tracking Table'!$AM39="Yes",MIN(2,IF('BMP P Tracking Table'!$AQ39="Total Pervious",(-(3630*'BMP P Tracking Table'!$AP39+20.691*'BMP P Tracking Table'!$AV39)+SQRT((3630*'BMP P Tracking Table'!$AP39+20.691*'BMP P Tracking Table'!$AV39)^2-(4*(996.798*'BMP P Tracking Table'!$AV39)*-'BMP P Tracking Table'!$AX39)))/(2*(996.798*'BMP P Tracking Table'!$AV39)),IF(SUM('BMP P Tracking Table'!$AR39:$AU39)=0,'BMP P Tracking Table'!$AV39/(-3630*'BMP P Tracking Table'!$AP39),(-(3630*'BMP P Tracking Table'!$AP39+20.691*'BMP P Tracking Table'!$AU39-216.711*'BMP P Tracking Table'!$AT39-83.853*'BMP P Tracking Table'!$AS39-42.834*'BMP P Tracking Table'!$AR39)+SQRT((3630*'BMP P Tracking Table'!$AP39+20.691*'BMP P Tracking Table'!$AU39-216.711*'BMP P Tracking Table'!$AT39-83.853*'BMP P Tracking Table'!$AS39-42.834*'BMP P Tracking Table'!$AR39)^2-(4*(149.919*'BMP P Tracking Table'!$AR39+236.676*'BMP P Tracking Table'!$AS39+726*'BMP P Tracking Table'!$AT39+996.798*'BMP P Tracking Table'!$AU39)*-'BMP P Tracking Table'!$AX39)))/(2*(149.919*'BMP P Tracking Table'!$AR39+236.676*'BMP P Tracking Table'!$AS39+726*'BMP P Tracking Table'!$AT39+996.798*'BMP P Tracking Table'!$AU39))))),MIN(2,IF('BMP P Tracking Table'!$AQ39="Total Pervious",(-(3630*'BMP P Tracking Table'!$V39+20.691*'BMP P Tracking Table'!$AB39)+SQRT((3630*'BMP P Tracking Table'!$V39+20.691*'BMP P Tracking Table'!$AB39)^2-(4*(996.798*'BMP P Tracking Table'!$AB39)*-'BMP P Tracking Table'!$AX39)))/(2*(996.798*'BMP P Tracking Table'!$AB39)),IF(SUM('BMP P Tracking Table'!$X39:$AA39)=0,'BMP P Tracking Table'!$AX39/(-3630*'BMP P Tracking Table'!$V39),(-(3630*'BMP P Tracking Table'!$V39+20.691*'BMP P Tracking Table'!$AA39-216.711*'BMP P Tracking Table'!$Z39-83.853*'BMP P Tracking Table'!$Y39-42.834*'BMP P Tracking Table'!$X39)+SQRT((3630*'BMP P Tracking Table'!$V39+20.691*'BMP P Tracking Table'!$AA39-216.711*'BMP P Tracking Table'!$Z39-83.853*'BMP P Tracking Table'!$Y39-42.834*'BMP P Tracking Table'!$X39)^2-(4*(149.919*'BMP P Tracking Table'!$X39+236.676*'BMP P Tracking Table'!$Y39+726*'BMP P Tracking Table'!$Z39+996.798*'BMP P Tracking Table'!$AA39)*-'BMP P Tracking Table'!$AX39)))/(2*(149.919*'BMP P Tracking Table'!$X39+236.676*'BMP P Tracking Table'!$Y39+726*'BMP P Tracking Table'!$Z39+996.798*'BMP P Tracking Table'!$AA39)))))),"")</f>
        <v>0</v>
      </c>
      <c r="BB39" s="118" t="str">
        <f>IFERROR((VLOOKUP(CONCATENATE('BMP P Tracking Table'!$AW39," ",'BMP P Tracking Table'!$AY39),'Performance Curves'!$C$1:$L$46,_xlfn.SINGLE(MATCH('BMP P Tracking Table'!$BA39,'Performance Curves'!$D$1:$L$1,1))+2,FALSE)-VLOOKUP(CONCATENATE('BMP P Tracking Table'!$AW39," ",'BMP P Tracking Table'!$AY39),'Performance Curves'!$C$1:$L$46,_xlfn.SINGLE(MATCH('BMP P Tracking Table'!$BA39,'Performance Curves'!$D$1:$L$1,1))+1,FALSE)),"")</f>
        <v/>
      </c>
      <c r="BC39" s="118">
        <f>IFERROR(('BMP P Tracking Table'!$BA39-INDEX('Performance Curves'!$D$1:$L$1,1,MATCH('BMP P Tracking Table'!$BA39,'Performance Curves'!$D$1:$L$1,1)))/(INDEX('Performance Curves'!$D$1:$L$1,1,MATCH('BMP P Tracking Table'!$BA39,'Performance Curves'!$D$1:$L$1,1)+1)-INDEX('Performance Curves'!$D$1:$L$1,1,MATCH('BMP P Tracking Table'!$BA39,'Performance Curves'!$D$1:$L$1,1))),"")</f>
        <v>0</v>
      </c>
      <c r="BD39" s="115" t="str" cm="1">
        <f t="array" ref="BD39">IFERROR(IF('BMP P Tracking Table'!$BA39=2,VLOOKUP(CONCATENATE('BMP P Tracking Table'!$AW39," ",'BMP P Tracking Table'!$AY39),'Performance Curves'!$C$1:$L$44,_xlfn.SINGLE(MATCH('BMP P Tracking Table'!$BA39,'Performance Curves'!$D$1:$L$1,1))+1,FALSE),'BMP P Tracking Table'!$BB39*'BMP P Tracking Table'!$BC39+VLOOKUP(CONCATENATE('BMP P Tracking Table'!$AW39," ",'BMP P Tracking Table'!$AY39),'Performance Curves'!$C$1:$L$44,_xlfn.SINGLE(MATCH('BMP P Tracking Table'!$BA39,'Performance Curves'!$D$1:$L$1,1))+1,FALSE)),"")</f>
        <v/>
      </c>
      <c r="BE39" s="114" t="str">
        <f>IFERROR('BMP P Tracking Table'!$BD39*'BMP P Tracking Table'!$AZ39,"")</f>
        <v/>
      </c>
      <c r="BF39" s="116"/>
      <c r="BG39" s="120">
        <f t="shared" si="3"/>
        <v>0</v>
      </c>
      <c r="BH39" s="121" t="s">
        <v>648</v>
      </c>
      <c r="BI39" s="36" t="str">
        <f t="shared" si="1"/>
        <v xml:space="preserve">3790-9010.R1 </v>
      </c>
      <c r="BJ39" s="36" t="str">
        <f t="shared" si="2"/>
        <v>Oak Ridge-Forestdale Drywells SN 0010</v>
      </c>
      <c r="BK39" s="121"/>
      <c r="BL39" s="121"/>
      <c r="BM39" s="121"/>
    </row>
    <row r="40" spans="1:65" s="36" customFormat="1">
      <c r="A40" s="36" t="s">
        <v>381</v>
      </c>
      <c r="B40" s="65" t="s">
        <v>381</v>
      </c>
      <c r="C40" s="65" t="s">
        <v>607</v>
      </c>
      <c r="D40" s="65" t="s">
        <v>327</v>
      </c>
      <c r="E40" s="65" t="s">
        <v>9</v>
      </c>
      <c r="F40" s="94"/>
      <c r="G40" s="94"/>
      <c r="H40" s="65" t="s">
        <v>381</v>
      </c>
      <c r="I40" s="65"/>
      <c r="J40" s="65" t="s">
        <v>66</v>
      </c>
      <c r="K40" s="95"/>
      <c r="L40" s="65" t="s">
        <v>111</v>
      </c>
      <c r="M40" s="65"/>
      <c r="N40" s="199">
        <v>40485</v>
      </c>
      <c r="O40" s="65"/>
      <c r="P40" s="65"/>
      <c r="Q40" s="65" t="s">
        <v>119</v>
      </c>
      <c r="R40" s="65" t="s">
        <v>146</v>
      </c>
      <c r="S40" s="65" t="s">
        <v>129</v>
      </c>
      <c r="T40" s="65" t="s">
        <v>66</v>
      </c>
      <c r="U40" s="65" t="s">
        <v>164</v>
      </c>
      <c r="V40" s="219">
        <f>261360/43560</f>
        <v>6</v>
      </c>
      <c r="W40" s="65" t="s">
        <v>219</v>
      </c>
      <c r="X40" s="65"/>
      <c r="Y40" s="65"/>
      <c r="Z40" s="65"/>
      <c r="AA40" s="65"/>
      <c r="AB40" s="65">
        <f>317988/43560</f>
        <v>7.3</v>
      </c>
      <c r="AC40" s="97">
        <v>1520</v>
      </c>
      <c r="AD40" s="65" t="s">
        <v>206</v>
      </c>
      <c r="AE40" s="104">
        <f>IFERROR('BMP P Tracking Table'!$V40*VLOOKUP('BMP P Tracking Table'!$R40,'Loading Rates'!$B$1:$L$24,4,FALSE)+IF('BMP P Tracking Table'!$W40="By HSG",'BMP P Tracking Table'!$X40*VLOOKUP('BMP P Tracking Table'!$R40,'Loading Rates'!$B$1:$L$24,6,FALSE)+'BMP P Tracking Table'!$Y40*VLOOKUP('BMP P Tracking Table'!$R40,'Loading Rates'!$B$1:$L$24,7,FALSE)+'BMP P Tracking Table'!$Z40*VLOOKUP('BMP P Tracking Table'!$R40,'Loading Rates'!$B$1:$L$24,8,FALSE)+'BMP P Tracking Table'!$AA40*VLOOKUP('BMP P Tracking Table'!$R40,'Loading Rates'!$B$1:$L$24,9,FALSE),'BMP P Tracking Table'!$AB40*VLOOKUP('BMP P Tracking Table'!$R40,'Loading Rates'!$B$1:$L$24,10,FALSE)),"")</f>
        <v>8.388300000000001</v>
      </c>
      <c r="AF40" s="104">
        <f>IFERROR(MIN(2,IF('BMP P Tracking Table'!$W40="Total Pervious",(-(3630*'BMP P Tracking Table'!$V40+20.691*'BMP P Tracking Table'!$AB40)+SQRT((3630*'BMP P Tracking Table'!$V40+20.691*'BMP P Tracking Table'!$AB40)^2-(4*(996.798*'BMP P Tracking Table'!$AB40)*-'BMP P Tracking Table'!$AC40)))/(2*(996.798*'BMP P Tracking Table'!$AB40)),IF(SUM('BMP P Tracking Table'!$X40:$AA40)=0,'BMP P Tracking Table'!$AC40/(-3630*'BMP P Tracking Table'!$V40),(-(3630*'BMP P Tracking Table'!$V40+20.691*'BMP P Tracking Table'!$AA40-216.711*'BMP P Tracking Table'!$Z40-83.853*'BMP P Tracking Table'!$Y40-42.834*'BMP P Tracking Table'!$X40)+SQRT((3630*'BMP P Tracking Table'!$V40+20.691*'BMP P Tracking Table'!$AA40-216.711*'BMP P Tracking Table'!$Z40-83.853*'BMP P Tracking Table'!$Y40-42.834*'BMP P Tracking Table'!$X40)^2-(4*(149.919*'BMP P Tracking Table'!$X40+236.676*'BMP P Tracking Table'!$Y40+726*'BMP P Tracking Table'!$Z40+996.798*'BMP P Tracking Table'!$AA40)*-'BMP P Tracking Table'!$AC40)))/(2*(149.919*'BMP P Tracking Table'!$X40+236.676*'BMP P Tracking Table'!$Y40+726*'BMP P Tracking Table'!$Z40+996.798*'BMP P Tracking Table'!$AA40))))),"")</f>
        <v>6.7783668200072728E-2</v>
      </c>
      <c r="AG40" s="104">
        <f>IFERROR((VLOOKUP(CONCATENATE('BMP P Tracking Table'!$U40," ",'BMP P Tracking Table'!$AD40),'Performance Curves'!$C$1:$L$46,_xlfn.SINGLE(MATCH('BMP P Tracking Table'!$AF40,'Performance Curves'!$D$1:$L$1,1))+2,FALSE)-VLOOKUP(CONCATENATE('BMP P Tracking Table'!$U40," ",'BMP P Tracking Table'!$AD40),'Performance Curves'!$C$1:$L$46,_xlfn.SINGLE(MATCH('BMP P Tracking Table'!$AF40,'Performance Curves'!$D$1:$L$1,1))+1,FALSE)),"")</f>
        <v>0.33</v>
      </c>
      <c r="AH40" s="104">
        <f>IFERROR(('BMP P Tracking Table'!$AF40-INDEX('Performance Curves'!$D$1:$L$1,1,MATCH('BMP P Tracking Table'!$AF40,'Performance Curves'!$D$1:$L$1,1)))/(INDEX('Performance Curves'!$D$1:$L$1,1,MATCH('BMP P Tracking Table'!$AF40,'Performance Curves'!$D$1:$L$1,1)+1)-INDEX('Performance Curves'!$D$1:$L$1,1,MATCH('BMP P Tracking Table'!$AF40,'Performance Curves'!$D$1:$L$1,1))),"")</f>
        <v>0.67783668200072722</v>
      </c>
      <c r="AI40" s="103">
        <f>IFERROR(IF('BMP P Tracking Table'!$AF40=2,VLOOKUP(CONCATENATE('BMP P Tracking Table'!$U40," ",'BMP P Tracking Table'!$AD40),'Performance Curves'!$C$1:$L$46,_xlfn.SINGLE(MATCH('BMP P Tracking Table'!$AF40,'Performance Curves'!$D$1:$L$1,1))+1,FALSE),'BMP P Tracking Table'!$AG40*'BMP P Tracking Table'!$AH40+VLOOKUP(CONCATENATE('BMP P Tracking Table'!$U40," ",'BMP P Tracking Table'!$AD40),'Performance Curves'!$C$1:$L$46,_xlfn.SINGLE(MATCH('BMP P Tracking Table'!$AF40,'Performance Curves'!$D$1:$L$1,1))+1,FALSE)),"")</f>
        <v>0.22368610506024</v>
      </c>
      <c r="AJ40" s="104">
        <f>IFERROR('BMP P Tracking Table'!$AI40*'BMP P Tracking Table'!$AE40,"")</f>
        <v>1.8763461550768115</v>
      </c>
      <c r="AK40" s="65"/>
      <c r="AL40" s="98" t="s">
        <v>62</v>
      </c>
      <c r="AM40" s="98"/>
      <c r="AN40" s="64">
        <v>1</v>
      </c>
      <c r="AO40" s="102">
        <f t="shared" ref="AO40:AO93" si="5">IF(AL40="Yes",IF(BG40&gt;0,IF(ISBLANK(AK40),AJ40,AK40)-IF(ISBLANK(BF40),BE40,BF40),"Enter Info --&gt;"),IF(ISBLANK(AK40),AJ40,AK40))</f>
        <v>1.8763461550768115</v>
      </c>
      <c r="AP40" s="98"/>
      <c r="AQ40" s="98"/>
      <c r="AR40" s="98"/>
      <c r="AS40" s="98"/>
      <c r="AT40" s="98"/>
      <c r="AU40" s="98"/>
      <c r="AV40" s="98"/>
      <c r="AW40" s="65"/>
      <c r="AX40" s="99"/>
      <c r="AY40" s="99"/>
      <c r="AZ40" s="104" t="str">
        <f>IF('BMP P Tracking Table'!$AL40="Yes",IF('BMP P Tracking Table'!$AM40="No",'BMP P Tracking Table'!$V40*VLOOKUP('BMP P Tracking Table'!$R40,'Loading Rates'!$B$1:$L$24,4,FALSE)+IF('BMP P Tracking Table'!$W40="By HSG",'BMP P Tracking Table'!$X40*VLOOKUP('BMP P Tracking Table'!$R40,'Loading Rates'!$B$1:$L$24,6,FALSE)+'BMP P Tracking Table'!$Y40*VLOOKUP('BMP P Tracking Table'!$R40,'Loading Rates'!$B$1:$L$24,7,FALSE)+'BMP P Tracking Table'!$Z40*VLOOKUP('BMP P Tracking Table'!$R40,'Loading Rates'!$B$1:$L$24,8,FALSE)+'BMP P Tracking Table'!$AA40*VLOOKUP('BMP P Tracking Table'!$R40,'Loading Rates'!$B$1:$L$24,9,FALSE),'BMP P Tracking Table'!$AB40*VLOOKUP('BMP P Tracking Table'!$R40,'Loading Rates'!$B$1:$L$24,10,FALSE)),'BMP P Tracking Table'!$AP40*VLOOKUP('BMP P Tracking Table'!$R40,'Loading Rates'!$B$1:$L$24,4,FALSE)+IF('BMP P Tracking Table'!$AQ40="By HSG",'BMP P Tracking Table'!$AR40*VLOOKUP('BMP P Tracking Table'!$R40,'Loading Rates'!$B$1:$L$24,6,FALSE)+'BMP P Tracking Table'!$AS40*VLOOKUP('BMP P Tracking Table'!$R40,'Loading Rates'!$B$1:$L$24,7,FALSE)+'BMP P Tracking Table'!$AT40*VLOOKUP('BMP P Tracking Table'!$R40,'Loading Rates'!$B$1:$L$24,8,FALSE)+'BMP P Tracking Table'!$AU40*VLOOKUP('BMP P Tracking Table'!$R40,'Loading Rates'!$B$1:$L$24,9,FALSE),'BMP P Tracking Table'!$AV40*VLOOKUP('BMP P Tracking Table'!$R40,'Loading Rates'!$B$1:$L$24,10,FALSE))),"")</f>
        <v/>
      </c>
      <c r="BA40" s="104">
        <f>IFERROR(IF('BMP P Tracking Table'!$AM40="Yes",MIN(2,IF('BMP P Tracking Table'!$AQ40="Total Pervious",(-(3630*'BMP P Tracking Table'!$AP40+20.691*'BMP P Tracking Table'!$AV40)+SQRT((3630*'BMP P Tracking Table'!$AP40+20.691*'BMP P Tracking Table'!$AV40)^2-(4*(996.798*'BMP P Tracking Table'!$AV40)*-'BMP P Tracking Table'!$AX40)))/(2*(996.798*'BMP P Tracking Table'!$AV40)),IF(SUM('BMP P Tracking Table'!$AR40:$AU40)=0,'BMP P Tracking Table'!$AV40/(-3630*'BMP P Tracking Table'!$AP40),(-(3630*'BMP P Tracking Table'!$AP40+20.691*'BMP P Tracking Table'!$AU40-216.711*'BMP P Tracking Table'!$AT40-83.853*'BMP P Tracking Table'!$AS40-42.834*'BMP P Tracking Table'!$AR40)+SQRT((3630*'BMP P Tracking Table'!$AP40+20.691*'BMP P Tracking Table'!$AU40-216.711*'BMP P Tracking Table'!$AT40-83.853*'BMP P Tracking Table'!$AS40-42.834*'BMP P Tracking Table'!$AR40)^2-(4*(149.919*'BMP P Tracking Table'!$AR40+236.676*'BMP P Tracking Table'!$AS40+726*'BMP P Tracking Table'!$AT40+996.798*'BMP P Tracking Table'!$AU40)*-'BMP P Tracking Table'!$AX40)))/(2*(149.919*'BMP P Tracking Table'!$AR40+236.676*'BMP P Tracking Table'!$AS40+726*'BMP P Tracking Table'!$AT40+996.798*'BMP P Tracking Table'!$AU40))))),MIN(2,IF('BMP P Tracking Table'!$AQ40="Total Pervious",(-(3630*'BMP P Tracking Table'!$V40+20.691*'BMP P Tracking Table'!$AB40)+SQRT((3630*'BMP P Tracking Table'!$V40+20.691*'BMP P Tracking Table'!$AB40)^2-(4*(996.798*'BMP P Tracking Table'!$AB40)*-'BMP P Tracking Table'!$AX40)))/(2*(996.798*'BMP P Tracking Table'!$AB40)),IF(SUM('BMP P Tracking Table'!$X40:$AA40)=0,'BMP P Tracking Table'!$AX40/(-3630*'BMP P Tracking Table'!$V40),(-(3630*'BMP P Tracking Table'!$V40+20.691*'BMP P Tracking Table'!$AA40-216.711*'BMP P Tracking Table'!$Z40-83.853*'BMP P Tracking Table'!$Y40-42.834*'BMP P Tracking Table'!$X40)+SQRT((3630*'BMP P Tracking Table'!$V40+20.691*'BMP P Tracking Table'!$AA40-216.711*'BMP P Tracking Table'!$Z40-83.853*'BMP P Tracking Table'!$Y40-42.834*'BMP P Tracking Table'!$X40)^2-(4*(149.919*'BMP P Tracking Table'!$X40+236.676*'BMP P Tracking Table'!$Y40+726*'BMP P Tracking Table'!$Z40+996.798*'BMP P Tracking Table'!$AA40)*-'BMP P Tracking Table'!$AX40)))/(2*(149.919*'BMP P Tracking Table'!$X40+236.676*'BMP P Tracking Table'!$Y40+726*'BMP P Tracking Table'!$Z40+996.798*'BMP P Tracking Table'!$AA40)))))),"")</f>
        <v>0</v>
      </c>
      <c r="BB40" s="102" t="str">
        <f>IFERROR((VLOOKUP(CONCATENATE('BMP P Tracking Table'!$AW40," ",'BMP P Tracking Table'!$AY40),'Performance Curves'!$C$1:$L$46,_xlfn.SINGLE(MATCH('BMP P Tracking Table'!$BA40,'Performance Curves'!$D$1:$L$1,1))+2,FALSE)-VLOOKUP(CONCATENATE('BMP P Tracking Table'!$AW40," ",'BMP P Tracking Table'!$AY40),'Performance Curves'!$C$1:$L$46,_xlfn.SINGLE(MATCH('BMP P Tracking Table'!$BA40,'Performance Curves'!$D$1:$L$1,1))+1,FALSE)),"")</f>
        <v/>
      </c>
      <c r="BC40" s="102">
        <f>IFERROR(('BMP P Tracking Table'!$BA40-INDEX('Performance Curves'!$D$1:$L$1,1,MATCH('BMP P Tracking Table'!$BA40,'Performance Curves'!$D$1:$L$1,1)))/(INDEX('Performance Curves'!$D$1:$L$1,1,MATCH('BMP P Tracking Table'!$BA40,'Performance Curves'!$D$1:$L$1,1)+1)-INDEX('Performance Curves'!$D$1:$L$1,1,MATCH('BMP P Tracking Table'!$BA40,'Performance Curves'!$D$1:$L$1,1))),"")</f>
        <v>0</v>
      </c>
      <c r="BD40" s="103" t="str" cm="1">
        <f t="array" ref="BD40">IFERROR(IF('BMP P Tracking Table'!$BA40=2,VLOOKUP(CONCATENATE('BMP P Tracking Table'!$AW40," ",'BMP P Tracking Table'!$AY40),'Performance Curves'!$C$1:$L$44,_xlfn.SINGLE(MATCH('BMP P Tracking Table'!$BA40,'Performance Curves'!$D$1:$L$1,1))+1,FALSE),'BMP P Tracking Table'!$BB40*'BMP P Tracking Table'!$BC40+VLOOKUP(CONCATENATE('BMP P Tracking Table'!$AW40," ",'BMP P Tracking Table'!$AY40),'Performance Curves'!$C$1:$L$44,_xlfn.SINGLE(MATCH('BMP P Tracking Table'!$BA40,'Performance Curves'!$D$1:$L$1,1))+1,FALSE)),"")</f>
        <v/>
      </c>
      <c r="BE40" s="104" t="str">
        <f>IFERROR('BMP P Tracking Table'!$BD40*'BMP P Tracking Table'!$AZ40,"")</f>
        <v/>
      </c>
      <c r="BF40" s="98"/>
      <c r="BG40" s="37">
        <f t="shared" ref="BG40:BG95" si="6">IFERROR(BE40+BF40,0)</f>
        <v>0</v>
      </c>
      <c r="BI40" s="36" t="str">
        <f t="shared" si="1"/>
        <v>3081-9010.R</v>
      </c>
      <c r="BJ40" s="36" t="str">
        <f t="shared" si="2"/>
        <v>Perkins Bend 002</v>
      </c>
    </row>
    <row r="41" spans="1:65" s="121" customFormat="1">
      <c r="A41" s="121" t="s">
        <v>396</v>
      </c>
      <c r="B41" s="110" t="s">
        <v>396</v>
      </c>
      <c r="C41" s="110" t="s">
        <v>608</v>
      </c>
      <c r="D41" s="110" t="s">
        <v>327</v>
      </c>
      <c r="E41" s="110" t="s">
        <v>9</v>
      </c>
      <c r="F41" s="111"/>
      <c r="G41" s="111"/>
      <c r="H41" s="110" t="s">
        <v>396</v>
      </c>
      <c r="I41" s="110"/>
      <c r="J41" s="110" t="s">
        <v>66</v>
      </c>
      <c r="K41" s="112"/>
      <c r="L41" s="110" t="s">
        <v>111</v>
      </c>
      <c r="M41" s="110"/>
      <c r="N41" s="218">
        <v>37529</v>
      </c>
      <c r="O41" s="110"/>
      <c r="P41" s="110"/>
      <c r="Q41" s="110" t="s">
        <v>119</v>
      </c>
      <c r="R41" s="110" t="s">
        <v>146</v>
      </c>
      <c r="S41" s="110" t="s">
        <v>129</v>
      </c>
      <c r="T41" s="110" t="s">
        <v>62</v>
      </c>
      <c r="U41" s="110" t="s">
        <v>48</v>
      </c>
      <c r="V41" s="110">
        <f>1.3+0.5+0.2</f>
        <v>2</v>
      </c>
      <c r="W41" s="110" t="s">
        <v>219</v>
      </c>
      <c r="X41" s="110"/>
      <c r="Y41" s="110"/>
      <c r="Z41" s="110"/>
      <c r="AA41" s="110"/>
      <c r="AB41" s="110">
        <v>17.3</v>
      </c>
      <c r="AC41" s="113">
        <v>45000</v>
      </c>
      <c r="AD41" s="110"/>
      <c r="AE41" s="114">
        <f>IFERROR('BMP P Tracking Table'!$V41*VLOOKUP('BMP P Tracking Table'!$R41,'Loading Rates'!$B$1:$L$24,4,FALSE)+IF('BMP P Tracking Table'!$W41="By HSG",'BMP P Tracking Table'!$X41*VLOOKUP('BMP P Tracking Table'!$R41,'Loading Rates'!$B$1:$L$24,6,FALSE)+'BMP P Tracking Table'!$Y41*VLOOKUP('BMP P Tracking Table'!$R41,'Loading Rates'!$B$1:$L$24,7,FALSE)+'BMP P Tracking Table'!$Z41*VLOOKUP('BMP P Tracking Table'!$R41,'Loading Rates'!$B$1:$L$24,8,FALSE)+'BMP P Tracking Table'!$AA41*VLOOKUP('BMP P Tracking Table'!$R41,'Loading Rates'!$B$1:$L$24,9,FALSE),'BMP P Tracking Table'!$AB41*VLOOKUP('BMP P Tracking Table'!$R41,'Loading Rates'!$B$1:$L$24,10,FALSE)),"")</f>
        <v>6.2302999999999997</v>
      </c>
      <c r="AF41" s="114">
        <f>IFERROR(MIN(2,IF('BMP P Tracking Table'!$W41="Total Pervious",(-(3630*'BMP P Tracking Table'!$V41+20.691*'BMP P Tracking Table'!$AB41)+SQRT((3630*'BMP P Tracking Table'!$V41+20.691*'BMP P Tracking Table'!$AB41)^2-(4*(996.798*'BMP P Tracking Table'!$AB41)*-'BMP P Tracking Table'!$AC41)))/(2*(996.798*'BMP P Tracking Table'!$AB41)),IF(SUM('BMP P Tracking Table'!$X41:$AA41)=0,'BMP P Tracking Table'!$AC41/(-3630*'BMP P Tracking Table'!$V41),(-(3630*'BMP P Tracking Table'!$V41+20.691*'BMP P Tracking Table'!$AA41-216.711*'BMP P Tracking Table'!$Z41-83.853*'BMP P Tracking Table'!$Y41-42.834*'BMP P Tracking Table'!$X41)+SQRT((3630*'BMP P Tracking Table'!$V41+20.691*'BMP P Tracking Table'!$AA41-216.711*'BMP P Tracking Table'!$Z41-83.853*'BMP P Tracking Table'!$Y41-42.834*'BMP P Tracking Table'!$X41)^2-(4*(149.919*'BMP P Tracking Table'!$X41+236.676*'BMP P Tracking Table'!$Y41+726*'BMP P Tracking Table'!$Z41+996.798*'BMP P Tracking Table'!$AA41)*-'BMP P Tracking Table'!$AC41)))/(2*(149.919*'BMP P Tracking Table'!$X41+236.676*'BMP P Tracking Table'!$Y41+726*'BMP P Tracking Table'!$Z41+996.798*'BMP P Tracking Table'!$AA41))))),"")</f>
        <v>1.4095498654315068</v>
      </c>
      <c r="AG41" s="114">
        <f>IFERROR((VLOOKUP(CONCATENATE('BMP P Tracking Table'!$U41," ",'BMP P Tracking Table'!$AD41),'Performance Curves'!$C$1:$L$46,_xlfn.SINGLE(MATCH('BMP P Tracking Table'!$AF41,'Performance Curves'!$D$1:$L$1,1))+2,FALSE)-VLOOKUP(CONCATENATE('BMP P Tracking Table'!$U41," ",'BMP P Tracking Table'!$AD41),'Performance Curves'!$C$1:$L$46,_xlfn.SINGLE(MATCH('BMP P Tracking Table'!$AF41,'Performance Curves'!$D$1:$L$1,1))+1,FALSE)),"")</f>
        <v>4.9999999999999933E-2</v>
      </c>
      <c r="AH41" s="114">
        <f>IFERROR(('BMP P Tracking Table'!$AF41-INDEX('Performance Curves'!$D$1:$L$1,1,MATCH('BMP P Tracking Table'!$AF41,'Performance Curves'!$D$1:$L$1,1)))/(INDEX('Performance Curves'!$D$1:$L$1,1,MATCH('BMP P Tracking Table'!$AF41,'Performance Curves'!$D$1:$L$1,1)+1)-INDEX('Performance Curves'!$D$1:$L$1,1,MATCH('BMP P Tracking Table'!$AF41,'Performance Curves'!$D$1:$L$1,1))),"")</f>
        <v>0.81909973086301369</v>
      </c>
      <c r="AI41" s="115">
        <f>IFERROR(IF('BMP P Tracking Table'!$AF41=2,VLOOKUP(CONCATENATE('BMP P Tracking Table'!$U41," ",'BMP P Tracking Table'!$AD41),'Performance Curves'!$C$1:$L$46,_xlfn.SINGLE(MATCH('BMP P Tracking Table'!$AF41,'Performance Curves'!$D$1:$L$1,1))+1,FALSE),'BMP P Tracking Table'!$AG41*'BMP P Tracking Table'!$AH41+VLOOKUP(CONCATENATE('BMP P Tracking Table'!$U41," ",'BMP P Tracking Table'!$AD41),'Performance Curves'!$C$1:$L$46,_xlfn.SINGLE(MATCH('BMP P Tracking Table'!$AF41,'Performance Curves'!$D$1:$L$1,1))+1,FALSE)),"")</f>
        <v>0.57095498654315069</v>
      </c>
      <c r="AJ41" s="114">
        <f>IFERROR('BMP P Tracking Table'!$AI41*'BMP P Tracking Table'!$AE41,"")</f>
        <v>3.5572208526597917</v>
      </c>
      <c r="AK41" s="110"/>
      <c r="AL41" s="116" t="s">
        <v>62</v>
      </c>
      <c r="AM41" s="116"/>
      <c r="AN41" s="117">
        <v>1</v>
      </c>
      <c r="AO41" s="118">
        <f t="shared" si="5"/>
        <v>3.5572208526597917</v>
      </c>
      <c r="AP41" s="116"/>
      <c r="AQ41" s="116"/>
      <c r="AR41" s="116"/>
      <c r="AS41" s="116"/>
      <c r="AT41" s="116"/>
      <c r="AU41" s="116"/>
      <c r="AV41" s="116"/>
      <c r="AW41" s="110"/>
      <c r="AX41" s="119"/>
      <c r="AY41" s="119"/>
      <c r="AZ41" s="114" t="str">
        <f>IF('BMP P Tracking Table'!$AL41="Yes",IF('BMP P Tracking Table'!$AM41="No",'BMP P Tracking Table'!$V41*VLOOKUP('BMP P Tracking Table'!$R41,'Loading Rates'!$B$1:$L$24,4,FALSE)+IF('BMP P Tracking Table'!$W41="By HSG",'BMP P Tracking Table'!$X41*VLOOKUP('BMP P Tracking Table'!$R41,'Loading Rates'!$B$1:$L$24,6,FALSE)+'BMP P Tracking Table'!$Y41*VLOOKUP('BMP P Tracking Table'!$R41,'Loading Rates'!$B$1:$L$24,7,FALSE)+'BMP P Tracking Table'!$Z41*VLOOKUP('BMP P Tracking Table'!$R41,'Loading Rates'!$B$1:$L$24,8,FALSE)+'BMP P Tracking Table'!$AA41*VLOOKUP('BMP P Tracking Table'!$R41,'Loading Rates'!$B$1:$L$24,9,FALSE),'BMP P Tracking Table'!$AB41*VLOOKUP('BMP P Tracking Table'!$R41,'Loading Rates'!$B$1:$L$24,10,FALSE)),'BMP P Tracking Table'!$AP41*VLOOKUP('BMP P Tracking Table'!$R41,'Loading Rates'!$B$1:$L$24,4,FALSE)+IF('BMP P Tracking Table'!$AQ41="By HSG",'BMP P Tracking Table'!$AR41*VLOOKUP('BMP P Tracking Table'!$R41,'Loading Rates'!$B$1:$L$24,6,FALSE)+'BMP P Tracking Table'!$AS41*VLOOKUP('BMP P Tracking Table'!$R41,'Loading Rates'!$B$1:$L$24,7,FALSE)+'BMP P Tracking Table'!$AT41*VLOOKUP('BMP P Tracking Table'!$R41,'Loading Rates'!$B$1:$L$24,8,FALSE)+'BMP P Tracking Table'!$AU41*VLOOKUP('BMP P Tracking Table'!$R41,'Loading Rates'!$B$1:$L$24,9,FALSE),'BMP P Tracking Table'!$AV41*VLOOKUP('BMP P Tracking Table'!$R41,'Loading Rates'!$B$1:$L$24,10,FALSE))),"")</f>
        <v/>
      </c>
      <c r="BA41" s="114">
        <f>IFERROR(IF('BMP P Tracking Table'!$AM41="Yes",MIN(2,IF('BMP P Tracking Table'!$AQ41="Total Pervious",(-(3630*'BMP P Tracking Table'!$AP41+20.691*'BMP P Tracking Table'!$AV41)+SQRT((3630*'BMP P Tracking Table'!$AP41+20.691*'BMP P Tracking Table'!$AV41)^2-(4*(996.798*'BMP P Tracking Table'!$AV41)*-'BMP P Tracking Table'!$AX41)))/(2*(996.798*'BMP P Tracking Table'!$AV41)),IF(SUM('BMP P Tracking Table'!$AR41:$AU41)=0,'BMP P Tracking Table'!$AV41/(-3630*'BMP P Tracking Table'!$AP41),(-(3630*'BMP P Tracking Table'!$AP41+20.691*'BMP P Tracking Table'!$AU41-216.711*'BMP P Tracking Table'!$AT41-83.853*'BMP P Tracking Table'!$AS41-42.834*'BMP P Tracking Table'!$AR41)+SQRT((3630*'BMP P Tracking Table'!$AP41+20.691*'BMP P Tracking Table'!$AU41-216.711*'BMP P Tracking Table'!$AT41-83.853*'BMP P Tracking Table'!$AS41-42.834*'BMP P Tracking Table'!$AR41)^2-(4*(149.919*'BMP P Tracking Table'!$AR41+236.676*'BMP P Tracking Table'!$AS41+726*'BMP P Tracking Table'!$AT41+996.798*'BMP P Tracking Table'!$AU41)*-'BMP P Tracking Table'!$AX41)))/(2*(149.919*'BMP P Tracking Table'!$AR41+236.676*'BMP P Tracking Table'!$AS41+726*'BMP P Tracking Table'!$AT41+996.798*'BMP P Tracking Table'!$AU41))))),MIN(2,IF('BMP P Tracking Table'!$AQ41="Total Pervious",(-(3630*'BMP P Tracking Table'!$V41+20.691*'BMP P Tracking Table'!$AB41)+SQRT((3630*'BMP P Tracking Table'!$V41+20.691*'BMP P Tracking Table'!$AB41)^2-(4*(996.798*'BMP P Tracking Table'!$AB41)*-'BMP P Tracking Table'!$AX41)))/(2*(996.798*'BMP P Tracking Table'!$AB41)),IF(SUM('BMP P Tracking Table'!$X41:$AA41)=0,'BMP P Tracking Table'!$AX41/(-3630*'BMP P Tracking Table'!$V41),(-(3630*'BMP P Tracking Table'!$V41+20.691*'BMP P Tracking Table'!$AA41-216.711*'BMP P Tracking Table'!$Z41-83.853*'BMP P Tracking Table'!$Y41-42.834*'BMP P Tracking Table'!$X41)+SQRT((3630*'BMP P Tracking Table'!$V41+20.691*'BMP P Tracking Table'!$AA41-216.711*'BMP P Tracking Table'!$Z41-83.853*'BMP P Tracking Table'!$Y41-42.834*'BMP P Tracking Table'!$X41)^2-(4*(149.919*'BMP P Tracking Table'!$X41+236.676*'BMP P Tracking Table'!$Y41+726*'BMP P Tracking Table'!$Z41+996.798*'BMP P Tracking Table'!$AA41)*-'BMP P Tracking Table'!$AX41)))/(2*(149.919*'BMP P Tracking Table'!$X41+236.676*'BMP P Tracking Table'!$Y41+726*'BMP P Tracking Table'!$Z41+996.798*'BMP P Tracking Table'!$AA41)))))),"")</f>
        <v>0</v>
      </c>
      <c r="BB41" s="118" t="str">
        <f>IFERROR((VLOOKUP(CONCATENATE('BMP P Tracking Table'!$AW41," ",'BMP P Tracking Table'!$AY41),'Performance Curves'!$C$1:$L$46,_xlfn.SINGLE(MATCH('BMP P Tracking Table'!$BA41,'Performance Curves'!$D$1:$L$1,1))+2,FALSE)-VLOOKUP(CONCATENATE('BMP P Tracking Table'!$AW41," ",'BMP P Tracking Table'!$AY41),'Performance Curves'!$C$1:$L$46,_xlfn.SINGLE(MATCH('BMP P Tracking Table'!$BA41,'Performance Curves'!$D$1:$L$1,1))+1,FALSE)),"")</f>
        <v/>
      </c>
      <c r="BC41" s="118">
        <f>IFERROR(('BMP P Tracking Table'!$BA41-INDEX('Performance Curves'!$D$1:$L$1,1,MATCH('BMP P Tracking Table'!$BA41,'Performance Curves'!$D$1:$L$1,1)))/(INDEX('Performance Curves'!$D$1:$L$1,1,MATCH('BMP P Tracking Table'!$BA41,'Performance Curves'!$D$1:$L$1,1)+1)-INDEX('Performance Curves'!$D$1:$L$1,1,MATCH('BMP P Tracking Table'!$BA41,'Performance Curves'!$D$1:$L$1,1))),"")</f>
        <v>0</v>
      </c>
      <c r="BD41" s="115" t="str" cm="1">
        <f t="array" ref="BD41">IFERROR(IF('BMP P Tracking Table'!$BA41=2,VLOOKUP(CONCATENATE('BMP P Tracking Table'!$AW41," ",'BMP P Tracking Table'!$AY41),'Performance Curves'!$C$1:$L$44,_xlfn.SINGLE(MATCH('BMP P Tracking Table'!$BA41,'Performance Curves'!$D$1:$L$1,1))+1,FALSE),'BMP P Tracking Table'!$BB41*'BMP P Tracking Table'!$BC41+VLOOKUP(CONCATENATE('BMP P Tracking Table'!$AW41," ",'BMP P Tracking Table'!$AY41),'Performance Curves'!$C$1:$L$44,_xlfn.SINGLE(MATCH('BMP P Tracking Table'!$BA41,'Performance Curves'!$D$1:$L$1,1))+1,FALSE)),"")</f>
        <v/>
      </c>
      <c r="BE41" s="114" t="str">
        <f>IFERROR('BMP P Tracking Table'!$BD41*'BMP P Tracking Table'!$AZ41,"")</f>
        <v/>
      </c>
      <c r="BF41" s="116"/>
      <c r="BG41" s="120">
        <f t="shared" si="6"/>
        <v>0</v>
      </c>
      <c r="BI41" s="121" t="str">
        <f t="shared" si="1"/>
        <v>3201-9010.R</v>
      </c>
      <c r="BJ41" s="121" t="str">
        <f t="shared" si="2"/>
        <v>Pinewood Manor Section G</v>
      </c>
    </row>
    <row r="42" spans="1:65" s="36" customFormat="1">
      <c r="A42" s="36" t="s">
        <v>375</v>
      </c>
      <c r="B42" s="65" t="s">
        <v>375</v>
      </c>
      <c r="C42" s="65" t="s">
        <v>609</v>
      </c>
      <c r="D42" s="65" t="s">
        <v>327</v>
      </c>
      <c r="E42" s="65" t="s">
        <v>9</v>
      </c>
      <c r="F42" s="94"/>
      <c r="G42" s="94"/>
      <c r="H42" s="65" t="s">
        <v>375</v>
      </c>
      <c r="I42" s="65"/>
      <c r="J42" s="65" t="s">
        <v>66</v>
      </c>
      <c r="K42" s="95"/>
      <c r="L42" s="65" t="s">
        <v>111</v>
      </c>
      <c r="M42" s="65"/>
      <c r="N42" s="199">
        <v>34359</v>
      </c>
      <c r="O42" s="65"/>
      <c r="P42" s="65"/>
      <c r="Q42" s="65" t="s">
        <v>119</v>
      </c>
      <c r="R42" s="65" t="s">
        <v>146</v>
      </c>
      <c r="S42" s="65" t="s">
        <v>129</v>
      </c>
      <c r="T42" s="65" t="s">
        <v>62</v>
      </c>
      <c r="U42" s="65" t="s">
        <v>232</v>
      </c>
      <c r="V42" s="65">
        <v>0.5</v>
      </c>
      <c r="W42" s="65" t="s">
        <v>219</v>
      </c>
      <c r="X42" s="65"/>
      <c r="Y42" s="65"/>
      <c r="Z42" s="65"/>
      <c r="AA42" s="65"/>
      <c r="AB42" s="65">
        <v>8.5</v>
      </c>
      <c r="AC42" s="97"/>
      <c r="AD42" s="65"/>
      <c r="AE42" s="104">
        <f>IFERROR('BMP P Tracking Table'!$V42*VLOOKUP('BMP P Tracking Table'!$R42,'Loading Rates'!$B$1:$L$24,4,FALSE)+IF('BMP P Tracking Table'!$W42="By HSG",'BMP P Tracking Table'!$X42*VLOOKUP('BMP P Tracking Table'!$R42,'Loading Rates'!$B$1:$L$24,6,FALSE)+'BMP P Tracking Table'!$Y42*VLOOKUP('BMP P Tracking Table'!$R42,'Loading Rates'!$B$1:$L$24,7,FALSE)+'BMP P Tracking Table'!$Z42*VLOOKUP('BMP P Tracking Table'!$R42,'Loading Rates'!$B$1:$L$24,8,FALSE)+'BMP P Tracking Table'!$AA42*VLOOKUP('BMP P Tracking Table'!$R42,'Loading Rates'!$B$1:$L$24,9,FALSE),'BMP P Tracking Table'!$AB42*VLOOKUP('BMP P Tracking Table'!$R42,'Loading Rates'!$B$1:$L$24,10,FALSE)),"")</f>
        <v>2.5220000000000002</v>
      </c>
      <c r="AF42" s="104">
        <f>IFERROR(MIN(2,IF('BMP P Tracking Table'!$W42="Total Pervious",(-(3630*'BMP P Tracking Table'!$V42+20.691*'BMP P Tracking Table'!$AB42)+SQRT((3630*'BMP P Tracking Table'!$V42+20.691*'BMP P Tracking Table'!$AB42)^2-(4*(996.798*'BMP P Tracking Table'!$AB42)*-'BMP P Tracking Table'!$AC42)))/(2*(996.798*'BMP P Tracking Table'!$AB42)),IF(SUM('BMP P Tracking Table'!$X42:$AA42)=0,'BMP P Tracking Table'!$AC42/(-3630*'BMP P Tracking Table'!$V42),(-(3630*'BMP P Tracking Table'!$V42+20.691*'BMP P Tracking Table'!$AA42-216.711*'BMP P Tracking Table'!$Z42-83.853*'BMP P Tracking Table'!$Y42-42.834*'BMP P Tracking Table'!$X42)+SQRT((3630*'BMP P Tracking Table'!$V42+20.691*'BMP P Tracking Table'!$AA42-216.711*'BMP P Tracking Table'!$Z42-83.853*'BMP P Tracking Table'!$Y42-42.834*'BMP P Tracking Table'!$X42)^2-(4*(149.919*'BMP P Tracking Table'!$X42+236.676*'BMP P Tracking Table'!$Y42+726*'BMP P Tracking Table'!$Z42+996.798*'BMP P Tracking Table'!$AA42)*-'BMP P Tracking Table'!$AC42)))/(2*(149.919*'BMP P Tracking Table'!$X42+236.676*'BMP P Tracking Table'!$Y42+726*'BMP P Tracking Table'!$Z42+996.798*'BMP P Tracking Table'!$AA42))))),"")</f>
        <v>0</v>
      </c>
      <c r="AG42" s="104">
        <f>IFERROR((VLOOKUP(CONCATENATE('BMP P Tracking Table'!$U42," ",'BMP P Tracking Table'!$AD42),'Performance Curves'!$C$1:$L$46,_xlfn.SINGLE(MATCH('BMP P Tracking Table'!$AF42,'Performance Curves'!$D$1:$L$1,1))+2,FALSE)-VLOOKUP(CONCATENATE('BMP P Tracking Table'!$U42," ",'BMP P Tracking Table'!$AD42),'Performance Curves'!$C$1:$L$46,_xlfn.SINGLE(MATCH('BMP P Tracking Table'!$AF42,'Performance Curves'!$D$1:$L$1,1))+1,FALSE)),"")</f>
        <v>0.02</v>
      </c>
      <c r="AH42" s="104">
        <f>IFERROR(('BMP P Tracking Table'!$AF42-INDEX('Performance Curves'!$D$1:$L$1,1,MATCH('BMP P Tracking Table'!$AF42,'Performance Curves'!$D$1:$L$1,1)))/(INDEX('Performance Curves'!$D$1:$L$1,1,MATCH('BMP P Tracking Table'!$AF42,'Performance Curves'!$D$1:$L$1,1)+1)-INDEX('Performance Curves'!$D$1:$L$1,1,MATCH('BMP P Tracking Table'!$AF42,'Performance Curves'!$D$1:$L$1,1))),"")</f>
        <v>0</v>
      </c>
      <c r="AI42" s="103">
        <f>IFERROR(IF('BMP P Tracking Table'!$AF42=2,VLOOKUP(CONCATENATE('BMP P Tracking Table'!$U42," ",'BMP P Tracking Table'!$AD42),'Performance Curves'!$C$1:$L$46,_xlfn.SINGLE(MATCH('BMP P Tracking Table'!$AF42,'Performance Curves'!$D$1:$L$1,1))+1,FALSE),'BMP P Tracking Table'!$AG42*'BMP P Tracking Table'!$AH42+VLOOKUP(CONCATENATE('BMP P Tracking Table'!$U42," ",'BMP P Tracking Table'!$AD42),'Performance Curves'!$C$1:$L$46,_xlfn.SINGLE(MATCH('BMP P Tracking Table'!$AF42,'Performance Curves'!$D$1:$L$1,1))+1,FALSE)),"")</f>
        <v>0</v>
      </c>
      <c r="AJ42" s="104">
        <f>IFERROR('BMP P Tracking Table'!$AI42*'BMP P Tracking Table'!$AE42,"")</f>
        <v>0</v>
      </c>
      <c r="AK42" s="65"/>
      <c r="AL42" s="98" t="s">
        <v>62</v>
      </c>
      <c r="AM42" s="98"/>
      <c r="AN42" s="64">
        <v>1</v>
      </c>
      <c r="AO42" s="102">
        <f t="shared" si="5"/>
        <v>0</v>
      </c>
      <c r="AP42" s="98"/>
      <c r="AQ42" s="98"/>
      <c r="AR42" s="98"/>
      <c r="AS42" s="98"/>
      <c r="AT42" s="98"/>
      <c r="AU42" s="98"/>
      <c r="AV42" s="98"/>
      <c r="AW42" s="65"/>
      <c r="AX42" s="99"/>
      <c r="AY42" s="99"/>
      <c r="AZ42" s="104" t="str">
        <f>IF('BMP P Tracking Table'!$AL42="Yes",IF('BMP P Tracking Table'!$AM42="No",'BMP P Tracking Table'!$V42*VLOOKUP('BMP P Tracking Table'!$R42,'Loading Rates'!$B$1:$L$24,4,FALSE)+IF('BMP P Tracking Table'!$W42="By HSG",'BMP P Tracking Table'!$X42*VLOOKUP('BMP P Tracking Table'!$R42,'Loading Rates'!$B$1:$L$24,6,FALSE)+'BMP P Tracking Table'!$Y42*VLOOKUP('BMP P Tracking Table'!$R42,'Loading Rates'!$B$1:$L$24,7,FALSE)+'BMP P Tracking Table'!$Z42*VLOOKUP('BMP P Tracking Table'!$R42,'Loading Rates'!$B$1:$L$24,8,FALSE)+'BMP P Tracking Table'!$AA42*VLOOKUP('BMP P Tracking Table'!$R42,'Loading Rates'!$B$1:$L$24,9,FALSE),'BMP P Tracking Table'!$AB42*VLOOKUP('BMP P Tracking Table'!$R42,'Loading Rates'!$B$1:$L$24,10,FALSE)),'BMP P Tracking Table'!$AP42*VLOOKUP('BMP P Tracking Table'!$R42,'Loading Rates'!$B$1:$L$24,4,FALSE)+IF('BMP P Tracking Table'!$AQ42="By HSG",'BMP P Tracking Table'!$AR42*VLOOKUP('BMP P Tracking Table'!$R42,'Loading Rates'!$B$1:$L$24,6,FALSE)+'BMP P Tracking Table'!$AS42*VLOOKUP('BMP P Tracking Table'!$R42,'Loading Rates'!$B$1:$L$24,7,FALSE)+'BMP P Tracking Table'!$AT42*VLOOKUP('BMP P Tracking Table'!$R42,'Loading Rates'!$B$1:$L$24,8,FALSE)+'BMP P Tracking Table'!$AU42*VLOOKUP('BMP P Tracking Table'!$R42,'Loading Rates'!$B$1:$L$24,9,FALSE),'BMP P Tracking Table'!$AV42*VLOOKUP('BMP P Tracking Table'!$R42,'Loading Rates'!$B$1:$L$24,10,FALSE))),"")</f>
        <v/>
      </c>
      <c r="BA42" s="104">
        <f>IFERROR(IF('BMP P Tracking Table'!$AM42="Yes",MIN(2,IF('BMP P Tracking Table'!$AQ42="Total Pervious",(-(3630*'BMP P Tracking Table'!$AP42+20.691*'BMP P Tracking Table'!$AV42)+SQRT((3630*'BMP P Tracking Table'!$AP42+20.691*'BMP P Tracking Table'!$AV42)^2-(4*(996.798*'BMP P Tracking Table'!$AV42)*-'BMP P Tracking Table'!$AX42)))/(2*(996.798*'BMP P Tracking Table'!$AV42)),IF(SUM('BMP P Tracking Table'!$AR42:$AU42)=0,'BMP P Tracking Table'!$AV42/(-3630*'BMP P Tracking Table'!$AP42),(-(3630*'BMP P Tracking Table'!$AP42+20.691*'BMP P Tracking Table'!$AU42-216.711*'BMP P Tracking Table'!$AT42-83.853*'BMP P Tracking Table'!$AS42-42.834*'BMP P Tracking Table'!$AR42)+SQRT((3630*'BMP P Tracking Table'!$AP42+20.691*'BMP P Tracking Table'!$AU42-216.711*'BMP P Tracking Table'!$AT42-83.853*'BMP P Tracking Table'!$AS42-42.834*'BMP P Tracking Table'!$AR42)^2-(4*(149.919*'BMP P Tracking Table'!$AR42+236.676*'BMP P Tracking Table'!$AS42+726*'BMP P Tracking Table'!$AT42+996.798*'BMP P Tracking Table'!$AU42)*-'BMP P Tracking Table'!$AX42)))/(2*(149.919*'BMP P Tracking Table'!$AR42+236.676*'BMP P Tracking Table'!$AS42+726*'BMP P Tracking Table'!$AT42+996.798*'BMP P Tracking Table'!$AU42))))),MIN(2,IF('BMP P Tracking Table'!$AQ42="Total Pervious",(-(3630*'BMP P Tracking Table'!$V42+20.691*'BMP P Tracking Table'!$AB42)+SQRT((3630*'BMP P Tracking Table'!$V42+20.691*'BMP P Tracking Table'!$AB42)^2-(4*(996.798*'BMP P Tracking Table'!$AB42)*-'BMP P Tracking Table'!$AX42)))/(2*(996.798*'BMP P Tracking Table'!$AB42)),IF(SUM('BMP P Tracking Table'!$X42:$AA42)=0,'BMP P Tracking Table'!$AX42/(-3630*'BMP P Tracking Table'!$V42),(-(3630*'BMP P Tracking Table'!$V42+20.691*'BMP P Tracking Table'!$AA42-216.711*'BMP P Tracking Table'!$Z42-83.853*'BMP P Tracking Table'!$Y42-42.834*'BMP P Tracking Table'!$X42)+SQRT((3630*'BMP P Tracking Table'!$V42+20.691*'BMP P Tracking Table'!$AA42-216.711*'BMP P Tracking Table'!$Z42-83.853*'BMP P Tracking Table'!$Y42-42.834*'BMP P Tracking Table'!$X42)^2-(4*(149.919*'BMP P Tracking Table'!$X42+236.676*'BMP P Tracking Table'!$Y42+726*'BMP P Tracking Table'!$Z42+996.798*'BMP P Tracking Table'!$AA42)*-'BMP P Tracking Table'!$AX42)))/(2*(149.919*'BMP P Tracking Table'!$X42+236.676*'BMP P Tracking Table'!$Y42+726*'BMP P Tracking Table'!$Z42+996.798*'BMP P Tracking Table'!$AA42)))))),"")</f>
        <v>0</v>
      </c>
      <c r="BB42" s="102" t="str">
        <f>IFERROR((VLOOKUP(CONCATENATE('BMP P Tracking Table'!$AW42," ",'BMP P Tracking Table'!$AY42),'Performance Curves'!$C$1:$L$46,_xlfn.SINGLE(MATCH('BMP P Tracking Table'!$BA42,'Performance Curves'!$D$1:$L$1,1))+2,FALSE)-VLOOKUP(CONCATENATE('BMP P Tracking Table'!$AW42," ",'BMP P Tracking Table'!$AY42),'Performance Curves'!$C$1:$L$46,_xlfn.SINGLE(MATCH('BMP P Tracking Table'!$BA42,'Performance Curves'!$D$1:$L$1,1))+1,FALSE)),"")</f>
        <v/>
      </c>
      <c r="BC42" s="102">
        <f>IFERROR(('BMP P Tracking Table'!$BA42-INDEX('Performance Curves'!$D$1:$L$1,1,MATCH('BMP P Tracking Table'!$BA42,'Performance Curves'!$D$1:$L$1,1)))/(INDEX('Performance Curves'!$D$1:$L$1,1,MATCH('BMP P Tracking Table'!$BA42,'Performance Curves'!$D$1:$L$1,1)+1)-INDEX('Performance Curves'!$D$1:$L$1,1,MATCH('BMP P Tracking Table'!$BA42,'Performance Curves'!$D$1:$L$1,1))),"")</f>
        <v>0</v>
      </c>
      <c r="BD42" s="103" t="str" cm="1">
        <f t="array" ref="BD42">IFERROR(IF('BMP P Tracking Table'!$BA42=2,VLOOKUP(CONCATENATE('BMP P Tracking Table'!$AW42," ",'BMP P Tracking Table'!$AY42),'Performance Curves'!$C$1:$L$44,_xlfn.SINGLE(MATCH('BMP P Tracking Table'!$BA42,'Performance Curves'!$D$1:$L$1,1))+1,FALSE),'BMP P Tracking Table'!$BB42*'BMP P Tracking Table'!$BC42+VLOOKUP(CONCATENATE('BMP P Tracking Table'!$AW42," ",'BMP P Tracking Table'!$AY42),'Performance Curves'!$C$1:$L$44,_xlfn.SINGLE(MATCH('BMP P Tracking Table'!$BA42,'Performance Curves'!$D$1:$L$1,1))+1,FALSE)),"")</f>
        <v/>
      </c>
      <c r="BE42" s="104" t="str">
        <f>IFERROR('BMP P Tracking Table'!$BD42*'BMP P Tracking Table'!$AZ42,"")</f>
        <v/>
      </c>
      <c r="BF42" s="98"/>
      <c r="BG42" s="37">
        <f t="shared" si="6"/>
        <v>0</v>
      </c>
      <c r="BH42" s="220" t="s">
        <v>657</v>
      </c>
      <c r="BI42" s="36" t="str">
        <f t="shared" si="1"/>
        <v>3324-9010.R</v>
      </c>
      <c r="BJ42" s="36" t="str">
        <f t="shared" si="2"/>
        <v>Meadows Edge/Steeplebush SN 001</v>
      </c>
    </row>
    <row r="43" spans="1:65" s="36" customFormat="1">
      <c r="A43" s="36" t="s">
        <v>375</v>
      </c>
      <c r="B43" s="65" t="s">
        <v>375</v>
      </c>
      <c r="C43" s="134" t="s">
        <v>655</v>
      </c>
      <c r="D43" s="65" t="s">
        <v>327</v>
      </c>
      <c r="E43" s="65" t="s">
        <v>9</v>
      </c>
      <c r="F43" s="94"/>
      <c r="G43" s="94"/>
      <c r="H43" s="65" t="s">
        <v>375</v>
      </c>
      <c r="I43" s="65"/>
      <c r="J43" s="65" t="s">
        <v>66</v>
      </c>
      <c r="K43" s="95"/>
      <c r="L43" s="65" t="s">
        <v>111</v>
      </c>
      <c r="M43" s="65"/>
      <c r="N43" s="199">
        <v>34121</v>
      </c>
      <c r="O43" s="65"/>
      <c r="P43" s="65"/>
      <c r="Q43" s="65" t="s">
        <v>119</v>
      </c>
      <c r="R43" s="65" t="s">
        <v>146</v>
      </c>
      <c r="S43" s="65" t="s">
        <v>129</v>
      </c>
      <c r="T43" s="65" t="s">
        <v>62</v>
      </c>
      <c r="U43" s="65" t="s">
        <v>48</v>
      </c>
      <c r="V43" s="65">
        <v>1.85</v>
      </c>
      <c r="W43" s="65" t="s">
        <v>219</v>
      </c>
      <c r="X43" s="65"/>
      <c r="Y43" s="65"/>
      <c r="Z43" s="65"/>
      <c r="AA43" s="65"/>
      <c r="AB43" s="65">
        <v>6</v>
      </c>
      <c r="AC43" s="97">
        <v>60309</v>
      </c>
      <c r="AD43" s="65"/>
      <c r="AE43" s="104">
        <f>IFERROR('BMP P Tracking Table'!$V43*VLOOKUP('BMP P Tracking Table'!$R43,'Loading Rates'!$B$1:$L$24,4,FALSE)+IF('BMP P Tracking Table'!$W43="By HSG",'BMP P Tracking Table'!$X43*VLOOKUP('BMP P Tracking Table'!$R43,'Loading Rates'!$B$1:$L$24,6,FALSE)+'BMP P Tracking Table'!$Y43*VLOOKUP('BMP P Tracking Table'!$R43,'Loading Rates'!$B$1:$L$24,7,FALSE)+'BMP P Tracking Table'!$Z43*VLOOKUP('BMP P Tracking Table'!$R43,'Loading Rates'!$B$1:$L$24,8,FALSE)+'BMP P Tracking Table'!$AA43*VLOOKUP('BMP P Tracking Table'!$R43,'Loading Rates'!$B$1:$L$24,9,FALSE),'BMP P Tracking Table'!$AB43*VLOOKUP('BMP P Tracking Table'!$R43,'Loading Rates'!$B$1:$L$24,10,FALSE)),"")</f>
        <v>3.4524500000000002</v>
      </c>
      <c r="AF43" s="104">
        <f>IFERROR(MIN(2,IF('BMP P Tracking Table'!$W43="Total Pervious",(-(3630*'BMP P Tracking Table'!$V43+20.691*'BMP P Tracking Table'!$AB43)+SQRT((3630*'BMP P Tracking Table'!$V43+20.691*'BMP P Tracking Table'!$AB43)^2-(4*(996.798*'BMP P Tracking Table'!$AB43)*-'BMP P Tracking Table'!$AC43)))/(2*(996.798*'BMP P Tracking Table'!$AB43)),IF(SUM('BMP P Tracking Table'!$X43:$AA43)=0,'BMP P Tracking Table'!$AC43/(-3630*'BMP P Tracking Table'!$V43),(-(3630*'BMP P Tracking Table'!$V43+20.691*'BMP P Tracking Table'!$AA43-216.711*'BMP P Tracking Table'!$Z43-83.853*'BMP P Tracking Table'!$Y43-42.834*'BMP P Tracking Table'!$X43)+SQRT((3630*'BMP P Tracking Table'!$V43+20.691*'BMP P Tracking Table'!$AA43-216.711*'BMP P Tracking Table'!$Z43-83.853*'BMP P Tracking Table'!$Y43-42.834*'BMP P Tracking Table'!$X43)^2-(4*(149.919*'BMP P Tracking Table'!$X43+236.676*'BMP P Tracking Table'!$Y43+726*'BMP P Tracking Table'!$Z43+996.798*'BMP P Tracking Table'!$AA43)*-'BMP P Tracking Table'!$AC43)))/(2*(149.919*'BMP P Tracking Table'!$X43+236.676*'BMP P Tracking Table'!$Y43+726*'BMP P Tracking Table'!$Z43+996.798*'BMP P Tracking Table'!$AA43))))),"")</f>
        <v>2</v>
      </c>
      <c r="AG43" s="104" t="str">
        <f>IFERROR((VLOOKUP(CONCATENATE('BMP P Tracking Table'!$U43," ",'BMP P Tracking Table'!$AD43),'Performance Curves'!$C$1:$L$46,_xlfn.SINGLE(MATCH('BMP P Tracking Table'!$AF43,'Performance Curves'!$D$1:$L$1,1))+2,FALSE)-VLOOKUP(CONCATENATE('BMP P Tracking Table'!$U43," ",'BMP P Tracking Table'!$AD43),'Performance Curves'!$C$1:$L$46,_xlfn.SINGLE(MATCH('BMP P Tracking Table'!$AF43,'Performance Curves'!$D$1:$L$1,1))+1,FALSE)),"")</f>
        <v/>
      </c>
      <c r="AH43" s="104" t="str">
        <f>IFERROR(('BMP P Tracking Table'!$AF43-INDEX('Performance Curves'!$D$1:$L$1,1,MATCH('BMP P Tracking Table'!$AF43,'Performance Curves'!$D$1:$L$1,1)))/(INDEX('Performance Curves'!$D$1:$L$1,1,MATCH('BMP P Tracking Table'!$AF43,'Performance Curves'!$D$1:$L$1,1)+1)-INDEX('Performance Curves'!$D$1:$L$1,1,MATCH('BMP P Tracking Table'!$AF43,'Performance Curves'!$D$1:$L$1,1))),"")</f>
        <v/>
      </c>
      <c r="AI43" s="103">
        <f>IFERROR(IF('BMP P Tracking Table'!$AF43=2,VLOOKUP(CONCATENATE('BMP P Tracking Table'!$U43," ",'BMP P Tracking Table'!$AD43),'Performance Curves'!$C$1:$L$46,_xlfn.SINGLE(MATCH('BMP P Tracking Table'!$AF43,'Performance Curves'!$D$1:$L$1,1))+1,FALSE),'BMP P Tracking Table'!$AG43*'BMP P Tracking Table'!$AH43+VLOOKUP(CONCATENATE('BMP P Tracking Table'!$U43," ",'BMP P Tracking Table'!$AD43),'Performance Curves'!$C$1:$L$46,_xlfn.SINGLE(MATCH('BMP P Tracking Table'!$AF43,'Performance Curves'!$D$1:$L$1,1))+1,FALSE)),"")</f>
        <v>0.63</v>
      </c>
      <c r="AJ43" s="104">
        <f>IFERROR('BMP P Tracking Table'!$AI43*'BMP P Tracking Table'!$AE43,"")</f>
        <v>2.1750435000000001</v>
      </c>
      <c r="AK43" s="65"/>
      <c r="AL43" s="98" t="s">
        <v>62</v>
      </c>
      <c r="AM43" s="98"/>
      <c r="AN43" s="64">
        <v>1</v>
      </c>
      <c r="AO43" s="102">
        <f t="shared" si="5"/>
        <v>2.1750435000000001</v>
      </c>
      <c r="AP43" s="98"/>
      <c r="AQ43" s="98"/>
      <c r="AR43" s="98"/>
      <c r="AS43" s="98"/>
      <c r="AT43" s="98"/>
      <c r="AU43" s="98"/>
      <c r="AV43" s="98"/>
      <c r="AW43" s="65"/>
      <c r="AX43" s="99"/>
      <c r="AY43" s="99"/>
      <c r="AZ43" s="104" t="str">
        <f>IF('BMP P Tracking Table'!$AL43="Yes",IF('BMP P Tracking Table'!$AM43="No",'BMP P Tracking Table'!$V43*VLOOKUP('BMP P Tracking Table'!$R43,'Loading Rates'!$B$1:$L$24,4,FALSE)+IF('BMP P Tracking Table'!$W43="By HSG",'BMP P Tracking Table'!$X43*VLOOKUP('BMP P Tracking Table'!$R43,'Loading Rates'!$B$1:$L$24,6,FALSE)+'BMP P Tracking Table'!$Y43*VLOOKUP('BMP P Tracking Table'!$R43,'Loading Rates'!$B$1:$L$24,7,FALSE)+'BMP P Tracking Table'!$Z43*VLOOKUP('BMP P Tracking Table'!$R43,'Loading Rates'!$B$1:$L$24,8,FALSE)+'BMP P Tracking Table'!$AA43*VLOOKUP('BMP P Tracking Table'!$R43,'Loading Rates'!$B$1:$L$24,9,FALSE),'BMP P Tracking Table'!$AB43*VLOOKUP('BMP P Tracking Table'!$R43,'Loading Rates'!$B$1:$L$24,10,FALSE)),'BMP P Tracking Table'!$AP43*VLOOKUP('BMP P Tracking Table'!$R43,'Loading Rates'!$B$1:$L$24,4,FALSE)+IF('BMP P Tracking Table'!$AQ43="By HSG",'BMP P Tracking Table'!$AR43*VLOOKUP('BMP P Tracking Table'!$R43,'Loading Rates'!$B$1:$L$24,6,FALSE)+'BMP P Tracking Table'!$AS43*VLOOKUP('BMP P Tracking Table'!$R43,'Loading Rates'!$B$1:$L$24,7,FALSE)+'BMP P Tracking Table'!$AT43*VLOOKUP('BMP P Tracking Table'!$R43,'Loading Rates'!$B$1:$L$24,8,FALSE)+'BMP P Tracking Table'!$AU43*VLOOKUP('BMP P Tracking Table'!$R43,'Loading Rates'!$B$1:$L$24,9,FALSE),'BMP P Tracking Table'!$AV43*VLOOKUP('BMP P Tracking Table'!$R43,'Loading Rates'!$B$1:$L$24,10,FALSE))),"")</f>
        <v/>
      </c>
      <c r="BA43" s="104">
        <f>IFERROR(IF('BMP P Tracking Table'!$AM43="Yes",MIN(2,IF('BMP P Tracking Table'!$AQ43="Total Pervious",(-(3630*'BMP P Tracking Table'!$AP43+20.691*'BMP P Tracking Table'!$AV43)+SQRT((3630*'BMP P Tracking Table'!$AP43+20.691*'BMP P Tracking Table'!$AV43)^2-(4*(996.798*'BMP P Tracking Table'!$AV43)*-'BMP P Tracking Table'!$AX43)))/(2*(996.798*'BMP P Tracking Table'!$AV43)),IF(SUM('BMP P Tracking Table'!$AR43:$AU43)=0,'BMP P Tracking Table'!$AV43/(-3630*'BMP P Tracking Table'!$AP43),(-(3630*'BMP P Tracking Table'!$AP43+20.691*'BMP P Tracking Table'!$AU43-216.711*'BMP P Tracking Table'!$AT43-83.853*'BMP P Tracking Table'!$AS43-42.834*'BMP P Tracking Table'!$AR43)+SQRT((3630*'BMP P Tracking Table'!$AP43+20.691*'BMP P Tracking Table'!$AU43-216.711*'BMP P Tracking Table'!$AT43-83.853*'BMP P Tracking Table'!$AS43-42.834*'BMP P Tracking Table'!$AR43)^2-(4*(149.919*'BMP P Tracking Table'!$AR43+236.676*'BMP P Tracking Table'!$AS43+726*'BMP P Tracking Table'!$AT43+996.798*'BMP P Tracking Table'!$AU43)*-'BMP P Tracking Table'!$AX43)))/(2*(149.919*'BMP P Tracking Table'!$AR43+236.676*'BMP P Tracking Table'!$AS43+726*'BMP P Tracking Table'!$AT43+996.798*'BMP P Tracking Table'!$AU43))))),MIN(2,IF('BMP P Tracking Table'!$AQ43="Total Pervious",(-(3630*'BMP P Tracking Table'!$V43+20.691*'BMP P Tracking Table'!$AB43)+SQRT((3630*'BMP P Tracking Table'!$V43+20.691*'BMP P Tracking Table'!$AB43)^2-(4*(996.798*'BMP P Tracking Table'!$AB43)*-'BMP P Tracking Table'!$AX43)))/(2*(996.798*'BMP P Tracking Table'!$AB43)),IF(SUM('BMP P Tracking Table'!$X43:$AA43)=0,'BMP P Tracking Table'!$AX43/(-3630*'BMP P Tracking Table'!$V43),(-(3630*'BMP P Tracking Table'!$V43+20.691*'BMP P Tracking Table'!$AA43-216.711*'BMP P Tracking Table'!$Z43-83.853*'BMP P Tracking Table'!$Y43-42.834*'BMP P Tracking Table'!$X43)+SQRT((3630*'BMP P Tracking Table'!$V43+20.691*'BMP P Tracking Table'!$AA43-216.711*'BMP P Tracking Table'!$Z43-83.853*'BMP P Tracking Table'!$Y43-42.834*'BMP P Tracking Table'!$X43)^2-(4*(149.919*'BMP P Tracking Table'!$X43+236.676*'BMP P Tracking Table'!$Y43+726*'BMP P Tracking Table'!$Z43+996.798*'BMP P Tracking Table'!$AA43)*-'BMP P Tracking Table'!$AX43)))/(2*(149.919*'BMP P Tracking Table'!$X43+236.676*'BMP P Tracking Table'!$Y43+726*'BMP P Tracking Table'!$Z43+996.798*'BMP P Tracking Table'!$AA43)))))),"")</f>
        <v>0</v>
      </c>
      <c r="BB43" s="102" t="str">
        <f>IFERROR((VLOOKUP(CONCATENATE('BMP P Tracking Table'!$AW43," ",'BMP P Tracking Table'!$AY43),'Performance Curves'!$C$1:$L$46,_xlfn.SINGLE(MATCH('BMP P Tracking Table'!$BA43,'Performance Curves'!$D$1:$L$1,1))+2,FALSE)-VLOOKUP(CONCATENATE('BMP P Tracking Table'!$AW43," ",'BMP P Tracking Table'!$AY43),'Performance Curves'!$C$1:$L$46,_xlfn.SINGLE(MATCH('BMP P Tracking Table'!$BA43,'Performance Curves'!$D$1:$L$1,1))+1,FALSE)),"")</f>
        <v/>
      </c>
      <c r="BC43" s="102">
        <f>IFERROR(('BMP P Tracking Table'!$BA43-INDEX('Performance Curves'!$D$1:$L$1,1,MATCH('BMP P Tracking Table'!$BA43,'Performance Curves'!$D$1:$L$1,1)))/(INDEX('Performance Curves'!$D$1:$L$1,1,MATCH('BMP P Tracking Table'!$BA43,'Performance Curves'!$D$1:$L$1,1)+1)-INDEX('Performance Curves'!$D$1:$L$1,1,MATCH('BMP P Tracking Table'!$BA43,'Performance Curves'!$D$1:$L$1,1))),"")</f>
        <v>0</v>
      </c>
      <c r="BD43" s="103" t="str" cm="1">
        <f t="array" ref="BD43">IFERROR(IF('BMP P Tracking Table'!$BA43=2,VLOOKUP(CONCATENATE('BMP P Tracking Table'!$AW43," ",'BMP P Tracking Table'!$AY43),'Performance Curves'!$C$1:$L$44,_xlfn.SINGLE(MATCH('BMP P Tracking Table'!$BA43,'Performance Curves'!$D$1:$L$1,1))+1,FALSE),'BMP P Tracking Table'!$BB43*'BMP P Tracking Table'!$BC43+VLOOKUP(CONCATENATE('BMP P Tracking Table'!$AW43," ",'BMP P Tracking Table'!$AY43),'Performance Curves'!$C$1:$L$44,_xlfn.SINGLE(MATCH('BMP P Tracking Table'!$BA43,'Performance Curves'!$D$1:$L$1,1))+1,FALSE)),"")</f>
        <v/>
      </c>
      <c r="BE43" s="104" t="str">
        <f>IFERROR('BMP P Tracking Table'!$BD43*'BMP P Tracking Table'!$AZ43,"")</f>
        <v/>
      </c>
      <c r="BF43" s="98"/>
      <c r="BG43" s="37">
        <f t="shared" si="6"/>
        <v>0</v>
      </c>
      <c r="BH43" s="133" t="s">
        <v>656</v>
      </c>
      <c r="BI43" s="36" t="str">
        <f t="shared" si="1"/>
        <v>3324-9010.R</v>
      </c>
      <c r="BJ43" s="36" t="str">
        <f t="shared" si="2"/>
        <v>Meadows Edge/Steeplebush (old 1-1124) expansion of SN 002</v>
      </c>
    </row>
    <row r="44" spans="1:65" s="36" customFormat="1">
      <c r="A44" s="36" t="s">
        <v>375</v>
      </c>
      <c r="B44" s="65" t="s">
        <v>375</v>
      </c>
      <c r="C44" s="65" t="s">
        <v>610</v>
      </c>
      <c r="D44" s="65" t="s">
        <v>327</v>
      </c>
      <c r="E44" s="65" t="s">
        <v>9</v>
      </c>
      <c r="F44" s="94"/>
      <c r="G44" s="94"/>
      <c r="H44" s="65" t="s">
        <v>375</v>
      </c>
      <c r="I44" s="65"/>
      <c r="J44" s="65" t="s">
        <v>66</v>
      </c>
      <c r="K44" s="95"/>
      <c r="L44" s="65" t="s">
        <v>111</v>
      </c>
      <c r="M44" s="65"/>
      <c r="N44" s="199">
        <v>34359</v>
      </c>
      <c r="O44" s="65"/>
      <c r="P44" s="65"/>
      <c r="Q44" s="65" t="s">
        <v>119</v>
      </c>
      <c r="R44" s="65" t="s">
        <v>146</v>
      </c>
      <c r="S44" s="65" t="s">
        <v>129</v>
      </c>
      <c r="T44" s="65" t="s">
        <v>62</v>
      </c>
      <c r="U44" s="65" t="s">
        <v>232</v>
      </c>
      <c r="V44" s="65">
        <v>1</v>
      </c>
      <c r="W44" s="65" t="s">
        <v>219</v>
      </c>
      <c r="X44" s="65"/>
      <c r="Y44" s="65"/>
      <c r="Z44" s="65"/>
      <c r="AA44" s="65"/>
      <c r="AB44" s="65">
        <v>15</v>
      </c>
      <c r="AC44" s="97"/>
      <c r="AD44" s="65"/>
      <c r="AE44" s="104">
        <f>IFERROR('BMP P Tracking Table'!$V44*VLOOKUP('BMP P Tracking Table'!$R44,'Loading Rates'!$B$1:$L$24,4,FALSE)+IF('BMP P Tracking Table'!$W44="By HSG",'BMP P Tracking Table'!$X44*VLOOKUP('BMP P Tracking Table'!$R44,'Loading Rates'!$B$1:$L$24,6,FALSE)+'BMP P Tracking Table'!$Y44*VLOOKUP('BMP P Tracking Table'!$R44,'Loading Rates'!$B$1:$L$24,7,FALSE)+'BMP P Tracking Table'!$Z44*VLOOKUP('BMP P Tracking Table'!$R44,'Loading Rates'!$B$1:$L$24,8,FALSE)+'BMP P Tracking Table'!$AA44*VLOOKUP('BMP P Tracking Table'!$R44,'Loading Rates'!$B$1:$L$24,9,FALSE),'BMP P Tracking Table'!$AB44*VLOOKUP('BMP P Tracking Table'!$R44,'Loading Rates'!$B$1:$L$24,10,FALSE)),"")</f>
        <v>4.5820000000000007</v>
      </c>
      <c r="AF44" s="104">
        <f>IFERROR(MIN(2,IF('BMP P Tracking Table'!$W44="Total Pervious",(-(3630*'BMP P Tracking Table'!$V44+20.691*'BMP P Tracking Table'!$AB44)+SQRT((3630*'BMP P Tracking Table'!$V44+20.691*'BMP P Tracking Table'!$AB44)^2-(4*(996.798*'BMP P Tracking Table'!$AB44)*-'BMP P Tracking Table'!$AC44)))/(2*(996.798*'BMP P Tracking Table'!$AB44)),IF(SUM('BMP P Tracking Table'!$X44:$AA44)=0,'BMP P Tracking Table'!$AC44/(-3630*'BMP P Tracking Table'!$V44),(-(3630*'BMP P Tracking Table'!$V44+20.691*'BMP P Tracking Table'!$AA44-216.711*'BMP P Tracking Table'!$Z44-83.853*'BMP P Tracking Table'!$Y44-42.834*'BMP P Tracking Table'!$X44)+SQRT((3630*'BMP P Tracking Table'!$V44+20.691*'BMP P Tracking Table'!$AA44-216.711*'BMP P Tracking Table'!$Z44-83.853*'BMP P Tracking Table'!$Y44-42.834*'BMP P Tracking Table'!$X44)^2-(4*(149.919*'BMP P Tracking Table'!$X44+236.676*'BMP P Tracking Table'!$Y44+726*'BMP P Tracking Table'!$Z44+996.798*'BMP P Tracking Table'!$AA44)*-'BMP P Tracking Table'!$AC44)))/(2*(149.919*'BMP P Tracking Table'!$X44+236.676*'BMP P Tracking Table'!$Y44+726*'BMP P Tracking Table'!$Z44+996.798*'BMP P Tracking Table'!$AA44))))),"")</f>
        <v>0</v>
      </c>
      <c r="AG44" s="104">
        <f>IFERROR((VLOOKUP(CONCATENATE('BMP P Tracking Table'!$U44," ",'BMP P Tracking Table'!$AD44),'Performance Curves'!$C$1:$L$46,_xlfn.SINGLE(MATCH('BMP P Tracking Table'!$AF44,'Performance Curves'!$D$1:$L$1,1))+2,FALSE)-VLOOKUP(CONCATENATE('BMP P Tracking Table'!$U44," ",'BMP P Tracking Table'!$AD44),'Performance Curves'!$C$1:$L$46,_xlfn.SINGLE(MATCH('BMP P Tracking Table'!$AF44,'Performance Curves'!$D$1:$L$1,1))+1,FALSE)),"")</f>
        <v>0.02</v>
      </c>
      <c r="AH44" s="104">
        <f>IFERROR(('BMP P Tracking Table'!$AF44-INDEX('Performance Curves'!$D$1:$L$1,1,MATCH('BMP P Tracking Table'!$AF44,'Performance Curves'!$D$1:$L$1,1)))/(INDEX('Performance Curves'!$D$1:$L$1,1,MATCH('BMP P Tracking Table'!$AF44,'Performance Curves'!$D$1:$L$1,1)+1)-INDEX('Performance Curves'!$D$1:$L$1,1,MATCH('BMP P Tracking Table'!$AF44,'Performance Curves'!$D$1:$L$1,1))),"")</f>
        <v>0</v>
      </c>
      <c r="AI44" s="103">
        <f>IFERROR(IF('BMP P Tracking Table'!$AF44=2,VLOOKUP(CONCATENATE('BMP P Tracking Table'!$U44," ",'BMP P Tracking Table'!$AD44),'Performance Curves'!$C$1:$L$46,_xlfn.SINGLE(MATCH('BMP P Tracking Table'!$AF44,'Performance Curves'!$D$1:$L$1,1))+1,FALSE),'BMP P Tracking Table'!$AG44*'BMP P Tracking Table'!$AH44+VLOOKUP(CONCATENATE('BMP P Tracking Table'!$U44," ",'BMP P Tracking Table'!$AD44),'Performance Curves'!$C$1:$L$46,_xlfn.SINGLE(MATCH('BMP P Tracking Table'!$AF44,'Performance Curves'!$D$1:$L$1,1))+1,FALSE)),"")</f>
        <v>0</v>
      </c>
      <c r="AJ44" s="104">
        <f>IFERROR('BMP P Tracking Table'!$AI44*'BMP P Tracking Table'!$AE44,"")</f>
        <v>0</v>
      </c>
      <c r="AK44" s="65"/>
      <c r="AL44" s="98" t="s">
        <v>62</v>
      </c>
      <c r="AM44" s="98"/>
      <c r="AN44" s="64">
        <v>1</v>
      </c>
      <c r="AO44" s="102">
        <f t="shared" si="5"/>
        <v>0</v>
      </c>
      <c r="AP44" s="98"/>
      <c r="AQ44" s="98"/>
      <c r="AR44" s="98"/>
      <c r="AS44" s="98"/>
      <c r="AT44" s="98"/>
      <c r="AU44" s="98"/>
      <c r="AV44" s="98"/>
      <c r="AW44" s="65"/>
      <c r="AX44" s="99"/>
      <c r="AY44" s="99"/>
      <c r="AZ44" s="104" t="str">
        <f>IF('BMP P Tracking Table'!$AL44="Yes",IF('BMP P Tracking Table'!$AM44="No",'BMP P Tracking Table'!$V44*VLOOKUP('BMP P Tracking Table'!$R44,'Loading Rates'!$B$1:$L$24,4,FALSE)+IF('BMP P Tracking Table'!$W44="By HSG",'BMP P Tracking Table'!$X44*VLOOKUP('BMP P Tracking Table'!$R44,'Loading Rates'!$B$1:$L$24,6,FALSE)+'BMP P Tracking Table'!$Y44*VLOOKUP('BMP P Tracking Table'!$R44,'Loading Rates'!$B$1:$L$24,7,FALSE)+'BMP P Tracking Table'!$Z44*VLOOKUP('BMP P Tracking Table'!$R44,'Loading Rates'!$B$1:$L$24,8,FALSE)+'BMP P Tracking Table'!$AA44*VLOOKUP('BMP P Tracking Table'!$R44,'Loading Rates'!$B$1:$L$24,9,FALSE),'BMP P Tracking Table'!$AB44*VLOOKUP('BMP P Tracking Table'!$R44,'Loading Rates'!$B$1:$L$24,10,FALSE)),'BMP P Tracking Table'!$AP44*VLOOKUP('BMP P Tracking Table'!$R44,'Loading Rates'!$B$1:$L$24,4,FALSE)+IF('BMP P Tracking Table'!$AQ44="By HSG",'BMP P Tracking Table'!$AR44*VLOOKUP('BMP P Tracking Table'!$R44,'Loading Rates'!$B$1:$L$24,6,FALSE)+'BMP P Tracking Table'!$AS44*VLOOKUP('BMP P Tracking Table'!$R44,'Loading Rates'!$B$1:$L$24,7,FALSE)+'BMP P Tracking Table'!$AT44*VLOOKUP('BMP P Tracking Table'!$R44,'Loading Rates'!$B$1:$L$24,8,FALSE)+'BMP P Tracking Table'!$AU44*VLOOKUP('BMP P Tracking Table'!$R44,'Loading Rates'!$B$1:$L$24,9,FALSE),'BMP P Tracking Table'!$AV44*VLOOKUP('BMP P Tracking Table'!$R44,'Loading Rates'!$B$1:$L$24,10,FALSE))),"")</f>
        <v/>
      </c>
      <c r="BA44" s="104">
        <f>IFERROR(IF('BMP P Tracking Table'!$AM44="Yes",MIN(2,IF('BMP P Tracking Table'!$AQ44="Total Pervious",(-(3630*'BMP P Tracking Table'!$AP44+20.691*'BMP P Tracking Table'!$AV44)+SQRT((3630*'BMP P Tracking Table'!$AP44+20.691*'BMP P Tracking Table'!$AV44)^2-(4*(996.798*'BMP P Tracking Table'!$AV44)*-'BMP P Tracking Table'!$AX44)))/(2*(996.798*'BMP P Tracking Table'!$AV44)),IF(SUM('BMP P Tracking Table'!$AR44:$AU44)=0,'BMP P Tracking Table'!$AV44/(-3630*'BMP P Tracking Table'!$AP44),(-(3630*'BMP P Tracking Table'!$AP44+20.691*'BMP P Tracking Table'!$AU44-216.711*'BMP P Tracking Table'!$AT44-83.853*'BMP P Tracking Table'!$AS44-42.834*'BMP P Tracking Table'!$AR44)+SQRT((3630*'BMP P Tracking Table'!$AP44+20.691*'BMP P Tracking Table'!$AU44-216.711*'BMP P Tracking Table'!$AT44-83.853*'BMP P Tracking Table'!$AS44-42.834*'BMP P Tracking Table'!$AR44)^2-(4*(149.919*'BMP P Tracking Table'!$AR44+236.676*'BMP P Tracking Table'!$AS44+726*'BMP P Tracking Table'!$AT44+996.798*'BMP P Tracking Table'!$AU44)*-'BMP P Tracking Table'!$AX44)))/(2*(149.919*'BMP P Tracking Table'!$AR44+236.676*'BMP P Tracking Table'!$AS44+726*'BMP P Tracking Table'!$AT44+996.798*'BMP P Tracking Table'!$AU44))))),MIN(2,IF('BMP P Tracking Table'!$AQ44="Total Pervious",(-(3630*'BMP P Tracking Table'!$V44+20.691*'BMP P Tracking Table'!$AB44)+SQRT((3630*'BMP P Tracking Table'!$V44+20.691*'BMP P Tracking Table'!$AB44)^2-(4*(996.798*'BMP P Tracking Table'!$AB44)*-'BMP P Tracking Table'!$AX44)))/(2*(996.798*'BMP P Tracking Table'!$AB44)),IF(SUM('BMP P Tracking Table'!$X44:$AA44)=0,'BMP P Tracking Table'!$AX44/(-3630*'BMP P Tracking Table'!$V44),(-(3630*'BMP P Tracking Table'!$V44+20.691*'BMP P Tracking Table'!$AA44-216.711*'BMP P Tracking Table'!$Z44-83.853*'BMP P Tracking Table'!$Y44-42.834*'BMP P Tracking Table'!$X44)+SQRT((3630*'BMP P Tracking Table'!$V44+20.691*'BMP P Tracking Table'!$AA44-216.711*'BMP P Tracking Table'!$Z44-83.853*'BMP P Tracking Table'!$Y44-42.834*'BMP P Tracking Table'!$X44)^2-(4*(149.919*'BMP P Tracking Table'!$X44+236.676*'BMP P Tracking Table'!$Y44+726*'BMP P Tracking Table'!$Z44+996.798*'BMP P Tracking Table'!$AA44)*-'BMP P Tracking Table'!$AX44)))/(2*(149.919*'BMP P Tracking Table'!$X44+236.676*'BMP P Tracking Table'!$Y44+726*'BMP P Tracking Table'!$Z44+996.798*'BMP P Tracking Table'!$AA44)))))),"")</f>
        <v>0</v>
      </c>
      <c r="BB44" s="102" t="str">
        <f>IFERROR((VLOOKUP(CONCATENATE('BMP P Tracking Table'!$AW44," ",'BMP P Tracking Table'!$AY44),'Performance Curves'!$C$1:$L$46,_xlfn.SINGLE(MATCH('BMP P Tracking Table'!$BA44,'Performance Curves'!$D$1:$L$1,1))+2,FALSE)-VLOOKUP(CONCATENATE('BMP P Tracking Table'!$AW44," ",'BMP P Tracking Table'!$AY44),'Performance Curves'!$C$1:$L$46,_xlfn.SINGLE(MATCH('BMP P Tracking Table'!$BA44,'Performance Curves'!$D$1:$L$1,1))+1,FALSE)),"")</f>
        <v/>
      </c>
      <c r="BC44" s="102">
        <f>IFERROR(('BMP P Tracking Table'!$BA44-INDEX('Performance Curves'!$D$1:$L$1,1,MATCH('BMP P Tracking Table'!$BA44,'Performance Curves'!$D$1:$L$1,1)))/(INDEX('Performance Curves'!$D$1:$L$1,1,MATCH('BMP P Tracking Table'!$BA44,'Performance Curves'!$D$1:$L$1,1)+1)-INDEX('Performance Curves'!$D$1:$L$1,1,MATCH('BMP P Tracking Table'!$BA44,'Performance Curves'!$D$1:$L$1,1))),"")</f>
        <v>0</v>
      </c>
      <c r="BD44" s="103" t="str" cm="1">
        <f t="array" ref="BD44">IFERROR(IF('BMP P Tracking Table'!$BA44=2,VLOOKUP(CONCATENATE('BMP P Tracking Table'!$AW44," ",'BMP P Tracking Table'!$AY44),'Performance Curves'!$C$1:$L$44,_xlfn.SINGLE(MATCH('BMP P Tracking Table'!$BA44,'Performance Curves'!$D$1:$L$1,1))+1,FALSE),'BMP P Tracking Table'!$BB44*'BMP P Tracking Table'!$BC44+VLOOKUP(CONCATENATE('BMP P Tracking Table'!$AW44," ",'BMP P Tracking Table'!$AY44),'Performance Curves'!$C$1:$L$44,_xlfn.SINGLE(MATCH('BMP P Tracking Table'!$BA44,'Performance Curves'!$D$1:$L$1,1))+1,FALSE)),"")</f>
        <v/>
      </c>
      <c r="BE44" s="104" t="str">
        <f>IFERROR('BMP P Tracking Table'!$BD44*'BMP P Tracking Table'!$AZ44,"")</f>
        <v/>
      </c>
      <c r="BF44" s="98"/>
      <c r="BG44" s="37">
        <f t="shared" si="6"/>
        <v>0</v>
      </c>
      <c r="BH44" s="220" t="s">
        <v>657</v>
      </c>
      <c r="BI44" s="36" t="str">
        <f t="shared" si="1"/>
        <v>3324-9010.R</v>
      </c>
      <c r="BJ44" s="36" t="str">
        <f t="shared" si="2"/>
        <v>Meadows Edge/Steeplebush SN 003</v>
      </c>
    </row>
    <row r="45" spans="1:65" s="36" customFormat="1">
      <c r="A45" s="36" t="s">
        <v>375</v>
      </c>
      <c r="B45" s="65" t="s">
        <v>375</v>
      </c>
      <c r="C45" s="65" t="s">
        <v>611</v>
      </c>
      <c r="D45" s="65" t="s">
        <v>327</v>
      </c>
      <c r="E45" s="65" t="s">
        <v>9</v>
      </c>
      <c r="F45" s="94"/>
      <c r="G45" s="94"/>
      <c r="H45" s="65" t="s">
        <v>375</v>
      </c>
      <c r="I45" s="65"/>
      <c r="J45" s="65" t="s">
        <v>66</v>
      </c>
      <c r="K45" s="95"/>
      <c r="L45" s="65" t="s">
        <v>111</v>
      </c>
      <c r="M45" s="65"/>
      <c r="N45" s="199">
        <v>34359</v>
      </c>
      <c r="O45" s="65"/>
      <c r="P45" s="65"/>
      <c r="Q45" s="65" t="s">
        <v>119</v>
      </c>
      <c r="R45" s="65" t="s">
        <v>146</v>
      </c>
      <c r="S45" s="65" t="s">
        <v>129</v>
      </c>
      <c r="T45" s="65" t="s">
        <v>62</v>
      </c>
      <c r="U45" s="65" t="s">
        <v>232</v>
      </c>
      <c r="V45" s="65">
        <v>1.5</v>
      </c>
      <c r="W45" s="65" t="s">
        <v>219</v>
      </c>
      <c r="X45" s="65"/>
      <c r="Y45" s="65"/>
      <c r="Z45" s="65"/>
      <c r="AA45" s="65"/>
      <c r="AB45" s="65">
        <v>13.5</v>
      </c>
      <c r="AC45" s="97"/>
      <c r="AD45" s="65"/>
      <c r="AE45" s="104">
        <f>IFERROR('BMP P Tracking Table'!$V45*VLOOKUP('BMP P Tracking Table'!$R45,'Loading Rates'!$B$1:$L$24,4,FALSE)+IF('BMP P Tracking Table'!$W45="By HSG",'BMP P Tracking Table'!$X45*VLOOKUP('BMP P Tracking Table'!$R45,'Loading Rates'!$B$1:$L$24,6,FALSE)+'BMP P Tracking Table'!$Y45*VLOOKUP('BMP P Tracking Table'!$R45,'Loading Rates'!$B$1:$L$24,7,FALSE)+'BMP P Tracking Table'!$Z45*VLOOKUP('BMP P Tracking Table'!$R45,'Loading Rates'!$B$1:$L$24,8,FALSE)+'BMP P Tracking Table'!$AA45*VLOOKUP('BMP P Tracking Table'!$R45,'Loading Rates'!$B$1:$L$24,9,FALSE),'BMP P Tracking Table'!$AB45*VLOOKUP('BMP P Tracking Table'!$R45,'Loading Rates'!$B$1:$L$24,10,FALSE)),"")</f>
        <v>4.7940000000000005</v>
      </c>
      <c r="AF45" s="104">
        <f>IFERROR(MIN(2,IF('BMP P Tracking Table'!$W45="Total Pervious",(-(3630*'BMP P Tracking Table'!$V45+20.691*'BMP P Tracking Table'!$AB45)+SQRT((3630*'BMP P Tracking Table'!$V45+20.691*'BMP P Tracking Table'!$AB45)^2-(4*(996.798*'BMP P Tracking Table'!$AB45)*-'BMP P Tracking Table'!$AC45)))/(2*(996.798*'BMP P Tracking Table'!$AB45)),IF(SUM('BMP P Tracking Table'!$X45:$AA45)=0,'BMP P Tracking Table'!$AC45/(-3630*'BMP P Tracking Table'!$V45),(-(3630*'BMP P Tracking Table'!$V45+20.691*'BMP P Tracking Table'!$AA45-216.711*'BMP P Tracking Table'!$Z45-83.853*'BMP P Tracking Table'!$Y45-42.834*'BMP P Tracking Table'!$X45)+SQRT((3630*'BMP P Tracking Table'!$V45+20.691*'BMP P Tracking Table'!$AA45-216.711*'BMP P Tracking Table'!$Z45-83.853*'BMP P Tracking Table'!$Y45-42.834*'BMP P Tracking Table'!$X45)^2-(4*(149.919*'BMP P Tracking Table'!$X45+236.676*'BMP P Tracking Table'!$Y45+726*'BMP P Tracking Table'!$Z45+996.798*'BMP P Tracking Table'!$AA45)*-'BMP P Tracking Table'!$AC45)))/(2*(149.919*'BMP P Tracking Table'!$X45+236.676*'BMP P Tracking Table'!$Y45+726*'BMP P Tracking Table'!$Z45+996.798*'BMP P Tracking Table'!$AA45))))),"")</f>
        <v>0</v>
      </c>
      <c r="AG45" s="104">
        <f>IFERROR((VLOOKUP(CONCATENATE('BMP P Tracking Table'!$U45," ",'BMP P Tracking Table'!$AD45),'Performance Curves'!$C$1:$L$46,_xlfn.SINGLE(MATCH('BMP P Tracking Table'!$AF45,'Performance Curves'!$D$1:$L$1,1))+2,FALSE)-VLOOKUP(CONCATENATE('BMP P Tracking Table'!$U45," ",'BMP P Tracking Table'!$AD45),'Performance Curves'!$C$1:$L$46,_xlfn.SINGLE(MATCH('BMP P Tracking Table'!$AF45,'Performance Curves'!$D$1:$L$1,1))+1,FALSE)),"")</f>
        <v>0.02</v>
      </c>
      <c r="AH45" s="104">
        <f>IFERROR(('BMP P Tracking Table'!$AF45-INDEX('Performance Curves'!$D$1:$L$1,1,MATCH('BMP P Tracking Table'!$AF45,'Performance Curves'!$D$1:$L$1,1)))/(INDEX('Performance Curves'!$D$1:$L$1,1,MATCH('BMP P Tracking Table'!$AF45,'Performance Curves'!$D$1:$L$1,1)+1)-INDEX('Performance Curves'!$D$1:$L$1,1,MATCH('BMP P Tracking Table'!$AF45,'Performance Curves'!$D$1:$L$1,1))),"")</f>
        <v>0</v>
      </c>
      <c r="AI45" s="103">
        <f>IFERROR(IF('BMP P Tracking Table'!$AF45=2,VLOOKUP(CONCATENATE('BMP P Tracking Table'!$U45," ",'BMP P Tracking Table'!$AD45),'Performance Curves'!$C$1:$L$46,_xlfn.SINGLE(MATCH('BMP P Tracking Table'!$AF45,'Performance Curves'!$D$1:$L$1,1))+1,FALSE),'BMP P Tracking Table'!$AG45*'BMP P Tracking Table'!$AH45+VLOOKUP(CONCATENATE('BMP P Tracking Table'!$U45," ",'BMP P Tracking Table'!$AD45),'Performance Curves'!$C$1:$L$46,_xlfn.SINGLE(MATCH('BMP P Tracking Table'!$AF45,'Performance Curves'!$D$1:$L$1,1))+1,FALSE)),"")</f>
        <v>0</v>
      </c>
      <c r="AJ45" s="104">
        <f>IFERROR('BMP P Tracking Table'!$AI45*'BMP P Tracking Table'!$AE45,"")</f>
        <v>0</v>
      </c>
      <c r="AK45" s="65"/>
      <c r="AL45" s="98" t="s">
        <v>62</v>
      </c>
      <c r="AM45" s="98"/>
      <c r="AN45" s="64">
        <v>1</v>
      </c>
      <c r="AO45" s="102">
        <f t="shared" si="5"/>
        <v>0</v>
      </c>
      <c r="AP45" s="98"/>
      <c r="AQ45" s="98"/>
      <c r="AR45" s="98"/>
      <c r="AS45" s="98"/>
      <c r="AT45" s="98"/>
      <c r="AU45" s="98"/>
      <c r="AV45" s="98"/>
      <c r="AW45" s="65"/>
      <c r="AX45" s="99"/>
      <c r="AY45" s="99"/>
      <c r="AZ45" s="104" t="str">
        <f>IF('BMP P Tracking Table'!$AL45="Yes",IF('BMP P Tracking Table'!$AM45="No",'BMP P Tracking Table'!$V45*VLOOKUP('BMP P Tracking Table'!$R45,'Loading Rates'!$B$1:$L$24,4,FALSE)+IF('BMP P Tracking Table'!$W45="By HSG",'BMP P Tracking Table'!$X45*VLOOKUP('BMP P Tracking Table'!$R45,'Loading Rates'!$B$1:$L$24,6,FALSE)+'BMP P Tracking Table'!$Y45*VLOOKUP('BMP P Tracking Table'!$R45,'Loading Rates'!$B$1:$L$24,7,FALSE)+'BMP P Tracking Table'!$Z45*VLOOKUP('BMP P Tracking Table'!$R45,'Loading Rates'!$B$1:$L$24,8,FALSE)+'BMP P Tracking Table'!$AA45*VLOOKUP('BMP P Tracking Table'!$R45,'Loading Rates'!$B$1:$L$24,9,FALSE),'BMP P Tracking Table'!$AB45*VLOOKUP('BMP P Tracking Table'!$R45,'Loading Rates'!$B$1:$L$24,10,FALSE)),'BMP P Tracking Table'!$AP45*VLOOKUP('BMP P Tracking Table'!$R45,'Loading Rates'!$B$1:$L$24,4,FALSE)+IF('BMP P Tracking Table'!$AQ45="By HSG",'BMP P Tracking Table'!$AR45*VLOOKUP('BMP P Tracking Table'!$R45,'Loading Rates'!$B$1:$L$24,6,FALSE)+'BMP P Tracking Table'!$AS45*VLOOKUP('BMP P Tracking Table'!$R45,'Loading Rates'!$B$1:$L$24,7,FALSE)+'BMP P Tracking Table'!$AT45*VLOOKUP('BMP P Tracking Table'!$R45,'Loading Rates'!$B$1:$L$24,8,FALSE)+'BMP P Tracking Table'!$AU45*VLOOKUP('BMP P Tracking Table'!$R45,'Loading Rates'!$B$1:$L$24,9,FALSE),'BMP P Tracking Table'!$AV45*VLOOKUP('BMP P Tracking Table'!$R45,'Loading Rates'!$B$1:$L$24,10,FALSE))),"")</f>
        <v/>
      </c>
      <c r="BA45" s="104">
        <f>IFERROR(IF('BMP P Tracking Table'!$AM45="Yes",MIN(2,IF('BMP P Tracking Table'!$AQ45="Total Pervious",(-(3630*'BMP P Tracking Table'!$AP45+20.691*'BMP P Tracking Table'!$AV45)+SQRT((3630*'BMP P Tracking Table'!$AP45+20.691*'BMP P Tracking Table'!$AV45)^2-(4*(996.798*'BMP P Tracking Table'!$AV45)*-'BMP P Tracking Table'!$AX45)))/(2*(996.798*'BMP P Tracking Table'!$AV45)),IF(SUM('BMP P Tracking Table'!$AR45:$AU45)=0,'BMP P Tracking Table'!$AV45/(-3630*'BMP P Tracking Table'!$AP45),(-(3630*'BMP P Tracking Table'!$AP45+20.691*'BMP P Tracking Table'!$AU45-216.711*'BMP P Tracking Table'!$AT45-83.853*'BMP P Tracking Table'!$AS45-42.834*'BMP P Tracking Table'!$AR45)+SQRT((3630*'BMP P Tracking Table'!$AP45+20.691*'BMP P Tracking Table'!$AU45-216.711*'BMP P Tracking Table'!$AT45-83.853*'BMP P Tracking Table'!$AS45-42.834*'BMP P Tracking Table'!$AR45)^2-(4*(149.919*'BMP P Tracking Table'!$AR45+236.676*'BMP P Tracking Table'!$AS45+726*'BMP P Tracking Table'!$AT45+996.798*'BMP P Tracking Table'!$AU45)*-'BMP P Tracking Table'!$AX45)))/(2*(149.919*'BMP P Tracking Table'!$AR45+236.676*'BMP P Tracking Table'!$AS45+726*'BMP P Tracking Table'!$AT45+996.798*'BMP P Tracking Table'!$AU45))))),MIN(2,IF('BMP P Tracking Table'!$AQ45="Total Pervious",(-(3630*'BMP P Tracking Table'!$V45+20.691*'BMP P Tracking Table'!$AB45)+SQRT((3630*'BMP P Tracking Table'!$V45+20.691*'BMP P Tracking Table'!$AB45)^2-(4*(996.798*'BMP P Tracking Table'!$AB45)*-'BMP P Tracking Table'!$AX45)))/(2*(996.798*'BMP P Tracking Table'!$AB45)),IF(SUM('BMP P Tracking Table'!$X45:$AA45)=0,'BMP P Tracking Table'!$AX45/(-3630*'BMP P Tracking Table'!$V45),(-(3630*'BMP P Tracking Table'!$V45+20.691*'BMP P Tracking Table'!$AA45-216.711*'BMP P Tracking Table'!$Z45-83.853*'BMP P Tracking Table'!$Y45-42.834*'BMP P Tracking Table'!$X45)+SQRT((3630*'BMP P Tracking Table'!$V45+20.691*'BMP P Tracking Table'!$AA45-216.711*'BMP P Tracking Table'!$Z45-83.853*'BMP P Tracking Table'!$Y45-42.834*'BMP P Tracking Table'!$X45)^2-(4*(149.919*'BMP P Tracking Table'!$X45+236.676*'BMP P Tracking Table'!$Y45+726*'BMP P Tracking Table'!$Z45+996.798*'BMP P Tracking Table'!$AA45)*-'BMP P Tracking Table'!$AX45)))/(2*(149.919*'BMP P Tracking Table'!$X45+236.676*'BMP P Tracking Table'!$Y45+726*'BMP P Tracking Table'!$Z45+996.798*'BMP P Tracking Table'!$AA45)))))),"")</f>
        <v>0</v>
      </c>
      <c r="BB45" s="102" t="str">
        <f>IFERROR((VLOOKUP(CONCATENATE('BMP P Tracking Table'!$AW45," ",'BMP P Tracking Table'!$AY45),'Performance Curves'!$C$1:$L$46,_xlfn.SINGLE(MATCH('BMP P Tracking Table'!$BA45,'Performance Curves'!$D$1:$L$1,1))+2,FALSE)-VLOOKUP(CONCATENATE('BMP P Tracking Table'!$AW45," ",'BMP P Tracking Table'!$AY45),'Performance Curves'!$C$1:$L$46,_xlfn.SINGLE(MATCH('BMP P Tracking Table'!$BA45,'Performance Curves'!$D$1:$L$1,1))+1,FALSE)),"")</f>
        <v/>
      </c>
      <c r="BC45" s="102">
        <f>IFERROR(('BMP P Tracking Table'!$BA45-INDEX('Performance Curves'!$D$1:$L$1,1,MATCH('BMP P Tracking Table'!$BA45,'Performance Curves'!$D$1:$L$1,1)))/(INDEX('Performance Curves'!$D$1:$L$1,1,MATCH('BMP P Tracking Table'!$BA45,'Performance Curves'!$D$1:$L$1,1)+1)-INDEX('Performance Curves'!$D$1:$L$1,1,MATCH('BMP P Tracking Table'!$BA45,'Performance Curves'!$D$1:$L$1,1))),"")</f>
        <v>0</v>
      </c>
      <c r="BD45" s="103" t="str" cm="1">
        <f t="array" ref="BD45">IFERROR(IF('BMP P Tracking Table'!$BA45=2,VLOOKUP(CONCATENATE('BMP P Tracking Table'!$AW45," ",'BMP P Tracking Table'!$AY45),'Performance Curves'!$C$1:$L$44,_xlfn.SINGLE(MATCH('BMP P Tracking Table'!$BA45,'Performance Curves'!$D$1:$L$1,1))+1,FALSE),'BMP P Tracking Table'!$BB45*'BMP P Tracking Table'!$BC45+VLOOKUP(CONCATENATE('BMP P Tracking Table'!$AW45," ",'BMP P Tracking Table'!$AY45),'Performance Curves'!$C$1:$L$44,_xlfn.SINGLE(MATCH('BMP P Tracking Table'!$BA45,'Performance Curves'!$D$1:$L$1,1))+1,FALSE)),"")</f>
        <v/>
      </c>
      <c r="BE45" s="104" t="str">
        <f>IFERROR('BMP P Tracking Table'!$BD45*'BMP P Tracking Table'!$AZ45,"")</f>
        <v/>
      </c>
      <c r="BF45" s="98"/>
      <c r="BG45" s="37">
        <f t="shared" si="6"/>
        <v>0</v>
      </c>
      <c r="BH45" s="220" t="s">
        <v>657</v>
      </c>
      <c r="BI45" s="36" t="str">
        <f t="shared" si="1"/>
        <v>3324-9010.R</v>
      </c>
      <c r="BJ45" s="36" t="str">
        <f t="shared" si="2"/>
        <v>Meadows Edge/Steeplebush SN 004</v>
      </c>
    </row>
    <row r="46" spans="1:65" s="36" customFormat="1">
      <c r="A46" s="36" t="s">
        <v>375</v>
      </c>
      <c r="B46" s="65" t="s">
        <v>375</v>
      </c>
      <c r="C46" s="65" t="s">
        <v>612</v>
      </c>
      <c r="D46" s="65" t="s">
        <v>327</v>
      </c>
      <c r="E46" s="65" t="s">
        <v>9</v>
      </c>
      <c r="F46" s="94"/>
      <c r="G46" s="94"/>
      <c r="H46" s="65" t="s">
        <v>375</v>
      </c>
      <c r="I46" s="65"/>
      <c r="J46" s="65" t="s">
        <v>66</v>
      </c>
      <c r="K46" s="95"/>
      <c r="L46" s="65" t="s">
        <v>111</v>
      </c>
      <c r="M46" s="65"/>
      <c r="N46" s="199">
        <v>34359</v>
      </c>
      <c r="O46" s="65"/>
      <c r="P46" s="65"/>
      <c r="Q46" s="65" t="s">
        <v>119</v>
      </c>
      <c r="R46" s="65" t="s">
        <v>146</v>
      </c>
      <c r="S46" s="65" t="s">
        <v>129</v>
      </c>
      <c r="T46" s="65" t="s">
        <v>62</v>
      </c>
      <c r="U46" s="65" t="s">
        <v>232</v>
      </c>
      <c r="V46" s="65">
        <v>0.5</v>
      </c>
      <c r="W46" s="65" t="s">
        <v>219</v>
      </c>
      <c r="X46" s="65"/>
      <c r="Y46" s="65"/>
      <c r="Z46" s="65"/>
      <c r="AA46" s="65"/>
      <c r="AB46" s="65">
        <v>3.5</v>
      </c>
      <c r="AC46" s="97"/>
      <c r="AD46" s="65"/>
      <c r="AE46" s="104">
        <f>IFERROR('BMP P Tracking Table'!$V46*VLOOKUP('BMP P Tracking Table'!$R46,'Loading Rates'!$B$1:$L$24,4,FALSE)+IF('BMP P Tracking Table'!$W46="By HSG",'BMP P Tracking Table'!$X46*VLOOKUP('BMP P Tracking Table'!$R46,'Loading Rates'!$B$1:$L$24,6,FALSE)+'BMP P Tracking Table'!$Y46*VLOOKUP('BMP P Tracking Table'!$R46,'Loading Rates'!$B$1:$L$24,7,FALSE)+'BMP P Tracking Table'!$Z46*VLOOKUP('BMP P Tracking Table'!$R46,'Loading Rates'!$B$1:$L$24,8,FALSE)+'BMP P Tracking Table'!$AA46*VLOOKUP('BMP P Tracking Table'!$R46,'Loading Rates'!$B$1:$L$24,9,FALSE),'BMP P Tracking Table'!$AB46*VLOOKUP('BMP P Tracking Table'!$R46,'Loading Rates'!$B$1:$L$24,10,FALSE)),"")</f>
        <v>1.367</v>
      </c>
      <c r="AF46" s="104">
        <f>IFERROR(MIN(2,IF('BMP P Tracking Table'!$W46="Total Pervious",(-(3630*'BMP P Tracking Table'!$V46+20.691*'BMP P Tracking Table'!$AB46)+SQRT((3630*'BMP P Tracking Table'!$V46+20.691*'BMP P Tracking Table'!$AB46)^2-(4*(996.798*'BMP P Tracking Table'!$AB46)*-'BMP P Tracking Table'!$AC46)))/(2*(996.798*'BMP P Tracking Table'!$AB46)),IF(SUM('BMP P Tracking Table'!$X46:$AA46)=0,'BMP P Tracking Table'!$AC46/(-3630*'BMP P Tracking Table'!$V46),(-(3630*'BMP P Tracking Table'!$V46+20.691*'BMP P Tracking Table'!$AA46-216.711*'BMP P Tracking Table'!$Z46-83.853*'BMP P Tracking Table'!$Y46-42.834*'BMP P Tracking Table'!$X46)+SQRT((3630*'BMP P Tracking Table'!$V46+20.691*'BMP P Tracking Table'!$AA46-216.711*'BMP P Tracking Table'!$Z46-83.853*'BMP P Tracking Table'!$Y46-42.834*'BMP P Tracking Table'!$X46)^2-(4*(149.919*'BMP P Tracking Table'!$X46+236.676*'BMP P Tracking Table'!$Y46+726*'BMP P Tracking Table'!$Z46+996.798*'BMP P Tracking Table'!$AA46)*-'BMP P Tracking Table'!$AC46)))/(2*(149.919*'BMP P Tracking Table'!$X46+236.676*'BMP P Tracking Table'!$Y46+726*'BMP P Tracking Table'!$Z46+996.798*'BMP P Tracking Table'!$AA46))))),"")</f>
        <v>0</v>
      </c>
      <c r="AG46" s="104">
        <f>IFERROR((VLOOKUP(CONCATENATE('BMP P Tracking Table'!$U46," ",'BMP P Tracking Table'!$AD46),'Performance Curves'!$C$1:$L$46,_xlfn.SINGLE(MATCH('BMP P Tracking Table'!$AF46,'Performance Curves'!$D$1:$L$1,1))+2,FALSE)-VLOOKUP(CONCATENATE('BMP P Tracking Table'!$U46," ",'BMP P Tracking Table'!$AD46),'Performance Curves'!$C$1:$L$46,_xlfn.SINGLE(MATCH('BMP P Tracking Table'!$AF46,'Performance Curves'!$D$1:$L$1,1))+1,FALSE)),"")</f>
        <v>0.02</v>
      </c>
      <c r="AH46" s="104">
        <f>IFERROR(('BMP P Tracking Table'!$AF46-INDEX('Performance Curves'!$D$1:$L$1,1,MATCH('BMP P Tracking Table'!$AF46,'Performance Curves'!$D$1:$L$1,1)))/(INDEX('Performance Curves'!$D$1:$L$1,1,MATCH('BMP P Tracking Table'!$AF46,'Performance Curves'!$D$1:$L$1,1)+1)-INDEX('Performance Curves'!$D$1:$L$1,1,MATCH('BMP P Tracking Table'!$AF46,'Performance Curves'!$D$1:$L$1,1))),"")</f>
        <v>0</v>
      </c>
      <c r="AI46" s="103">
        <f>IFERROR(IF('BMP P Tracking Table'!$AF46=2,VLOOKUP(CONCATENATE('BMP P Tracking Table'!$U46," ",'BMP P Tracking Table'!$AD46),'Performance Curves'!$C$1:$L$46,_xlfn.SINGLE(MATCH('BMP P Tracking Table'!$AF46,'Performance Curves'!$D$1:$L$1,1))+1,FALSE),'BMP P Tracking Table'!$AG46*'BMP P Tracking Table'!$AH46+VLOOKUP(CONCATENATE('BMP P Tracking Table'!$U46," ",'BMP P Tracking Table'!$AD46),'Performance Curves'!$C$1:$L$46,_xlfn.SINGLE(MATCH('BMP P Tracking Table'!$AF46,'Performance Curves'!$D$1:$L$1,1))+1,FALSE)),"")</f>
        <v>0</v>
      </c>
      <c r="AJ46" s="104">
        <f>IFERROR('BMP P Tracking Table'!$AI46*'BMP P Tracking Table'!$AE46,"")</f>
        <v>0</v>
      </c>
      <c r="AK46" s="65"/>
      <c r="AL46" s="98" t="s">
        <v>62</v>
      </c>
      <c r="AM46" s="98"/>
      <c r="AN46" s="64">
        <v>1</v>
      </c>
      <c r="AO46" s="102">
        <f t="shared" si="5"/>
        <v>0</v>
      </c>
      <c r="AP46" s="98"/>
      <c r="AQ46" s="98"/>
      <c r="AR46" s="98"/>
      <c r="AS46" s="98"/>
      <c r="AT46" s="98"/>
      <c r="AU46" s="98"/>
      <c r="AV46" s="98"/>
      <c r="AW46" s="65"/>
      <c r="AX46" s="99"/>
      <c r="AY46" s="99"/>
      <c r="AZ46" s="104" t="str">
        <f>IF('BMP P Tracking Table'!$AL46="Yes",IF('BMP P Tracking Table'!$AM46="No",'BMP P Tracking Table'!$V46*VLOOKUP('BMP P Tracking Table'!$R46,'Loading Rates'!$B$1:$L$24,4,FALSE)+IF('BMP P Tracking Table'!$W46="By HSG",'BMP P Tracking Table'!$X46*VLOOKUP('BMP P Tracking Table'!$R46,'Loading Rates'!$B$1:$L$24,6,FALSE)+'BMP P Tracking Table'!$Y46*VLOOKUP('BMP P Tracking Table'!$R46,'Loading Rates'!$B$1:$L$24,7,FALSE)+'BMP P Tracking Table'!$Z46*VLOOKUP('BMP P Tracking Table'!$R46,'Loading Rates'!$B$1:$L$24,8,FALSE)+'BMP P Tracking Table'!$AA46*VLOOKUP('BMP P Tracking Table'!$R46,'Loading Rates'!$B$1:$L$24,9,FALSE),'BMP P Tracking Table'!$AB46*VLOOKUP('BMP P Tracking Table'!$R46,'Loading Rates'!$B$1:$L$24,10,FALSE)),'BMP P Tracking Table'!$AP46*VLOOKUP('BMP P Tracking Table'!$R46,'Loading Rates'!$B$1:$L$24,4,FALSE)+IF('BMP P Tracking Table'!$AQ46="By HSG",'BMP P Tracking Table'!$AR46*VLOOKUP('BMP P Tracking Table'!$R46,'Loading Rates'!$B$1:$L$24,6,FALSE)+'BMP P Tracking Table'!$AS46*VLOOKUP('BMP P Tracking Table'!$R46,'Loading Rates'!$B$1:$L$24,7,FALSE)+'BMP P Tracking Table'!$AT46*VLOOKUP('BMP P Tracking Table'!$R46,'Loading Rates'!$B$1:$L$24,8,FALSE)+'BMP P Tracking Table'!$AU46*VLOOKUP('BMP P Tracking Table'!$R46,'Loading Rates'!$B$1:$L$24,9,FALSE),'BMP P Tracking Table'!$AV46*VLOOKUP('BMP P Tracking Table'!$R46,'Loading Rates'!$B$1:$L$24,10,FALSE))),"")</f>
        <v/>
      </c>
      <c r="BA46" s="104">
        <f>IFERROR(IF('BMP P Tracking Table'!$AM46="Yes",MIN(2,IF('BMP P Tracking Table'!$AQ46="Total Pervious",(-(3630*'BMP P Tracking Table'!$AP46+20.691*'BMP P Tracking Table'!$AV46)+SQRT((3630*'BMP P Tracking Table'!$AP46+20.691*'BMP P Tracking Table'!$AV46)^2-(4*(996.798*'BMP P Tracking Table'!$AV46)*-'BMP P Tracking Table'!$AX46)))/(2*(996.798*'BMP P Tracking Table'!$AV46)),IF(SUM('BMP P Tracking Table'!$AR46:$AU46)=0,'BMP P Tracking Table'!$AV46/(-3630*'BMP P Tracking Table'!$AP46),(-(3630*'BMP P Tracking Table'!$AP46+20.691*'BMP P Tracking Table'!$AU46-216.711*'BMP P Tracking Table'!$AT46-83.853*'BMP P Tracking Table'!$AS46-42.834*'BMP P Tracking Table'!$AR46)+SQRT((3630*'BMP P Tracking Table'!$AP46+20.691*'BMP P Tracking Table'!$AU46-216.711*'BMP P Tracking Table'!$AT46-83.853*'BMP P Tracking Table'!$AS46-42.834*'BMP P Tracking Table'!$AR46)^2-(4*(149.919*'BMP P Tracking Table'!$AR46+236.676*'BMP P Tracking Table'!$AS46+726*'BMP P Tracking Table'!$AT46+996.798*'BMP P Tracking Table'!$AU46)*-'BMP P Tracking Table'!$AX46)))/(2*(149.919*'BMP P Tracking Table'!$AR46+236.676*'BMP P Tracking Table'!$AS46+726*'BMP P Tracking Table'!$AT46+996.798*'BMP P Tracking Table'!$AU46))))),MIN(2,IF('BMP P Tracking Table'!$AQ46="Total Pervious",(-(3630*'BMP P Tracking Table'!$V46+20.691*'BMP P Tracking Table'!$AB46)+SQRT((3630*'BMP P Tracking Table'!$V46+20.691*'BMP P Tracking Table'!$AB46)^2-(4*(996.798*'BMP P Tracking Table'!$AB46)*-'BMP P Tracking Table'!$AX46)))/(2*(996.798*'BMP P Tracking Table'!$AB46)),IF(SUM('BMP P Tracking Table'!$X46:$AA46)=0,'BMP P Tracking Table'!$AX46/(-3630*'BMP P Tracking Table'!$V46),(-(3630*'BMP P Tracking Table'!$V46+20.691*'BMP P Tracking Table'!$AA46-216.711*'BMP P Tracking Table'!$Z46-83.853*'BMP P Tracking Table'!$Y46-42.834*'BMP P Tracking Table'!$X46)+SQRT((3630*'BMP P Tracking Table'!$V46+20.691*'BMP P Tracking Table'!$AA46-216.711*'BMP P Tracking Table'!$Z46-83.853*'BMP P Tracking Table'!$Y46-42.834*'BMP P Tracking Table'!$X46)^2-(4*(149.919*'BMP P Tracking Table'!$X46+236.676*'BMP P Tracking Table'!$Y46+726*'BMP P Tracking Table'!$Z46+996.798*'BMP P Tracking Table'!$AA46)*-'BMP P Tracking Table'!$AX46)))/(2*(149.919*'BMP P Tracking Table'!$X46+236.676*'BMP P Tracking Table'!$Y46+726*'BMP P Tracking Table'!$Z46+996.798*'BMP P Tracking Table'!$AA46)))))),"")</f>
        <v>0</v>
      </c>
      <c r="BB46" s="102" t="str">
        <f>IFERROR((VLOOKUP(CONCATENATE('BMP P Tracking Table'!$AW46," ",'BMP P Tracking Table'!$AY46),'Performance Curves'!$C$1:$L$46,_xlfn.SINGLE(MATCH('BMP P Tracking Table'!$BA46,'Performance Curves'!$D$1:$L$1,1))+2,FALSE)-VLOOKUP(CONCATENATE('BMP P Tracking Table'!$AW46," ",'BMP P Tracking Table'!$AY46),'Performance Curves'!$C$1:$L$46,_xlfn.SINGLE(MATCH('BMP P Tracking Table'!$BA46,'Performance Curves'!$D$1:$L$1,1))+1,FALSE)),"")</f>
        <v/>
      </c>
      <c r="BC46" s="102">
        <f>IFERROR(('BMP P Tracking Table'!$BA46-INDEX('Performance Curves'!$D$1:$L$1,1,MATCH('BMP P Tracking Table'!$BA46,'Performance Curves'!$D$1:$L$1,1)))/(INDEX('Performance Curves'!$D$1:$L$1,1,MATCH('BMP P Tracking Table'!$BA46,'Performance Curves'!$D$1:$L$1,1)+1)-INDEX('Performance Curves'!$D$1:$L$1,1,MATCH('BMP P Tracking Table'!$BA46,'Performance Curves'!$D$1:$L$1,1))),"")</f>
        <v>0</v>
      </c>
      <c r="BD46" s="103" t="str" cm="1">
        <f t="array" ref="BD46">IFERROR(IF('BMP P Tracking Table'!$BA46=2,VLOOKUP(CONCATENATE('BMP P Tracking Table'!$AW46," ",'BMP P Tracking Table'!$AY46),'Performance Curves'!$C$1:$L$44,_xlfn.SINGLE(MATCH('BMP P Tracking Table'!$BA46,'Performance Curves'!$D$1:$L$1,1))+1,FALSE),'BMP P Tracking Table'!$BB46*'BMP P Tracking Table'!$BC46+VLOOKUP(CONCATENATE('BMP P Tracking Table'!$AW46," ",'BMP P Tracking Table'!$AY46),'Performance Curves'!$C$1:$L$44,_xlfn.SINGLE(MATCH('BMP P Tracking Table'!$BA46,'Performance Curves'!$D$1:$L$1,1))+1,FALSE)),"")</f>
        <v/>
      </c>
      <c r="BE46" s="104" t="str">
        <f>IFERROR('BMP P Tracking Table'!$BD46*'BMP P Tracking Table'!$AZ46,"")</f>
        <v/>
      </c>
      <c r="BF46" s="98"/>
      <c r="BG46" s="37">
        <f t="shared" si="6"/>
        <v>0</v>
      </c>
      <c r="BH46" s="36" t="s">
        <v>645</v>
      </c>
      <c r="BI46" s="36" t="str">
        <f t="shared" si="1"/>
        <v>3324-9010.R</v>
      </c>
      <c r="BJ46" s="36" t="str">
        <f t="shared" si="2"/>
        <v>Meadows Edge/Steeplebush SN 005</v>
      </c>
    </row>
    <row r="47" spans="1:65" s="36" customFormat="1">
      <c r="A47" s="36" t="s">
        <v>375</v>
      </c>
      <c r="B47" s="65" t="s">
        <v>375</v>
      </c>
      <c r="C47" s="65" t="s">
        <v>613</v>
      </c>
      <c r="D47" s="65" t="s">
        <v>327</v>
      </c>
      <c r="E47" s="65" t="s">
        <v>9</v>
      </c>
      <c r="F47" s="94"/>
      <c r="G47" s="94"/>
      <c r="H47" s="65" t="s">
        <v>375</v>
      </c>
      <c r="I47" s="65"/>
      <c r="J47" s="65" t="s">
        <v>66</v>
      </c>
      <c r="K47" s="95"/>
      <c r="L47" s="65" t="s">
        <v>111</v>
      </c>
      <c r="M47" s="65"/>
      <c r="N47" s="199">
        <v>34359</v>
      </c>
      <c r="O47" s="65"/>
      <c r="P47" s="65"/>
      <c r="Q47" s="65" t="s">
        <v>119</v>
      </c>
      <c r="R47" s="65" t="s">
        <v>146</v>
      </c>
      <c r="S47" s="65" t="s">
        <v>129</v>
      </c>
      <c r="T47" s="65" t="s">
        <v>62</v>
      </c>
      <c r="U47" s="65" t="s">
        <v>232</v>
      </c>
      <c r="V47" s="65">
        <v>0.25</v>
      </c>
      <c r="W47" s="65" t="s">
        <v>219</v>
      </c>
      <c r="X47" s="65"/>
      <c r="Y47" s="65"/>
      <c r="Z47" s="65"/>
      <c r="AA47" s="65"/>
      <c r="AB47" s="65">
        <v>7</v>
      </c>
      <c r="AC47" s="97"/>
      <c r="AD47" s="65"/>
      <c r="AE47" s="104">
        <f>IFERROR('BMP P Tracking Table'!$V47*VLOOKUP('BMP P Tracking Table'!$R47,'Loading Rates'!$B$1:$L$24,4,FALSE)+IF('BMP P Tracking Table'!$W47="By HSG",'BMP P Tracking Table'!$X47*VLOOKUP('BMP P Tracking Table'!$R47,'Loading Rates'!$B$1:$L$24,6,FALSE)+'BMP P Tracking Table'!$Y47*VLOOKUP('BMP P Tracking Table'!$R47,'Loading Rates'!$B$1:$L$24,7,FALSE)+'BMP P Tracking Table'!$Z47*VLOOKUP('BMP P Tracking Table'!$R47,'Loading Rates'!$B$1:$L$24,8,FALSE)+'BMP P Tracking Table'!$AA47*VLOOKUP('BMP P Tracking Table'!$R47,'Loading Rates'!$B$1:$L$24,9,FALSE),'BMP P Tracking Table'!$AB47*VLOOKUP('BMP P Tracking Table'!$R47,'Loading Rates'!$B$1:$L$24,10,FALSE)),"")</f>
        <v>1.89625</v>
      </c>
      <c r="AF47" s="104">
        <f>IFERROR(MIN(2,IF('BMP P Tracking Table'!$W47="Total Pervious",(-(3630*'BMP P Tracking Table'!$V47+20.691*'BMP P Tracking Table'!$AB47)+SQRT((3630*'BMP P Tracking Table'!$V47+20.691*'BMP P Tracking Table'!$AB47)^2-(4*(996.798*'BMP P Tracking Table'!$AB47)*-'BMP P Tracking Table'!$AC47)))/(2*(996.798*'BMP P Tracking Table'!$AB47)),IF(SUM('BMP P Tracking Table'!$X47:$AA47)=0,'BMP P Tracking Table'!$AC47/(-3630*'BMP P Tracking Table'!$V47),(-(3630*'BMP P Tracking Table'!$V47+20.691*'BMP P Tracking Table'!$AA47-216.711*'BMP P Tracking Table'!$Z47-83.853*'BMP P Tracking Table'!$Y47-42.834*'BMP P Tracking Table'!$X47)+SQRT((3630*'BMP P Tracking Table'!$V47+20.691*'BMP P Tracking Table'!$AA47-216.711*'BMP P Tracking Table'!$Z47-83.853*'BMP P Tracking Table'!$Y47-42.834*'BMP P Tracking Table'!$X47)^2-(4*(149.919*'BMP P Tracking Table'!$X47+236.676*'BMP P Tracking Table'!$Y47+726*'BMP P Tracking Table'!$Z47+996.798*'BMP P Tracking Table'!$AA47)*-'BMP P Tracking Table'!$AC47)))/(2*(149.919*'BMP P Tracking Table'!$X47+236.676*'BMP P Tracking Table'!$Y47+726*'BMP P Tracking Table'!$Z47+996.798*'BMP P Tracking Table'!$AA47))))),"")</f>
        <v>0</v>
      </c>
      <c r="AG47" s="104">
        <f>IFERROR((VLOOKUP(CONCATENATE('BMP P Tracking Table'!$U47," ",'BMP P Tracking Table'!$AD47),'Performance Curves'!$C$1:$L$46,_xlfn.SINGLE(MATCH('BMP P Tracking Table'!$AF47,'Performance Curves'!$D$1:$L$1,1))+2,FALSE)-VLOOKUP(CONCATENATE('BMP P Tracking Table'!$U47," ",'BMP P Tracking Table'!$AD47),'Performance Curves'!$C$1:$L$46,_xlfn.SINGLE(MATCH('BMP P Tracking Table'!$AF47,'Performance Curves'!$D$1:$L$1,1))+1,FALSE)),"")</f>
        <v>0.02</v>
      </c>
      <c r="AH47" s="104">
        <f>IFERROR(('BMP P Tracking Table'!$AF47-INDEX('Performance Curves'!$D$1:$L$1,1,MATCH('BMP P Tracking Table'!$AF47,'Performance Curves'!$D$1:$L$1,1)))/(INDEX('Performance Curves'!$D$1:$L$1,1,MATCH('BMP P Tracking Table'!$AF47,'Performance Curves'!$D$1:$L$1,1)+1)-INDEX('Performance Curves'!$D$1:$L$1,1,MATCH('BMP P Tracking Table'!$AF47,'Performance Curves'!$D$1:$L$1,1))),"")</f>
        <v>0</v>
      </c>
      <c r="AI47" s="103">
        <f>IFERROR(IF('BMP P Tracking Table'!$AF47=2,VLOOKUP(CONCATENATE('BMP P Tracking Table'!$U47," ",'BMP P Tracking Table'!$AD47),'Performance Curves'!$C$1:$L$46,_xlfn.SINGLE(MATCH('BMP P Tracking Table'!$AF47,'Performance Curves'!$D$1:$L$1,1))+1,FALSE),'BMP P Tracking Table'!$AG47*'BMP P Tracking Table'!$AH47+VLOOKUP(CONCATENATE('BMP P Tracking Table'!$U47," ",'BMP P Tracking Table'!$AD47),'Performance Curves'!$C$1:$L$46,_xlfn.SINGLE(MATCH('BMP P Tracking Table'!$AF47,'Performance Curves'!$D$1:$L$1,1))+1,FALSE)),"")</f>
        <v>0</v>
      </c>
      <c r="AJ47" s="104">
        <f>IFERROR('BMP P Tracking Table'!$AI47*'BMP P Tracking Table'!$AE47,"")</f>
        <v>0</v>
      </c>
      <c r="AK47" s="65"/>
      <c r="AL47" s="98" t="s">
        <v>62</v>
      </c>
      <c r="AM47" s="98"/>
      <c r="AN47" s="64">
        <v>1</v>
      </c>
      <c r="AO47" s="102">
        <f t="shared" si="5"/>
        <v>0</v>
      </c>
      <c r="AP47" s="98"/>
      <c r="AQ47" s="98"/>
      <c r="AR47" s="98"/>
      <c r="AS47" s="98"/>
      <c r="AT47" s="98"/>
      <c r="AU47" s="98"/>
      <c r="AV47" s="98"/>
      <c r="AW47" s="65"/>
      <c r="AX47" s="99"/>
      <c r="AY47" s="99"/>
      <c r="AZ47" s="104" t="str">
        <f>IF('BMP P Tracking Table'!$AL47="Yes",IF('BMP P Tracking Table'!$AM47="No",'BMP P Tracking Table'!$V47*VLOOKUP('BMP P Tracking Table'!$R47,'Loading Rates'!$B$1:$L$24,4,FALSE)+IF('BMP P Tracking Table'!$W47="By HSG",'BMP P Tracking Table'!$X47*VLOOKUP('BMP P Tracking Table'!$R47,'Loading Rates'!$B$1:$L$24,6,FALSE)+'BMP P Tracking Table'!$Y47*VLOOKUP('BMP P Tracking Table'!$R47,'Loading Rates'!$B$1:$L$24,7,FALSE)+'BMP P Tracking Table'!$Z47*VLOOKUP('BMP P Tracking Table'!$R47,'Loading Rates'!$B$1:$L$24,8,FALSE)+'BMP P Tracking Table'!$AA47*VLOOKUP('BMP P Tracking Table'!$R47,'Loading Rates'!$B$1:$L$24,9,FALSE),'BMP P Tracking Table'!$AB47*VLOOKUP('BMP P Tracking Table'!$R47,'Loading Rates'!$B$1:$L$24,10,FALSE)),'BMP P Tracking Table'!$AP47*VLOOKUP('BMP P Tracking Table'!$R47,'Loading Rates'!$B$1:$L$24,4,FALSE)+IF('BMP P Tracking Table'!$AQ47="By HSG",'BMP P Tracking Table'!$AR47*VLOOKUP('BMP P Tracking Table'!$R47,'Loading Rates'!$B$1:$L$24,6,FALSE)+'BMP P Tracking Table'!$AS47*VLOOKUP('BMP P Tracking Table'!$R47,'Loading Rates'!$B$1:$L$24,7,FALSE)+'BMP P Tracking Table'!$AT47*VLOOKUP('BMP P Tracking Table'!$R47,'Loading Rates'!$B$1:$L$24,8,FALSE)+'BMP P Tracking Table'!$AU47*VLOOKUP('BMP P Tracking Table'!$R47,'Loading Rates'!$B$1:$L$24,9,FALSE),'BMP P Tracking Table'!$AV47*VLOOKUP('BMP P Tracking Table'!$R47,'Loading Rates'!$B$1:$L$24,10,FALSE))),"")</f>
        <v/>
      </c>
      <c r="BA47" s="104">
        <f>IFERROR(IF('BMP P Tracking Table'!$AM47="Yes",MIN(2,IF('BMP P Tracking Table'!$AQ47="Total Pervious",(-(3630*'BMP P Tracking Table'!$AP47+20.691*'BMP P Tracking Table'!$AV47)+SQRT((3630*'BMP P Tracking Table'!$AP47+20.691*'BMP P Tracking Table'!$AV47)^2-(4*(996.798*'BMP P Tracking Table'!$AV47)*-'BMP P Tracking Table'!$AX47)))/(2*(996.798*'BMP P Tracking Table'!$AV47)),IF(SUM('BMP P Tracking Table'!$AR47:$AU47)=0,'BMP P Tracking Table'!$AV47/(-3630*'BMP P Tracking Table'!$AP47),(-(3630*'BMP P Tracking Table'!$AP47+20.691*'BMP P Tracking Table'!$AU47-216.711*'BMP P Tracking Table'!$AT47-83.853*'BMP P Tracking Table'!$AS47-42.834*'BMP P Tracking Table'!$AR47)+SQRT((3630*'BMP P Tracking Table'!$AP47+20.691*'BMP P Tracking Table'!$AU47-216.711*'BMP P Tracking Table'!$AT47-83.853*'BMP P Tracking Table'!$AS47-42.834*'BMP P Tracking Table'!$AR47)^2-(4*(149.919*'BMP P Tracking Table'!$AR47+236.676*'BMP P Tracking Table'!$AS47+726*'BMP P Tracking Table'!$AT47+996.798*'BMP P Tracking Table'!$AU47)*-'BMP P Tracking Table'!$AX47)))/(2*(149.919*'BMP P Tracking Table'!$AR47+236.676*'BMP P Tracking Table'!$AS47+726*'BMP P Tracking Table'!$AT47+996.798*'BMP P Tracking Table'!$AU47))))),MIN(2,IF('BMP P Tracking Table'!$AQ47="Total Pervious",(-(3630*'BMP P Tracking Table'!$V47+20.691*'BMP P Tracking Table'!$AB47)+SQRT((3630*'BMP P Tracking Table'!$V47+20.691*'BMP P Tracking Table'!$AB47)^2-(4*(996.798*'BMP P Tracking Table'!$AB47)*-'BMP P Tracking Table'!$AX47)))/(2*(996.798*'BMP P Tracking Table'!$AB47)),IF(SUM('BMP P Tracking Table'!$X47:$AA47)=0,'BMP P Tracking Table'!$AX47/(-3630*'BMP P Tracking Table'!$V47),(-(3630*'BMP P Tracking Table'!$V47+20.691*'BMP P Tracking Table'!$AA47-216.711*'BMP P Tracking Table'!$Z47-83.853*'BMP P Tracking Table'!$Y47-42.834*'BMP P Tracking Table'!$X47)+SQRT((3630*'BMP P Tracking Table'!$V47+20.691*'BMP P Tracking Table'!$AA47-216.711*'BMP P Tracking Table'!$Z47-83.853*'BMP P Tracking Table'!$Y47-42.834*'BMP P Tracking Table'!$X47)^2-(4*(149.919*'BMP P Tracking Table'!$X47+236.676*'BMP P Tracking Table'!$Y47+726*'BMP P Tracking Table'!$Z47+996.798*'BMP P Tracking Table'!$AA47)*-'BMP P Tracking Table'!$AX47)))/(2*(149.919*'BMP P Tracking Table'!$X47+236.676*'BMP P Tracking Table'!$Y47+726*'BMP P Tracking Table'!$Z47+996.798*'BMP P Tracking Table'!$AA47)))))),"")</f>
        <v>0</v>
      </c>
      <c r="BB47" s="102" t="str">
        <f>IFERROR((VLOOKUP(CONCATENATE('BMP P Tracking Table'!$AW47," ",'BMP P Tracking Table'!$AY47),'Performance Curves'!$C$1:$L$46,_xlfn.SINGLE(MATCH('BMP P Tracking Table'!$BA47,'Performance Curves'!$D$1:$L$1,1))+2,FALSE)-VLOOKUP(CONCATENATE('BMP P Tracking Table'!$AW47," ",'BMP P Tracking Table'!$AY47),'Performance Curves'!$C$1:$L$46,_xlfn.SINGLE(MATCH('BMP P Tracking Table'!$BA47,'Performance Curves'!$D$1:$L$1,1))+1,FALSE)),"")</f>
        <v/>
      </c>
      <c r="BC47" s="102">
        <f>IFERROR(('BMP P Tracking Table'!$BA47-INDEX('Performance Curves'!$D$1:$L$1,1,MATCH('BMP P Tracking Table'!$BA47,'Performance Curves'!$D$1:$L$1,1)))/(INDEX('Performance Curves'!$D$1:$L$1,1,MATCH('BMP P Tracking Table'!$BA47,'Performance Curves'!$D$1:$L$1,1)+1)-INDEX('Performance Curves'!$D$1:$L$1,1,MATCH('BMP P Tracking Table'!$BA47,'Performance Curves'!$D$1:$L$1,1))),"")</f>
        <v>0</v>
      </c>
      <c r="BD47" s="103" t="str" cm="1">
        <f t="array" ref="BD47">IFERROR(IF('BMP P Tracking Table'!$BA47=2,VLOOKUP(CONCATENATE('BMP P Tracking Table'!$AW47," ",'BMP P Tracking Table'!$AY47),'Performance Curves'!$C$1:$L$44,_xlfn.SINGLE(MATCH('BMP P Tracking Table'!$BA47,'Performance Curves'!$D$1:$L$1,1))+1,FALSE),'BMP P Tracking Table'!$BB47*'BMP P Tracking Table'!$BC47+VLOOKUP(CONCATENATE('BMP P Tracking Table'!$AW47," ",'BMP P Tracking Table'!$AY47),'Performance Curves'!$C$1:$L$44,_xlfn.SINGLE(MATCH('BMP P Tracking Table'!$BA47,'Performance Curves'!$D$1:$L$1,1))+1,FALSE)),"")</f>
        <v/>
      </c>
      <c r="BE47" s="104" t="str">
        <f>IFERROR('BMP P Tracking Table'!$BD47*'BMP P Tracking Table'!$AZ47,"")</f>
        <v/>
      </c>
      <c r="BF47" s="98"/>
      <c r="BG47" s="37">
        <f t="shared" si="6"/>
        <v>0</v>
      </c>
      <c r="BH47" s="220" t="s">
        <v>657</v>
      </c>
      <c r="BI47" s="36" t="str">
        <f t="shared" si="1"/>
        <v>3324-9010.R</v>
      </c>
      <c r="BJ47" s="36" t="str">
        <f t="shared" si="2"/>
        <v>Meadows Edge/Steeplebush SN 006</v>
      </c>
    </row>
    <row r="48" spans="1:65" s="36" customFormat="1">
      <c r="A48" s="36" t="s">
        <v>375</v>
      </c>
      <c r="B48" s="65" t="s">
        <v>375</v>
      </c>
      <c r="C48" s="65" t="s">
        <v>614</v>
      </c>
      <c r="D48" s="65" t="s">
        <v>327</v>
      </c>
      <c r="E48" s="65" t="s">
        <v>9</v>
      </c>
      <c r="F48" s="94"/>
      <c r="G48" s="94"/>
      <c r="H48" s="65" t="s">
        <v>375</v>
      </c>
      <c r="I48" s="65"/>
      <c r="J48" s="65" t="s">
        <v>66</v>
      </c>
      <c r="K48" s="95"/>
      <c r="L48" s="65" t="s">
        <v>111</v>
      </c>
      <c r="M48" s="65"/>
      <c r="N48" s="199">
        <v>34359</v>
      </c>
      <c r="O48" s="65"/>
      <c r="P48" s="65"/>
      <c r="Q48" s="65" t="s">
        <v>119</v>
      </c>
      <c r="R48" s="65" t="s">
        <v>146</v>
      </c>
      <c r="S48" s="65" t="s">
        <v>129</v>
      </c>
      <c r="T48" s="65" t="s">
        <v>62</v>
      </c>
      <c r="U48" s="65" t="s">
        <v>232</v>
      </c>
      <c r="V48" s="65">
        <v>1.25</v>
      </c>
      <c r="W48" s="65" t="s">
        <v>219</v>
      </c>
      <c r="X48" s="65"/>
      <c r="Y48" s="65"/>
      <c r="Z48" s="65"/>
      <c r="AA48" s="65"/>
      <c r="AB48" s="65">
        <v>14</v>
      </c>
      <c r="AC48" s="97"/>
      <c r="AD48" s="65"/>
      <c r="AE48" s="104">
        <f>IFERROR('BMP P Tracking Table'!$V48*VLOOKUP('BMP P Tracking Table'!$R48,'Loading Rates'!$B$1:$L$24,4,FALSE)+IF('BMP P Tracking Table'!$W48="By HSG",'BMP P Tracking Table'!$X48*VLOOKUP('BMP P Tracking Table'!$R48,'Loading Rates'!$B$1:$L$24,6,FALSE)+'BMP P Tracking Table'!$Y48*VLOOKUP('BMP P Tracking Table'!$R48,'Loading Rates'!$B$1:$L$24,7,FALSE)+'BMP P Tracking Table'!$Z48*VLOOKUP('BMP P Tracking Table'!$R48,'Loading Rates'!$B$1:$L$24,8,FALSE)+'BMP P Tracking Table'!$AA48*VLOOKUP('BMP P Tracking Table'!$R48,'Loading Rates'!$B$1:$L$24,9,FALSE),'BMP P Tracking Table'!$AB48*VLOOKUP('BMP P Tracking Table'!$R48,'Loading Rates'!$B$1:$L$24,10,FALSE)),"")</f>
        <v>4.6302500000000002</v>
      </c>
      <c r="AF48" s="104">
        <f>IFERROR(MIN(2,IF('BMP P Tracking Table'!$W48="Total Pervious",(-(3630*'BMP P Tracking Table'!$V48+20.691*'BMP P Tracking Table'!$AB48)+SQRT((3630*'BMP P Tracking Table'!$V48+20.691*'BMP P Tracking Table'!$AB48)^2-(4*(996.798*'BMP P Tracking Table'!$AB48)*-'BMP P Tracking Table'!$AC48)))/(2*(996.798*'BMP P Tracking Table'!$AB48)),IF(SUM('BMP P Tracking Table'!$X48:$AA48)=0,'BMP P Tracking Table'!$AC48/(-3630*'BMP P Tracking Table'!$V48),(-(3630*'BMP P Tracking Table'!$V48+20.691*'BMP P Tracking Table'!$AA48-216.711*'BMP P Tracking Table'!$Z48-83.853*'BMP P Tracking Table'!$Y48-42.834*'BMP P Tracking Table'!$X48)+SQRT((3630*'BMP P Tracking Table'!$V48+20.691*'BMP P Tracking Table'!$AA48-216.711*'BMP P Tracking Table'!$Z48-83.853*'BMP P Tracking Table'!$Y48-42.834*'BMP P Tracking Table'!$X48)^2-(4*(149.919*'BMP P Tracking Table'!$X48+236.676*'BMP P Tracking Table'!$Y48+726*'BMP P Tracking Table'!$Z48+996.798*'BMP P Tracking Table'!$AA48)*-'BMP P Tracking Table'!$AC48)))/(2*(149.919*'BMP P Tracking Table'!$X48+236.676*'BMP P Tracking Table'!$Y48+726*'BMP P Tracking Table'!$Z48+996.798*'BMP P Tracking Table'!$AA48))))),"")</f>
        <v>0</v>
      </c>
      <c r="AG48" s="104">
        <f>IFERROR((VLOOKUP(CONCATENATE('BMP P Tracking Table'!$U48," ",'BMP P Tracking Table'!$AD48),'Performance Curves'!$C$1:$L$46,_xlfn.SINGLE(MATCH('BMP P Tracking Table'!$AF48,'Performance Curves'!$D$1:$L$1,1))+2,FALSE)-VLOOKUP(CONCATENATE('BMP P Tracking Table'!$U48," ",'BMP P Tracking Table'!$AD48),'Performance Curves'!$C$1:$L$46,_xlfn.SINGLE(MATCH('BMP P Tracking Table'!$AF48,'Performance Curves'!$D$1:$L$1,1))+1,FALSE)),"")</f>
        <v>0.02</v>
      </c>
      <c r="AH48" s="104">
        <f>IFERROR(('BMP P Tracking Table'!$AF48-INDEX('Performance Curves'!$D$1:$L$1,1,MATCH('BMP P Tracking Table'!$AF48,'Performance Curves'!$D$1:$L$1,1)))/(INDEX('Performance Curves'!$D$1:$L$1,1,MATCH('BMP P Tracking Table'!$AF48,'Performance Curves'!$D$1:$L$1,1)+1)-INDEX('Performance Curves'!$D$1:$L$1,1,MATCH('BMP P Tracking Table'!$AF48,'Performance Curves'!$D$1:$L$1,1))),"")</f>
        <v>0</v>
      </c>
      <c r="AI48" s="103">
        <f>IFERROR(IF('BMP P Tracking Table'!$AF48=2,VLOOKUP(CONCATENATE('BMP P Tracking Table'!$U48," ",'BMP P Tracking Table'!$AD48),'Performance Curves'!$C$1:$L$46,_xlfn.SINGLE(MATCH('BMP P Tracking Table'!$AF48,'Performance Curves'!$D$1:$L$1,1))+1,FALSE),'BMP P Tracking Table'!$AG48*'BMP P Tracking Table'!$AH48+VLOOKUP(CONCATENATE('BMP P Tracking Table'!$U48," ",'BMP P Tracking Table'!$AD48),'Performance Curves'!$C$1:$L$46,_xlfn.SINGLE(MATCH('BMP P Tracking Table'!$AF48,'Performance Curves'!$D$1:$L$1,1))+1,FALSE)),"")</f>
        <v>0</v>
      </c>
      <c r="AJ48" s="104">
        <f>IFERROR('BMP P Tracking Table'!$AI48*'BMP P Tracking Table'!$AE48,"")</f>
        <v>0</v>
      </c>
      <c r="AK48" s="65"/>
      <c r="AL48" s="98" t="s">
        <v>62</v>
      </c>
      <c r="AM48" s="98"/>
      <c r="AN48" s="64">
        <v>1</v>
      </c>
      <c r="AO48" s="102">
        <f t="shared" si="5"/>
        <v>0</v>
      </c>
      <c r="AP48" s="98"/>
      <c r="AQ48" s="98"/>
      <c r="AR48" s="98"/>
      <c r="AS48" s="98"/>
      <c r="AT48" s="98"/>
      <c r="AU48" s="98"/>
      <c r="AV48" s="98"/>
      <c r="AW48" s="65"/>
      <c r="AX48" s="99"/>
      <c r="AY48" s="99"/>
      <c r="AZ48" s="104" t="str">
        <f>IF('BMP P Tracking Table'!$AL48="Yes",IF('BMP P Tracking Table'!$AM48="No",'BMP P Tracking Table'!$V48*VLOOKUP('BMP P Tracking Table'!$R48,'Loading Rates'!$B$1:$L$24,4,FALSE)+IF('BMP P Tracking Table'!$W48="By HSG",'BMP P Tracking Table'!$X48*VLOOKUP('BMP P Tracking Table'!$R48,'Loading Rates'!$B$1:$L$24,6,FALSE)+'BMP P Tracking Table'!$Y48*VLOOKUP('BMP P Tracking Table'!$R48,'Loading Rates'!$B$1:$L$24,7,FALSE)+'BMP P Tracking Table'!$Z48*VLOOKUP('BMP P Tracking Table'!$R48,'Loading Rates'!$B$1:$L$24,8,FALSE)+'BMP P Tracking Table'!$AA48*VLOOKUP('BMP P Tracking Table'!$R48,'Loading Rates'!$B$1:$L$24,9,FALSE),'BMP P Tracking Table'!$AB48*VLOOKUP('BMP P Tracking Table'!$R48,'Loading Rates'!$B$1:$L$24,10,FALSE)),'BMP P Tracking Table'!$AP48*VLOOKUP('BMP P Tracking Table'!$R48,'Loading Rates'!$B$1:$L$24,4,FALSE)+IF('BMP P Tracking Table'!$AQ48="By HSG",'BMP P Tracking Table'!$AR48*VLOOKUP('BMP P Tracking Table'!$R48,'Loading Rates'!$B$1:$L$24,6,FALSE)+'BMP P Tracking Table'!$AS48*VLOOKUP('BMP P Tracking Table'!$R48,'Loading Rates'!$B$1:$L$24,7,FALSE)+'BMP P Tracking Table'!$AT48*VLOOKUP('BMP P Tracking Table'!$R48,'Loading Rates'!$B$1:$L$24,8,FALSE)+'BMP P Tracking Table'!$AU48*VLOOKUP('BMP P Tracking Table'!$R48,'Loading Rates'!$B$1:$L$24,9,FALSE),'BMP P Tracking Table'!$AV48*VLOOKUP('BMP P Tracking Table'!$R48,'Loading Rates'!$B$1:$L$24,10,FALSE))),"")</f>
        <v/>
      </c>
      <c r="BA48" s="104">
        <f>IFERROR(IF('BMP P Tracking Table'!$AM48="Yes",MIN(2,IF('BMP P Tracking Table'!$AQ48="Total Pervious",(-(3630*'BMP P Tracking Table'!$AP48+20.691*'BMP P Tracking Table'!$AV48)+SQRT((3630*'BMP P Tracking Table'!$AP48+20.691*'BMP P Tracking Table'!$AV48)^2-(4*(996.798*'BMP P Tracking Table'!$AV48)*-'BMP P Tracking Table'!$AX48)))/(2*(996.798*'BMP P Tracking Table'!$AV48)),IF(SUM('BMP P Tracking Table'!$AR48:$AU48)=0,'BMP P Tracking Table'!$AV48/(-3630*'BMP P Tracking Table'!$AP48),(-(3630*'BMP P Tracking Table'!$AP48+20.691*'BMP P Tracking Table'!$AU48-216.711*'BMP P Tracking Table'!$AT48-83.853*'BMP P Tracking Table'!$AS48-42.834*'BMP P Tracking Table'!$AR48)+SQRT((3630*'BMP P Tracking Table'!$AP48+20.691*'BMP P Tracking Table'!$AU48-216.711*'BMP P Tracking Table'!$AT48-83.853*'BMP P Tracking Table'!$AS48-42.834*'BMP P Tracking Table'!$AR48)^2-(4*(149.919*'BMP P Tracking Table'!$AR48+236.676*'BMP P Tracking Table'!$AS48+726*'BMP P Tracking Table'!$AT48+996.798*'BMP P Tracking Table'!$AU48)*-'BMP P Tracking Table'!$AX48)))/(2*(149.919*'BMP P Tracking Table'!$AR48+236.676*'BMP P Tracking Table'!$AS48+726*'BMP P Tracking Table'!$AT48+996.798*'BMP P Tracking Table'!$AU48))))),MIN(2,IF('BMP P Tracking Table'!$AQ48="Total Pervious",(-(3630*'BMP P Tracking Table'!$V48+20.691*'BMP P Tracking Table'!$AB48)+SQRT((3630*'BMP P Tracking Table'!$V48+20.691*'BMP P Tracking Table'!$AB48)^2-(4*(996.798*'BMP P Tracking Table'!$AB48)*-'BMP P Tracking Table'!$AX48)))/(2*(996.798*'BMP P Tracking Table'!$AB48)),IF(SUM('BMP P Tracking Table'!$X48:$AA48)=0,'BMP P Tracking Table'!$AX48/(-3630*'BMP P Tracking Table'!$V48),(-(3630*'BMP P Tracking Table'!$V48+20.691*'BMP P Tracking Table'!$AA48-216.711*'BMP P Tracking Table'!$Z48-83.853*'BMP P Tracking Table'!$Y48-42.834*'BMP P Tracking Table'!$X48)+SQRT((3630*'BMP P Tracking Table'!$V48+20.691*'BMP P Tracking Table'!$AA48-216.711*'BMP P Tracking Table'!$Z48-83.853*'BMP P Tracking Table'!$Y48-42.834*'BMP P Tracking Table'!$X48)^2-(4*(149.919*'BMP P Tracking Table'!$X48+236.676*'BMP P Tracking Table'!$Y48+726*'BMP P Tracking Table'!$Z48+996.798*'BMP P Tracking Table'!$AA48)*-'BMP P Tracking Table'!$AX48)))/(2*(149.919*'BMP P Tracking Table'!$X48+236.676*'BMP P Tracking Table'!$Y48+726*'BMP P Tracking Table'!$Z48+996.798*'BMP P Tracking Table'!$AA48)))))),"")</f>
        <v>0</v>
      </c>
      <c r="BB48" s="102" t="str">
        <f>IFERROR((VLOOKUP(CONCATENATE('BMP P Tracking Table'!$AW48," ",'BMP P Tracking Table'!$AY48),'Performance Curves'!$C$1:$L$46,_xlfn.SINGLE(MATCH('BMP P Tracking Table'!$BA48,'Performance Curves'!$D$1:$L$1,1))+2,FALSE)-VLOOKUP(CONCATENATE('BMP P Tracking Table'!$AW48," ",'BMP P Tracking Table'!$AY48),'Performance Curves'!$C$1:$L$46,_xlfn.SINGLE(MATCH('BMP P Tracking Table'!$BA48,'Performance Curves'!$D$1:$L$1,1))+1,FALSE)),"")</f>
        <v/>
      </c>
      <c r="BC48" s="102">
        <f>IFERROR(('BMP P Tracking Table'!$BA48-INDEX('Performance Curves'!$D$1:$L$1,1,MATCH('BMP P Tracking Table'!$BA48,'Performance Curves'!$D$1:$L$1,1)))/(INDEX('Performance Curves'!$D$1:$L$1,1,MATCH('BMP P Tracking Table'!$BA48,'Performance Curves'!$D$1:$L$1,1)+1)-INDEX('Performance Curves'!$D$1:$L$1,1,MATCH('BMP P Tracking Table'!$BA48,'Performance Curves'!$D$1:$L$1,1))),"")</f>
        <v>0</v>
      </c>
      <c r="BD48" s="103" t="str" cm="1">
        <f t="array" ref="BD48">IFERROR(IF('BMP P Tracking Table'!$BA48=2,VLOOKUP(CONCATENATE('BMP P Tracking Table'!$AW48," ",'BMP P Tracking Table'!$AY48),'Performance Curves'!$C$1:$L$44,_xlfn.SINGLE(MATCH('BMP P Tracking Table'!$BA48,'Performance Curves'!$D$1:$L$1,1))+1,FALSE),'BMP P Tracking Table'!$BB48*'BMP P Tracking Table'!$BC48+VLOOKUP(CONCATENATE('BMP P Tracking Table'!$AW48," ",'BMP P Tracking Table'!$AY48),'Performance Curves'!$C$1:$L$44,_xlfn.SINGLE(MATCH('BMP P Tracking Table'!$BA48,'Performance Curves'!$D$1:$L$1,1))+1,FALSE)),"")</f>
        <v/>
      </c>
      <c r="BE48" s="104" t="str">
        <f>IFERROR('BMP P Tracking Table'!$BD48*'BMP P Tracking Table'!$AZ48,"")</f>
        <v/>
      </c>
      <c r="BF48" s="92"/>
      <c r="BG48" s="37">
        <f t="shared" si="6"/>
        <v>0</v>
      </c>
      <c r="BH48" s="220" t="s">
        <v>657</v>
      </c>
      <c r="BI48" s="36" t="str">
        <f t="shared" si="1"/>
        <v>3324-9010.R</v>
      </c>
      <c r="BJ48" s="36" t="str">
        <f t="shared" si="2"/>
        <v>Meadows Edge/Steeplebush SN 007</v>
      </c>
    </row>
    <row r="49" spans="1:62" s="36" customFormat="1">
      <c r="A49" s="36" t="s">
        <v>378</v>
      </c>
      <c r="B49" s="65" t="s">
        <v>378</v>
      </c>
      <c r="C49" s="65" t="s">
        <v>615</v>
      </c>
      <c r="D49" s="65" t="s">
        <v>327</v>
      </c>
      <c r="E49" s="65" t="s">
        <v>9</v>
      </c>
      <c r="F49" s="94"/>
      <c r="G49" s="94"/>
      <c r="H49" s="65" t="s">
        <v>378</v>
      </c>
      <c r="I49" s="65"/>
      <c r="J49" s="65" t="s">
        <v>66</v>
      </c>
      <c r="K49" s="95"/>
      <c r="L49" s="65" t="s">
        <v>111</v>
      </c>
      <c r="M49" s="65"/>
      <c r="N49" s="199">
        <v>39387</v>
      </c>
      <c r="O49" s="65"/>
      <c r="P49" s="65"/>
      <c r="Q49" s="65" t="s">
        <v>119</v>
      </c>
      <c r="R49" s="65" t="s">
        <v>146</v>
      </c>
      <c r="S49" s="65" t="s">
        <v>129</v>
      </c>
      <c r="T49" s="65" t="s">
        <v>62</v>
      </c>
      <c r="U49" s="65" t="s">
        <v>164</v>
      </c>
      <c r="V49" s="65"/>
      <c r="W49" s="65" t="s">
        <v>219</v>
      </c>
      <c r="X49" s="65"/>
      <c r="Y49" s="65"/>
      <c r="Z49" s="65"/>
      <c r="AA49" s="65"/>
      <c r="AB49" s="65"/>
      <c r="AC49" s="97"/>
      <c r="AD49" s="65"/>
      <c r="AE49" s="104">
        <f>IFERROR('BMP P Tracking Table'!$V49*VLOOKUP('BMP P Tracking Table'!$R49,'Loading Rates'!$B$1:$L$24,4,FALSE)+IF('BMP P Tracking Table'!$W49="By HSG",'BMP P Tracking Table'!$X49*VLOOKUP('BMP P Tracking Table'!$R49,'Loading Rates'!$B$1:$L$24,6,FALSE)+'BMP P Tracking Table'!$Y49*VLOOKUP('BMP P Tracking Table'!$R49,'Loading Rates'!$B$1:$L$24,7,FALSE)+'BMP P Tracking Table'!$Z49*VLOOKUP('BMP P Tracking Table'!$R49,'Loading Rates'!$B$1:$L$24,8,FALSE)+'BMP P Tracking Table'!$AA49*VLOOKUP('BMP P Tracking Table'!$R49,'Loading Rates'!$B$1:$L$24,9,FALSE),'BMP P Tracking Table'!$AB49*VLOOKUP('BMP P Tracking Table'!$R49,'Loading Rates'!$B$1:$L$24,10,FALSE)),"")</f>
        <v>0</v>
      </c>
      <c r="AF49" s="104" t="str">
        <f>IFERROR(MIN(2,IF('BMP P Tracking Table'!$W49="Total Pervious",(-(3630*'BMP P Tracking Table'!$V49+20.691*'BMP P Tracking Table'!$AB49)+SQRT((3630*'BMP P Tracking Table'!$V49+20.691*'BMP P Tracking Table'!$AB49)^2-(4*(996.798*'BMP P Tracking Table'!$AB49)*-'BMP P Tracking Table'!$AC49)))/(2*(996.798*'BMP P Tracking Table'!$AB49)),IF(SUM('BMP P Tracking Table'!$X49:$AA49)=0,'BMP P Tracking Table'!$AC49/(-3630*'BMP P Tracking Table'!$V49),(-(3630*'BMP P Tracking Table'!$V49+20.691*'BMP P Tracking Table'!$AA49-216.711*'BMP P Tracking Table'!$Z49-83.853*'BMP P Tracking Table'!$Y49-42.834*'BMP P Tracking Table'!$X49)+SQRT((3630*'BMP P Tracking Table'!$V49+20.691*'BMP P Tracking Table'!$AA49-216.711*'BMP P Tracking Table'!$Z49-83.853*'BMP P Tracking Table'!$Y49-42.834*'BMP P Tracking Table'!$X49)^2-(4*(149.919*'BMP P Tracking Table'!$X49+236.676*'BMP P Tracking Table'!$Y49+726*'BMP P Tracking Table'!$Z49+996.798*'BMP P Tracking Table'!$AA49)*-'BMP P Tracking Table'!$AC49)))/(2*(149.919*'BMP P Tracking Table'!$X49+236.676*'BMP P Tracking Table'!$Y49+726*'BMP P Tracking Table'!$Z49+996.798*'BMP P Tracking Table'!$AA49))))),"")</f>
        <v/>
      </c>
      <c r="AG49" s="104" t="str">
        <f>IFERROR((VLOOKUP(CONCATENATE('BMP P Tracking Table'!$U49," ",'BMP P Tracking Table'!$AD49),'Performance Curves'!$C$1:$L$46,_xlfn.SINGLE(MATCH('BMP P Tracking Table'!$AF49,'Performance Curves'!$D$1:$L$1,1))+2,FALSE)-VLOOKUP(CONCATENATE('BMP P Tracking Table'!$U49," ",'BMP P Tracking Table'!$AD49),'Performance Curves'!$C$1:$L$46,_xlfn.SINGLE(MATCH('BMP P Tracking Table'!$AF49,'Performance Curves'!$D$1:$L$1,1))+1,FALSE)),"")</f>
        <v/>
      </c>
      <c r="AH49" s="104" t="str">
        <f>IFERROR(('BMP P Tracking Table'!$AF49-INDEX('Performance Curves'!$D$1:$L$1,1,MATCH('BMP P Tracking Table'!$AF49,'Performance Curves'!$D$1:$L$1,1)))/(INDEX('Performance Curves'!$D$1:$L$1,1,MATCH('BMP P Tracking Table'!$AF49,'Performance Curves'!$D$1:$L$1,1)+1)-INDEX('Performance Curves'!$D$1:$L$1,1,MATCH('BMP P Tracking Table'!$AF49,'Performance Curves'!$D$1:$L$1,1))),"")</f>
        <v/>
      </c>
      <c r="AI49" s="103" t="str">
        <f>IFERROR(IF('BMP P Tracking Table'!$AF49=2,VLOOKUP(CONCATENATE('BMP P Tracking Table'!$U49," ",'BMP P Tracking Table'!$AD49),'Performance Curves'!$C$1:$L$46,_xlfn.SINGLE(MATCH('BMP P Tracking Table'!$AF49,'Performance Curves'!$D$1:$L$1,1))+1,FALSE),'BMP P Tracking Table'!$AG49*'BMP P Tracking Table'!$AH49+VLOOKUP(CONCATENATE('BMP P Tracking Table'!$U49," ",'BMP P Tracking Table'!$AD49),'Performance Curves'!$C$1:$L$46,_xlfn.SINGLE(MATCH('BMP P Tracking Table'!$AF49,'Performance Curves'!$D$1:$L$1,1))+1,FALSE)),"")</f>
        <v/>
      </c>
      <c r="AJ49" s="104" t="str">
        <f>IFERROR('BMP P Tracking Table'!$AI49*'BMP P Tracking Table'!$AE49,"")</f>
        <v/>
      </c>
      <c r="AK49" s="65"/>
      <c r="AL49" s="98" t="s">
        <v>62</v>
      </c>
      <c r="AM49" s="98"/>
      <c r="AN49" s="64">
        <v>1</v>
      </c>
      <c r="AO49" s="102" t="str">
        <f t="shared" si="5"/>
        <v/>
      </c>
      <c r="AP49" s="98"/>
      <c r="AQ49" s="98"/>
      <c r="AR49" s="98"/>
      <c r="AS49" s="98"/>
      <c r="AT49" s="98"/>
      <c r="AU49" s="98"/>
      <c r="AV49" s="98"/>
      <c r="AW49" s="65"/>
      <c r="AX49" s="99"/>
      <c r="AY49" s="99"/>
      <c r="AZ49" s="104" t="str">
        <f>IF('BMP P Tracking Table'!$AL49="Yes",IF('BMP P Tracking Table'!$AM49="No",'BMP P Tracking Table'!$V49*VLOOKUP('BMP P Tracking Table'!$R49,'Loading Rates'!$B$1:$L$24,4,FALSE)+IF('BMP P Tracking Table'!$W49="By HSG",'BMP P Tracking Table'!$X49*VLOOKUP('BMP P Tracking Table'!$R49,'Loading Rates'!$B$1:$L$24,6,FALSE)+'BMP P Tracking Table'!$Y49*VLOOKUP('BMP P Tracking Table'!$R49,'Loading Rates'!$B$1:$L$24,7,FALSE)+'BMP P Tracking Table'!$Z49*VLOOKUP('BMP P Tracking Table'!$R49,'Loading Rates'!$B$1:$L$24,8,FALSE)+'BMP P Tracking Table'!$AA49*VLOOKUP('BMP P Tracking Table'!$R49,'Loading Rates'!$B$1:$L$24,9,FALSE),'BMP P Tracking Table'!$AB49*VLOOKUP('BMP P Tracking Table'!$R49,'Loading Rates'!$B$1:$L$24,10,FALSE)),'BMP P Tracking Table'!$AP49*VLOOKUP('BMP P Tracking Table'!$R49,'Loading Rates'!$B$1:$L$24,4,FALSE)+IF('BMP P Tracking Table'!$AQ49="By HSG",'BMP P Tracking Table'!$AR49*VLOOKUP('BMP P Tracking Table'!$R49,'Loading Rates'!$B$1:$L$24,6,FALSE)+'BMP P Tracking Table'!$AS49*VLOOKUP('BMP P Tracking Table'!$R49,'Loading Rates'!$B$1:$L$24,7,FALSE)+'BMP P Tracking Table'!$AT49*VLOOKUP('BMP P Tracking Table'!$R49,'Loading Rates'!$B$1:$L$24,8,FALSE)+'BMP P Tracking Table'!$AU49*VLOOKUP('BMP P Tracking Table'!$R49,'Loading Rates'!$B$1:$L$24,9,FALSE),'BMP P Tracking Table'!$AV49*VLOOKUP('BMP P Tracking Table'!$R49,'Loading Rates'!$B$1:$L$24,10,FALSE))),"")</f>
        <v/>
      </c>
      <c r="BA49" s="104" t="str">
        <f>IFERROR(IF('BMP P Tracking Table'!$AM49="Yes",MIN(2,IF('BMP P Tracking Table'!$AQ49="Total Pervious",(-(3630*'BMP P Tracking Table'!$AP49+20.691*'BMP P Tracking Table'!$AV49)+SQRT((3630*'BMP P Tracking Table'!$AP49+20.691*'BMP P Tracking Table'!$AV49)^2-(4*(996.798*'BMP P Tracking Table'!$AV49)*-'BMP P Tracking Table'!$AX49)))/(2*(996.798*'BMP P Tracking Table'!$AV49)),IF(SUM('BMP P Tracking Table'!$AR49:$AU49)=0,'BMP P Tracking Table'!$AV49/(-3630*'BMP P Tracking Table'!$AP49),(-(3630*'BMP P Tracking Table'!$AP49+20.691*'BMP P Tracking Table'!$AU49-216.711*'BMP P Tracking Table'!$AT49-83.853*'BMP P Tracking Table'!$AS49-42.834*'BMP P Tracking Table'!$AR49)+SQRT((3630*'BMP P Tracking Table'!$AP49+20.691*'BMP P Tracking Table'!$AU49-216.711*'BMP P Tracking Table'!$AT49-83.853*'BMP P Tracking Table'!$AS49-42.834*'BMP P Tracking Table'!$AR49)^2-(4*(149.919*'BMP P Tracking Table'!$AR49+236.676*'BMP P Tracking Table'!$AS49+726*'BMP P Tracking Table'!$AT49+996.798*'BMP P Tracking Table'!$AU49)*-'BMP P Tracking Table'!$AX49)))/(2*(149.919*'BMP P Tracking Table'!$AR49+236.676*'BMP P Tracking Table'!$AS49+726*'BMP P Tracking Table'!$AT49+996.798*'BMP P Tracking Table'!$AU49))))),MIN(2,IF('BMP P Tracking Table'!$AQ49="Total Pervious",(-(3630*'BMP P Tracking Table'!$V49+20.691*'BMP P Tracking Table'!$AB49)+SQRT((3630*'BMP P Tracking Table'!$V49+20.691*'BMP P Tracking Table'!$AB49)^2-(4*(996.798*'BMP P Tracking Table'!$AB49)*-'BMP P Tracking Table'!$AX49)))/(2*(996.798*'BMP P Tracking Table'!$AB49)),IF(SUM('BMP P Tracking Table'!$X49:$AA49)=0,'BMP P Tracking Table'!$AX49/(-3630*'BMP P Tracking Table'!$V49),(-(3630*'BMP P Tracking Table'!$V49+20.691*'BMP P Tracking Table'!$AA49-216.711*'BMP P Tracking Table'!$Z49-83.853*'BMP P Tracking Table'!$Y49-42.834*'BMP P Tracking Table'!$X49)+SQRT((3630*'BMP P Tracking Table'!$V49+20.691*'BMP P Tracking Table'!$AA49-216.711*'BMP P Tracking Table'!$Z49-83.853*'BMP P Tracking Table'!$Y49-42.834*'BMP P Tracking Table'!$X49)^2-(4*(149.919*'BMP P Tracking Table'!$X49+236.676*'BMP P Tracking Table'!$Y49+726*'BMP P Tracking Table'!$Z49+996.798*'BMP P Tracking Table'!$AA49)*-'BMP P Tracking Table'!$AX49)))/(2*(149.919*'BMP P Tracking Table'!$X49+236.676*'BMP P Tracking Table'!$Y49+726*'BMP P Tracking Table'!$Z49+996.798*'BMP P Tracking Table'!$AA49)))))),"")</f>
        <v/>
      </c>
      <c r="BB49" s="102" t="str">
        <f>IFERROR((VLOOKUP(CONCATENATE('BMP P Tracking Table'!$AW49," ",'BMP P Tracking Table'!$AY49),'Performance Curves'!$C$1:$L$46,_xlfn.SINGLE(MATCH('BMP P Tracking Table'!$BA49,'Performance Curves'!$D$1:$L$1,1))+2,FALSE)-VLOOKUP(CONCATENATE('BMP P Tracking Table'!$AW49," ",'BMP P Tracking Table'!$AY49),'Performance Curves'!$C$1:$L$46,_xlfn.SINGLE(MATCH('BMP P Tracking Table'!$BA49,'Performance Curves'!$D$1:$L$1,1))+1,FALSE)),"")</f>
        <v/>
      </c>
      <c r="BC49" s="102" t="str">
        <f>IFERROR(('BMP P Tracking Table'!$BA49-INDEX('Performance Curves'!$D$1:$L$1,1,MATCH('BMP P Tracking Table'!$BA49,'Performance Curves'!$D$1:$L$1,1)))/(INDEX('Performance Curves'!$D$1:$L$1,1,MATCH('BMP P Tracking Table'!$BA49,'Performance Curves'!$D$1:$L$1,1)+1)-INDEX('Performance Curves'!$D$1:$L$1,1,MATCH('BMP P Tracking Table'!$BA49,'Performance Curves'!$D$1:$L$1,1))),"")</f>
        <v/>
      </c>
      <c r="BD49" s="103" t="str" cm="1">
        <f t="array" ref="BD49">IFERROR(IF('BMP P Tracking Table'!$BA49=2,VLOOKUP(CONCATENATE('BMP P Tracking Table'!$AW49," ",'BMP P Tracking Table'!$AY49),'Performance Curves'!$C$1:$L$44,_xlfn.SINGLE(MATCH('BMP P Tracking Table'!$BA49,'Performance Curves'!$D$1:$L$1,1))+1,FALSE),'BMP P Tracking Table'!$BB49*'BMP P Tracking Table'!$BC49+VLOOKUP(CONCATENATE('BMP P Tracking Table'!$AW49," ",'BMP P Tracking Table'!$AY49),'Performance Curves'!$C$1:$L$44,_xlfn.SINGLE(MATCH('BMP P Tracking Table'!$BA49,'Performance Curves'!$D$1:$L$1,1))+1,FALSE)),"")</f>
        <v/>
      </c>
      <c r="BE49" s="104" t="str">
        <f>IFERROR('BMP P Tracking Table'!$BD49*'BMP P Tracking Table'!$AZ49,"")</f>
        <v/>
      </c>
      <c r="BF49" s="98"/>
      <c r="BG49" s="37">
        <f t="shared" si="6"/>
        <v>0</v>
      </c>
      <c r="BI49" s="36" t="str">
        <f t="shared" si="1"/>
        <v>3574-9010.R</v>
      </c>
      <c r="BJ49" s="36" t="str">
        <f t="shared" si="2"/>
        <v>Forestdale Heights S/N001</v>
      </c>
    </row>
    <row r="50" spans="1:62" s="36" customFormat="1">
      <c r="A50" s="36" t="s">
        <v>378</v>
      </c>
      <c r="B50" s="65" t="s">
        <v>378</v>
      </c>
      <c r="C50" s="65" t="s">
        <v>616</v>
      </c>
      <c r="D50" s="65" t="s">
        <v>327</v>
      </c>
      <c r="E50" s="65" t="s">
        <v>9</v>
      </c>
      <c r="F50" s="94"/>
      <c r="G50" s="94"/>
      <c r="H50" s="65" t="s">
        <v>378</v>
      </c>
      <c r="I50" s="65"/>
      <c r="J50" s="65" t="s">
        <v>66</v>
      </c>
      <c r="K50" s="95"/>
      <c r="L50" s="65" t="s">
        <v>111</v>
      </c>
      <c r="M50" s="65"/>
      <c r="N50" s="199">
        <v>39387</v>
      </c>
      <c r="O50" s="65"/>
      <c r="P50" s="65"/>
      <c r="Q50" s="65" t="s">
        <v>119</v>
      </c>
      <c r="R50" s="65" t="s">
        <v>146</v>
      </c>
      <c r="S50" s="65" t="s">
        <v>129</v>
      </c>
      <c r="T50" s="65" t="s">
        <v>62</v>
      </c>
      <c r="U50" s="65" t="s">
        <v>164</v>
      </c>
      <c r="V50" s="65"/>
      <c r="W50" s="65" t="s">
        <v>219</v>
      </c>
      <c r="X50" s="65"/>
      <c r="Y50" s="65"/>
      <c r="Z50" s="65"/>
      <c r="AA50" s="65"/>
      <c r="AB50" s="65"/>
      <c r="AC50" s="97"/>
      <c r="AD50" s="65"/>
      <c r="AE50" s="104">
        <f>IFERROR('BMP P Tracking Table'!$V50*VLOOKUP('BMP P Tracking Table'!$R50,'Loading Rates'!$B$1:$L$24,4,FALSE)+IF('BMP P Tracking Table'!$W50="By HSG",'BMP P Tracking Table'!$X50*VLOOKUP('BMP P Tracking Table'!$R50,'Loading Rates'!$B$1:$L$24,6,FALSE)+'BMP P Tracking Table'!$Y50*VLOOKUP('BMP P Tracking Table'!$R50,'Loading Rates'!$B$1:$L$24,7,FALSE)+'BMP P Tracking Table'!$Z50*VLOOKUP('BMP P Tracking Table'!$R50,'Loading Rates'!$B$1:$L$24,8,FALSE)+'BMP P Tracking Table'!$AA50*VLOOKUP('BMP P Tracking Table'!$R50,'Loading Rates'!$B$1:$L$24,9,FALSE),'BMP P Tracking Table'!$AB50*VLOOKUP('BMP P Tracking Table'!$R50,'Loading Rates'!$B$1:$L$24,10,FALSE)),"")</f>
        <v>0</v>
      </c>
      <c r="AF50" s="104" t="str">
        <f>IFERROR(MIN(2,IF('BMP P Tracking Table'!$W50="Total Pervious",(-(3630*'BMP P Tracking Table'!$V50+20.691*'BMP P Tracking Table'!$AB50)+SQRT((3630*'BMP P Tracking Table'!$V50+20.691*'BMP P Tracking Table'!$AB50)^2-(4*(996.798*'BMP P Tracking Table'!$AB50)*-'BMP P Tracking Table'!$AC50)))/(2*(996.798*'BMP P Tracking Table'!$AB50)),IF(SUM('BMP P Tracking Table'!$X50:$AA50)=0,'BMP P Tracking Table'!$AC50/(-3630*'BMP P Tracking Table'!$V50),(-(3630*'BMP P Tracking Table'!$V50+20.691*'BMP P Tracking Table'!$AA50-216.711*'BMP P Tracking Table'!$Z50-83.853*'BMP P Tracking Table'!$Y50-42.834*'BMP P Tracking Table'!$X50)+SQRT((3630*'BMP P Tracking Table'!$V50+20.691*'BMP P Tracking Table'!$AA50-216.711*'BMP P Tracking Table'!$Z50-83.853*'BMP P Tracking Table'!$Y50-42.834*'BMP P Tracking Table'!$X50)^2-(4*(149.919*'BMP P Tracking Table'!$X50+236.676*'BMP P Tracking Table'!$Y50+726*'BMP P Tracking Table'!$Z50+996.798*'BMP P Tracking Table'!$AA50)*-'BMP P Tracking Table'!$AC50)))/(2*(149.919*'BMP P Tracking Table'!$X50+236.676*'BMP P Tracking Table'!$Y50+726*'BMP P Tracking Table'!$Z50+996.798*'BMP P Tracking Table'!$AA50))))),"")</f>
        <v/>
      </c>
      <c r="AG50" s="104" t="str">
        <f>IFERROR((VLOOKUP(CONCATENATE('BMP P Tracking Table'!$U50," ",'BMP P Tracking Table'!$AD50),'Performance Curves'!$C$1:$L$46,_xlfn.SINGLE(MATCH('BMP P Tracking Table'!$AF50,'Performance Curves'!$D$1:$L$1,1))+2,FALSE)-VLOOKUP(CONCATENATE('BMP P Tracking Table'!$U50," ",'BMP P Tracking Table'!$AD50),'Performance Curves'!$C$1:$L$46,_xlfn.SINGLE(MATCH('BMP P Tracking Table'!$AF50,'Performance Curves'!$D$1:$L$1,1))+1,FALSE)),"")</f>
        <v/>
      </c>
      <c r="AH50" s="104" t="str">
        <f>IFERROR(('BMP P Tracking Table'!$AF50-INDEX('Performance Curves'!$D$1:$L$1,1,MATCH('BMP P Tracking Table'!$AF50,'Performance Curves'!$D$1:$L$1,1)))/(INDEX('Performance Curves'!$D$1:$L$1,1,MATCH('BMP P Tracking Table'!$AF50,'Performance Curves'!$D$1:$L$1,1)+1)-INDEX('Performance Curves'!$D$1:$L$1,1,MATCH('BMP P Tracking Table'!$AF50,'Performance Curves'!$D$1:$L$1,1))),"")</f>
        <v/>
      </c>
      <c r="AI50" s="103" t="str">
        <f>IFERROR(IF('BMP P Tracking Table'!$AF50=2,VLOOKUP(CONCATENATE('BMP P Tracking Table'!$U50," ",'BMP P Tracking Table'!$AD50),'Performance Curves'!$C$1:$L$46,_xlfn.SINGLE(MATCH('BMP P Tracking Table'!$AF50,'Performance Curves'!$D$1:$L$1,1))+1,FALSE),'BMP P Tracking Table'!$AG50*'BMP P Tracking Table'!$AH50+VLOOKUP(CONCATENATE('BMP P Tracking Table'!$U50," ",'BMP P Tracking Table'!$AD50),'Performance Curves'!$C$1:$L$46,_xlfn.SINGLE(MATCH('BMP P Tracking Table'!$AF50,'Performance Curves'!$D$1:$L$1,1))+1,FALSE)),"")</f>
        <v/>
      </c>
      <c r="AJ50" s="104" t="str">
        <f>IFERROR('BMP P Tracking Table'!$AI50*'BMP P Tracking Table'!$AE50,"")</f>
        <v/>
      </c>
      <c r="AK50" s="65"/>
      <c r="AL50" s="98" t="s">
        <v>62</v>
      </c>
      <c r="AM50" s="98"/>
      <c r="AN50" s="64">
        <v>1</v>
      </c>
      <c r="AO50" s="102" t="str">
        <f t="shared" si="5"/>
        <v/>
      </c>
      <c r="AP50" s="98"/>
      <c r="AQ50" s="98"/>
      <c r="AR50" s="98"/>
      <c r="AS50" s="98"/>
      <c r="AT50" s="98"/>
      <c r="AU50" s="98"/>
      <c r="AV50" s="98"/>
      <c r="AW50" s="65"/>
      <c r="AX50" s="99"/>
      <c r="AY50" s="99"/>
      <c r="AZ50" s="104" t="str">
        <f>IF('BMP P Tracking Table'!$AL50="Yes",IF('BMP P Tracking Table'!$AM50="No",'BMP P Tracking Table'!$V50*VLOOKUP('BMP P Tracking Table'!$R50,'Loading Rates'!$B$1:$L$24,4,FALSE)+IF('BMP P Tracking Table'!$W50="By HSG",'BMP P Tracking Table'!$X50*VLOOKUP('BMP P Tracking Table'!$R50,'Loading Rates'!$B$1:$L$24,6,FALSE)+'BMP P Tracking Table'!$Y50*VLOOKUP('BMP P Tracking Table'!$R50,'Loading Rates'!$B$1:$L$24,7,FALSE)+'BMP P Tracking Table'!$Z50*VLOOKUP('BMP P Tracking Table'!$R50,'Loading Rates'!$B$1:$L$24,8,FALSE)+'BMP P Tracking Table'!$AA50*VLOOKUP('BMP P Tracking Table'!$R50,'Loading Rates'!$B$1:$L$24,9,FALSE),'BMP P Tracking Table'!$AB50*VLOOKUP('BMP P Tracking Table'!$R50,'Loading Rates'!$B$1:$L$24,10,FALSE)),'BMP P Tracking Table'!$AP50*VLOOKUP('BMP P Tracking Table'!$R50,'Loading Rates'!$B$1:$L$24,4,FALSE)+IF('BMP P Tracking Table'!$AQ50="By HSG",'BMP P Tracking Table'!$AR50*VLOOKUP('BMP P Tracking Table'!$R50,'Loading Rates'!$B$1:$L$24,6,FALSE)+'BMP P Tracking Table'!$AS50*VLOOKUP('BMP P Tracking Table'!$R50,'Loading Rates'!$B$1:$L$24,7,FALSE)+'BMP P Tracking Table'!$AT50*VLOOKUP('BMP P Tracking Table'!$R50,'Loading Rates'!$B$1:$L$24,8,FALSE)+'BMP P Tracking Table'!$AU50*VLOOKUP('BMP P Tracking Table'!$R50,'Loading Rates'!$B$1:$L$24,9,FALSE),'BMP P Tracking Table'!$AV50*VLOOKUP('BMP P Tracking Table'!$R50,'Loading Rates'!$B$1:$L$24,10,FALSE))),"")</f>
        <v/>
      </c>
      <c r="BA50" s="104" t="str">
        <f>IFERROR(IF('BMP P Tracking Table'!$AM50="Yes",MIN(2,IF('BMP P Tracking Table'!$AQ50="Total Pervious",(-(3630*'BMP P Tracking Table'!$AP50+20.691*'BMP P Tracking Table'!$AV50)+SQRT((3630*'BMP P Tracking Table'!$AP50+20.691*'BMP P Tracking Table'!$AV50)^2-(4*(996.798*'BMP P Tracking Table'!$AV50)*-'BMP P Tracking Table'!$AX50)))/(2*(996.798*'BMP P Tracking Table'!$AV50)),IF(SUM('BMP P Tracking Table'!$AR50:$AU50)=0,'BMP P Tracking Table'!$AV50/(-3630*'BMP P Tracking Table'!$AP50),(-(3630*'BMP P Tracking Table'!$AP50+20.691*'BMP P Tracking Table'!$AU50-216.711*'BMP P Tracking Table'!$AT50-83.853*'BMP P Tracking Table'!$AS50-42.834*'BMP P Tracking Table'!$AR50)+SQRT((3630*'BMP P Tracking Table'!$AP50+20.691*'BMP P Tracking Table'!$AU50-216.711*'BMP P Tracking Table'!$AT50-83.853*'BMP P Tracking Table'!$AS50-42.834*'BMP P Tracking Table'!$AR50)^2-(4*(149.919*'BMP P Tracking Table'!$AR50+236.676*'BMP P Tracking Table'!$AS50+726*'BMP P Tracking Table'!$AT50+996.798*'BMP P Tracking Table'!$AU50)*-'BMP P Tracking Table'!$AX50)))/(2*(149.919*'BMP P Tracking Table'!$AR50+236.676*'BMP P Tracking Table'!$AS50+726*'BMP P Tracking Table'!$AT50+996.798*'BMP P Tracking Table'!$AU50))))),MIN(2,IF('BMP P Tracking Table'!$AQ50="Total Pervious",(-(3630*'BMP P Tracking Table'!$V50+20.691*'BMP P Tracking Table'!$AB50)+SQRT((3630*'BMP P Tracking Table'!$V50+20.691*'BMP P Tracking Table'!$AB50)^2-(4*(996.798*'BMP P Tracking Table'!$AB50)*-'BMP P Tracking Table'!$AX50)))/(2*(996.798*'BMP P Tracking Table'!$AB50)),IF(SUM('BMP P Tracking Table'!$X50:$AA50)=0,'BMP P Tracking Table'!$AX50/(-3630*'BMP P Tracking Table'!$V50),(-(3630*'BMP P Tracking Table'!$V50+20.691*'BMP P Tracking Table'!$AA50-216.711*'BMP P Tracking Table'!$Z50-83.853*'BMP P Tracking Table'!$Y50-42.834*'BMP P Tracking Table'!$X50)+SQRT((3630*'BMP P Tracking Table'!$V50+20.691*'BMP P Tracking Table'!$AA50-216.711*'BMP P Tracking Table'!$Z50-83.853*'BMP P Tracking Table'!$Y50-42.834*'BMP P Tracking Table'!$X50)^2-(4*(149.919*'BMP P Tracking Table'!$X50+236.676*'BMP P Tracking Table'!$Y50+726*'BMP P Tracking Table'!$Z50+996.798*'BMP P Tracking Table'!$AA50)*-'BMP P Tracking Table'!$AX50)))/(2*(149.919*'BMP P Tracking Table'!$X50+236.676*'BMP P Tracking Table'!$Y50+726*'BMP P Tracking Table'!$Z50+996.798*'BMP P Tracking Table'!$AA50)))))),"")</f>
        <v/>
      </c>
      <c r="BB50" s="102" t="str">
        <f>IFERROR((VLOOKUP(CONCATENATE('BMP P Tracking Table'!$AW50," ",'BMP P Tracking Table'!$AY50),'Performance Curves'!$C$1:$L$46,_xlfn.SINGLE(MATCH('BMP P Tracking Table'!$BA50,'Performance Curves'!$D$1:$L$1,1))+2,FALSE)-VLOOKUP(CONCATENATE('BMP P Tracking Table'!$AW50," ",'BMP P Tracking Table'!$AY50),'Performance Curves'!$C$1:$L$46,_xlfn.SINGLE(MATCH('BMP P Tracking Table'!$BA50,'Performance Curves'!$D$1:$L$1,1))+1,FALSE)),"")</f>
        <v/>
      </c>
      <c r="BC50" s="102" t="str">
        <f>IFERROR(('BMP P Tracking Table'!$BA50-INDEX('Performance Curves'!$D$1:$L$1,1,MATCH('BMP P Tracking Table'!$BA50,'Performance Curves'!$D$1:$L$1,1)))/(INDEX('Performance Curves'!$D$1:$L$1,1,MATCH('BMP P Tracking Table'!$BA50,'Performance Curves'!$D$1:$L$1,1)+1)-INDEX('Performance Curves'!$D$1:$L$1,1,MATCH('BMP P Tracking Table'!$BA50,'Performance Curves'!$D$1:$L$1,1))),"")</f>
        <v/>
      </c>
      <c r="BD50" s="103" t="str" cm="1">
        <f t="array" ref="BD50">IFERROR(IF('BMP P Tracking Table'!$BA50=2,VLOOKUP(CONCATENATE('BMP P Tracking Table'!$AW50," ",'BMP P Tracking Table'!$AY50),'Performance Curves'!$C$1:$L$44,_xlfn.SINGLE(MATCH('BMP P Tracking Table'!$BA50,'Performance Curves'!$D$1:$L$1,1))+1,FALSE),'BMP P Tracking Table'!$BB50*'BMP P Tracking Table'!$BC50+VLOOKUP(CONCATENATE('BMP P Tracking Table'!$AW50," ",'BMP P Tracking Table'!$AY50),'Performance Curves'!$C$1:$L$44,_xlfn.SINGLE(MATCH('BMP P Tracking Table'!$BA50,'Performance Curves'!$D$1:$L$1,1))+1,FALSE)),"")</f>
        <v/>
      </c>
      <c r="BE50" s="104" t="str">
        <f>IFERROR('BMP P Tracking Table'!$BD50*'BMP P Tracking Table'!$AZ50,"")</f>
        <v/>
      </c>
      <c r="BF50" s="98"/>
      <c r="BG50" s="37">
        <f t="shared" si="6"/>
        <v>0</v>
      </c>
      <c r="BI50" s="36" t="str">
        <f t="shared" si="1"/>
        <v>3574-9010.R</v>
      </c>
      <c r="BJ50" s="36" t="str">
        <f t="shared" si="2"/>
        <v>Forestdale Heights S/N002</v>
      </c>
    </row>
    <row r="51" spans="1:62" s="36" customFormat="1">
      <c r="A51" s="36" t="s">
        <v>378</v>
      </c>
      <c r="B51" s="65" t="s">
        <v>378</v>
      </c>
      <c r="C51" s="65" t="s">
        <v>617</v>
      </c>
      <c r="D51" s="65" t="s">
        <v>327</v>
      </c>
      <c r="E51" s="65" t="s">
        <v>9</v>
      </c>
      <c r="F51" s="94"/>
      <c r="G51" s="94"/>
      <c r="H51" s="65" t="s">
        <v>378</v>
      </c>
      <c r="I51" s="65"/>
      <c r="J51" s="65" t="s">
        <v>66</v>
      </c>
      <c r="K51" s="95"/>
      <c r="L51" s="65" t="s">
        <v>111</v>
      </c>
      <c r="M51" s="65"/>
      <c r="N51" s="199">
        <v>39387</v>
      </c>
      <c r="O51" s="65"/>
      <c r="P51" s="65"/>
      <c r="Q51" s="65" t="s">
        <v>119</v>
      </c>
      <c r="R51" s="65" t="s">
        <v>146</v>
      </c>
      <c r="S51" s="65" t="s">
        <v>129</v>
      </c>
      <c r="T51" s="65" t="s">
        <v>62</v>
      </c>
      <c r="U51" s="65" t="s">
        <v>212</v>
      </c>
      <c r="V51" s="65"/>
      <c r="W51" s="65" t="s">
        <v>219</v>
      </c>
      <c r="X51" s="65"/>
      <c r="Y51" s="65"/>
      <c r="Z51" s="65"/>
      <c r="AA51" s="65"/>
      <c r="AB51" s="65"/>
      <c r="AC51" s="97"/>
      <c r="AD51" s="65"/>
      <c r="AE51" s="104">
        <f>IFERROR('BMP P Tracking Table'!$V51*VLOOKUP('BMP P Tracking Table'!$R51,'Loading Rates'!$B$1:$L$24,4,FALSE)+IF('BMP P Tracking Table'!$W51="By HSG",'BMP P Tracking Table'!$X51*VLOOKUP('BMP P Tracking Table'!$R51,'Loading Rates'!$B$1:$L$24,6,FALSE)+'BMP P Tracking Table'!$Y51*VLOOKUP('BMP P Tracking Table'!$R51,'Loading Rates'!$B$1:$L$24,7,FALSE)+'BMP P Tracking Table'!$Z51*VLOOKUP('BMP P Tracking Table'!$R51,'Loading Rates'!$B$1:$L$24,8,FALSE)+'BMP P Tracking Table'!$AA51*VLOOKUP('BMP P Tracking Table'!$R51,'Loading Rates'!$B$1:$L$24,9,FALSE),'BMP P Tracking Table'!$AB51*VLOOKUP('BMP P Tracking Table'!$R51,'Loading Rates'!$B$1:$L$24,10,FALSE)),"")</f>
        <v>0</v>
      </c>
      <c r="AF51" s="104" t="str">
        <f>IFERROR(MIN(2,IF('BMP P Tracking Table'!$W51="Total Pervious",(-(3630*'BMP P Tracking Table'!$V51+20.691*'BMP P Tracking Table'!$AB51)+SQRT((3630*'BMP P Tracking Table'!$V51+20.691*'BMP P Tracking Table'!$AB51)^2-(4*(996.798*'BMP P Tracking Table'!$AB51)*-'BMP P Tracking Table'!$AC51)))/(2*(996.798*'BMP P Tracking Table'!$AB51)),IF(SUM('BMP P Tracking Table'!$X51:$AA51)=0,'BMP P Tracking Table'!$AC51/(-3630*'BMP P Tracking Table'!$V51),(-(3630*'BMP P Tracking Table'!$V51+20.691*'BMP P Tracking Table'!$AA51-216.711*'BMP P Tracking Table'!$Z51-83.853*'BMP P Tracking Table'!$Y51-42.834*'BMP P Tracking Table'!$X51)+SQRT((3630*'BMP P Tracking Table'!$V51+20.691*'BMP P Tracking Table'!$AA51-216.711*'BMP P Tracking Table'!$Z51-83.853*'BMP P Tracking Table'!$Y51-42.834*'BMP P Tracking Table'!$X51)^2-(4*(149.919*'BMP P Tracking Table'!$X51+236.676*'BMP P Tracking Table'!$Y51+726*'BMP P Tracking Table'!$Z51+996.798*'BMP P Tracking Table'!$AA51)*-'BMP P Tracking Table'!$AC51)))/(2*(149.919*'BMP P Tracking Table'!$X51+236.676*'BMP P Tracking Table'!$Y51+726*'BMP P Tracking Table'!$Z51+996.798*'BMP P Tracking Table'!$AA51))))),"")</f>
        <v/>
      </c>
      <c r="AG51" s="104" t="str">
        <f>IFERROR((VLOOKUP(CONCATENATE('BMP P Tracking Table'!$U51," ",'BMP P Tracking Table'!$AD51),'Performance Curves'!$C$1:$L$46,_xlfn.SINGLE(MATCH('BMP P Tracking Table'!$AF51,'Performance Curves'!$D$1:$L$1,1))+2,FALSE)-VLOOKUP(CONCATENATE('BMP P Tracking Table'!$U51," ",'BMP P Tracking Table'!$AD51),'Performance Curves'!$C$1:$L$46,_xlfn.SINGLE(MATCH('BMP P Tracking Table'!$AF51,'Performance Curves'!$D$1:$L$1,1))+1,FALSE)),"")</f>
        <v/>
      </c>
      <c r="AH51" s="104" t="str">
        <f>IFERROR(('BMP P Tracking Table'!$AF51-INDEX('Performance Curves'!$D$1:$L$1,1,MATCH('BMP P Tracking Table'!$AF51,'Performance Curves'!$D$1:$L$1,1)))/(INDEX('Performance Curves'!$D$1:$L$1,1,MATCH('BMP P Tracking Table'!$AF51,'Performance Curves'!$D$1:$L$1,1)+1)-INDEX('Performance Curves'!$D$1:$L$1,1,MATCH('BMP P Tracking Table'!$AF51,'Performance Curves'!$D$1:$L$1,1))),"")</f>
        <v/>
      </c>
      <c r="AI51" s="103" t="str">
        <f>IFERROR(IF('BMP P Tracking Table'!$AF51=2,VLOOKUP(CONCATENATE('BMP P Tracking Table'!$U51," ",'BMP P Tracking Table'!$AD51),'Performance Curves'!$C$1:$L$46,_xlfn.SINGLE(MATCH('BMP P Tracking Table'!$AF51,'Performance Curves'!$D$1:$L$1,1))+1,FALSE),'BMP P Tracking Table'!$AG51*'BMP P Tracking Table'!$AH51+VLOOKUP(CONCATENATE('BMP P Tracking Table'!$U51," ",'BMP P Tracking Table'!$AD51),'Performance Curves'!$C$1:$L$46,_xlfn.SINGLE(MATCH('BMP P Tracking Table'!$AF51,'Performance Curves'!$D$1:$L$1,1))+1,FALSE)),"")</f>
        <v/>
      </c>
      <c r="AJ51" s="104" t="str">
        <f>IFERROR('BMP P Tracking Table'!$AI51*'BMP P Tracking Table'!$AE51,"")</f>
        <v/>
      </c>
      <c r="AK51" s="65"/>
      <c r="AL51" s="98" t="s">
        <v>62</v>
      </c>
      <c r="AM51" s="98"/>
      <c r="AN51" s="64">
        <v>1</v>
      </c>
      <c r="AO51" s="102" t="str">
        <f t="shared" si="5"/>
        <v/>
      </c>
      <c r="AP51" s="98"/>
      <c r="AQ51" s="98"/>
      <c r="AR51" s="98"/>
      <c r="AS51" s="98"/>
      <c r="AT51" s="98"/>
      <c r="AU51" s="98"/>
      <c r="AV51" s="98"/>
      <c r="AW51" s="65"/>
      <c r="AX51" s="99"/>
      <c r="AY51" s="99"/>
      <c r="AZ51" s="104" t="str">
        <f>IF('BMP P Tracking Table'!$AL51="Yes",IF('BMP P Tracking Table'!$AM51="No",'BMP P Tracking Table'!$V51*VLOOKUP('BMP P Tracking Table'!$R51,'Loading Rates'!$B$1:$L$24,4,FALSE)+IF('BMP P Tracking Table'!$W51="By HSG",'BMP P Tracking Table'!$X51*VLOOKUP('BMP P Tracking Table'!$R51,'Loading Rates'!$B$1:$L$24,6,FALSE)+'BMP P Tracking Table'!$Y51*VLOOKUP('BMP P Tracking Table'!$R51,'Loading Rates'!$B$1:$L$24,7,FALSE)+'BMP P Tracking Table'!$Z51*VLOOKUP('BMP P Tracking Table'!$R51,'Loading Rates'!$B$1:$L$24,8,FALSE)+'BMP P Tracking Table'!$AA51*VLOOKUP('BMP P Tracking Table'!$R51,'Loading Rates'!$B$1:$L$24,9,FALSE),'BMP P Tracking Table'!$AB51*VLOOKUP('BMP P Tracking Table'!$R51,'Loading Rates'!$B$1:$L$24,10,FALSE)),'BMP P Tracking Table'!$AP51*VLOOKUP('BMP P Tracking Table'!$R51,'Loading Rates'!$B$1:$L$24,4,FALSE)+IF('BMP P Tracking Table'!$AQ51="By HSG",'BMP P Tracking Table'!$AR51*VLOOKUP('BMP P Tracking Table'!$R51,'Loading Rates'!$B$1:$L$24,6,FALSE)+'BMP P Tracking Table'!$AS51*VLOOKUP('BMP P Tracking Table'!$R51,'Loading Rates'!$B$1:$L$24,7,FALSE)+'BMP P Tracking Table'!$AT51*VLOOKUP('BMP P Tracking Table'!$R51,'Loading Rates'!$B$1:$L$24,8,FALSE)+'BMP P Tracking Table'!$AU51*VLOOKUP('BMP P Tracking Table'!$R51,'Loading Rates'!$B$1:$L$24,9,FALSE),'BMP P Tracking Table'!$AV51*VLOOKUP('BMP P Tracking Table'!$R51,'Loading Rates'!$B$1:$L$24,10,FALSE))),"")</f>
        <v/>
      </c>
      <c r="BA51" s="104" t="str">
        <f>IFERROR(IF('BMP P Tracking Table'!$AM51="Yes",MIN(2,IF('BMP P Tracking Table'!$AQ51="Total Pervious",(-(3630*'BMP P Tracking Table'!$AP51+20.691*'BMP P Tracking Table'!$AV51)+SQRT((3630*'BMP P Tracking Table'!$AP51+20.691*'BMP P Tracking Table'!$AV51)^2-(4*(996.798*'BMP P Tracking Table'!$AV51)*-'BMP P Tracking Table'!$AX51)))/(2*(996.798*'BMP P Tracking Table'!$AV51)),IF(SUM('BMP P Tracking Table'!$AR51:$AU51)=0,'BMP P Tracking Table'!$AV51/(-3630*'BMP P Tracking Table'!$AP51),(-(3630*'BMP P Tracking Table'!$AP51+20.691*'BMP P Tracking Table'!$AU51-216.711*'BMP P Tracking Table'!$AT51-83.853*'BMP P Tracking Table'!$AS51-42.834*'BMP P Tracking Table'!$AR51)+SQRT((3630*'BMP P Tracking Table'!$AP51+20.691*'BMP P Tracking Table'!$AU51-216.711*'BMP P Tracking Table'!$AT51-83.853*'BMP P Tracking Table'!$AS51-42.834*'BMP P Tracking Table'!$AR51)^2-(4*(149.919*'BMP P Tracking Table'!$AR51+236.676*'BMP P Tracking Table'!$AS51+726*'BMP P Tracking Table'!$AT51+996.798*'BMP P Tracking Table'!$AU51)*-'BMP P Tracking Table'!$AX51)))/(2*(149.919*'BMP P Tracking Table'!$AR51+236.676*'BMP P Tracking Table'!$AS51+726*'BMP P Tracking Table'!$AT51+996.798*'BMP P Tracking Table'!$AU51))))),MIN(2,IF('BMP P Tracking Table'!$AQ51="Total Pervious",(-(3630*'BMP P Tracking Table'!$V51+20.691*'BMP P Tracking Table'!$AB51)+SQRT((3630*'BMP P Tracking Table'!$V51+20.691*'BMP P Tracking Table'!$AB51)^2-(4*(996.798*'BMP P Tracking Table'!$AB51)*-'BMP P Tracking Table'!$AX51)))/(2*(996.798*'BMP P Tracking Table'!$AB51)),IF(SUM('BMP P Tracking Table'!$X51:$AA51)=0,'BMP P Tracking Table'!$AX51/(-3630*'BMP P Tracking Table'!$V51),(-(3630*'BMP P Tracking Table'!$V51+20.691*'BMP P Tracking Table'!$AA51-216.711*'BMP P Tracking Table'!$Z51-83.853*'BMP P Tracking Table'!$Y51-42.834*'BMP P Tracking Table'!$X51)+SQRT((3630*'BMP P Tracking Table'!$V51+20.691*'BMP P Tracking Table'!$AA51-216.711*'BMP P Tracking Table'!$Z51-83.853*'BMP P Tracking Table'!$Y51-42.834*'BMP P Tracking Table'!$X51)^2-(4*(149.919*'BMP P Tracking Table'!$X51+236.676*'BMP P Tracking Table'!$Y51+726*'BMP P Tracking Table'!$Z51+996.798*'BMP P Tracking Table'!$AA51)*-'BMP P Tracking Table'!$AX51)))/(2*(149.919*'BMP P Tracking Table'!$X51+236.676*'BMP P Tracking Table'!$Y51+726*'BMP P Tracking Table'!$Z51+996.798*'BMP P Tracking Table'!$AA51)))))),"")</f>
        <v/>
      </c>
      <c r="BB51" s="102" t="str">
        <f>IFERROR((VLOOKUP(CONCATENATE('BMP P Tracking Table'!$AW51," ",'BMP P Tracking Table'!$AY51),'Performance Curves'!$C$1:$L$46,_xlfn.SINGLE(MATCH('BMP P Tracking Table'!$BA51,'Performance Curves'!$D$1:$L$1,1))+2,FALSE)-VLOOKUP(CONCATENATE('BMP P Tracking Table'!$AW51," ",'BMP P Tracking Table'!$AY51),'Performance Curves'!$C$1:$L$46,_xlfn.SINGLE(MATCH('BMP P Tracking Table'!$BA51,'Performance Curves'!$D$1:$L$1,1))+1,FALSE)),"")</f>
        <v/>
      </c>
      <c r="BC51" s="102" t="str">
        <f>IFERROR(('BMP P Tracking Table'!$BA51-INDEX('Performance Curves'!$D$1:$L$1,1,MATCH('BMP P Tracking Table'!$BA51,'Performance Curves'!$D$1:$L$1,1)))/(INDEX('Performance Curves'!$D$1:$L$1,1,MATCH('BMP P Tracking Table'!$BA51,'Performance Curves'!$D$1:$L$1,1)+1)-INDEX('Performance Curves'!$D$1:$L$1,1,MATCH('BMP P Tracking Table'!$BA51,'Performance Curves'!$D$1:$L$1,1))),"")</f>
        <v/>
      </c>
      <c r="BD51" s="103" t="str" cm="1">
        <f t="array" ref="BD51">IFERROR(IF('BMP P Tracking Table'!$BA51=2,VLOOKUP(CONCATENATE('BMP P Tracking Table'!$AW51," ",'BMP P Tracking Table'!$AY51),'Performance Curves'!$C$1:$L$44,_xlfn.SINGLE(MATCH('BMP P Tracking Table'!$BA51,'Performance Curves'!$D$1:$L$1,1))+1,FALSE),'BMP P Tracking Table'!$BB51*'BMP P Tracking Table'!$BC51+VLOOKUP(CONCATENATE('BMP P Tracking Table'!$AW51," ",'BMP P Tracking Table'!$AY51),'Performance Curves'!$C$1:$L$44,_xlfn.SINGLE(MATCH('BMP P Tracking Table'!$BA51,'Performance Curves'!$D$1:$L$1,1))+1,FALSE)),"")</f>
        <v/>
      </c>
      <c r="BE51" s="104" t="str">
        <f>IFERROR('BMP P Tracking Table'!$BD51*'BMP P Tracking Table'!$AZ51,"")</f>
        <v/>
      </c>
      <c r="BF51" s="98"/>
      <c r="BG51" s="37">
        <f t="shared" si="6"/>
        <v>0</v>
      </c>
      <c r="BI51" s="36" t="str">
        <f t="shared" si="1"/>
        <v>3574-9010.R</v>
      </c>
      <c r="BJ51" s="36" t="str">
        <f t="shared" si="2"/>
        <v>Forestdale Heights S/N003</v>
      </c>
    </row>
    <row r="52" spans="1:62" s="36" customFormat="1">
      <c r="A52" s="36" t="s">
        <v>369</v>
      </c>
      <c r="B52" s="65" t="s">
        <v>369</v>
      </c>
      <c r="C52" s="65" t="s">
        <v>618</v>
      </c>
      <c r="D52" s="65" t="s">
        <v>327</v>
      </c>
      <c r="E52" s="65" t="s">
        <v>9</v>
      </c>
      <c r="F52" s="94"/>
      <c r="G52" s="94"/>
      <c r="H52" s="65" t="s">
        <v>369</v>
      </c>
      <c r="I52" s="65"/>
      <c r="J52" s="65" t="s">
        <v>66</v>
      </c>
      <c r="K52" s="95"/>
      <c r="L52" s="65" t="s">
        <v>111</v>
      </c>
      <c r="M52" s="65"/>
      <c r="N52" s="199">
        <v>35353</v>
      </c>
      <c r="O52" s="65"/>
      <c r="P52" s="65"/>
      <c r="Q52" s="65" t="s">
        <v>119</v>
      </c>
      <c r="R52" s="65" t="s">
        <v>146</v>
      </c>
      <c r="S52" s="65" t="s">
        <v>129</v>
      </c>
      <c r="T52" s="65" t="s">
        <v>62</v>
      </c>
      <c r="U52" s="65" t="s">
        <v>215</v>
      </c>
      <c r="V52" s="65">
        <v>5.69</v>
      </c>
      <c r="W52" s="65" t="s">
        <v>219</v>
      </c>
      <c r="X52" s="65"/>
      <c r="Y52" s="65"/>
      <c r="Z52" s="65"/>
      <c r="AA52" s="65"/>
      <c r="AB52" s="65">
        <f>21-V52</f>
        <v>15.309999999999999</v>
      </c>
      <c r="AC52" s="97">
        <v>20161</v>
      </c>
      <c r="AD52" s="65"/>
      <c r="AE52" s="104">
        <f>IFERROR('BMP P Tracking Table'!$V52*VLOOKUP('BMP P Tracking Table'!$R52,'Loading Rates'!$B$1:$L$24,4,FALSE)+IF('BMP P Tracking Table'!$W52="By HSG",'BMP P Tracking Table'!$X52*VLOOKUP('BMP P Tracking Table'!$R52,'Loading Rates'!$B$1:$L$24,6,FALSE)+'BMP P Tracking Table'!$Y52*VLOOKUP('BMP P Tracking Table'!$R52,'Loading Rates'!$B$1:$L$24,7,FALSE)+'BMP P Tracking Table'!$Z52*VLOOKUP('BMP P Tracking Table'!$R52,'Loading Rates'!$B$1:$L$24,8,FALSE)+'BMP P Tracking Table'!$AA52*VLOOKUP('BMP P Tracking Table'!$R52,'Loading Rates'!$B$1:$L$24,9,FALSE),'BMP P Tracking Table'!$AB52*VLOOKUP('BMP P Tracking Table'!$R52,'Loading Rates'!$B$1:$L$24,10,FALSE)),"")</f>
        <v>9.8923400000000008</v>
      </c>
      <c r="AF52" s="104">
        <f>IFERROR(MIN(2,IF('BMP P Tracking Table'!$W52="Total Pervious",(-(3630*'BMP P Tracking Table'!$V52+20.691*'BMP P Tracking Table'!$AB52)+SQRT((3630*'BMP P Tracking Table'!$V52+20.691*'BMP P Tracking Table'!$AB52)^2-(4*(996.798*'BMP P Tracking Table'!$AB52)*-'BMP P Tracking Table'!$AC52)))/(2*(996.798*'BMP P Tracking Table'!$AB52)),IF(SUM('BMP P Tracking Table'!$X52:$AA52)=0,'BMP P Tracking Table'!$AC52/(-3630*'BMP P Tracking Table'!$V52),(-(3630*'BMP P Tracking Table'!$V52+20.691*'BMP P Tracking Table'!$AA52-216.711*'BMP P Tracking Table'!$Z52-83.853*'BMP P Tracking Table'!$Y52-42.834*'BMP P Tracking Table'!$X52)+SQRT((3630*'BMP P Tracking Table'!$V52+20.691*'BMP P Tracking Table'!$AA52-216.711*'BMP P Tracking Table'!$Z52-83.853*'BMP P Tracking Table'!$Y52-42.834*'BMP P Tracking Table'!$X52)^2-(4*(149.919*'BMP P Tracking Table'!$X52+236.676*'BMP P Tracking Table'!$Y52+726*'BMP P Tracking Table'!$Z52+996.798*'BMP P Tracking Table'!$AA52)*-'BMP P Tracking Table'!$AC52)))/(2*(149.919*'BMP P Tracking Table'!$X52+236.676*'BMP P Tracking Table'!$Y52+726*'BMP P Tracking Table'!$Z52+996.798*'BMP P Tracking Table'!$AA52))))),"")</f>
        <v>0.65200227606485961</v>
      </c>
      <c r="AG52" s="104">
        <f>IFERROR((VLOOKUP(CONCATENATE('BMP P Tracking Table'!$U52," ",'BMP P Tracking Table'!$AD52),'Performance Curves'!$C$1:$L$46,_xlfn.SINGLE(MATCH('BMP P Tracking Table'!$AF52,'Performance Curves'!$D$1:$L$1,1))+2,FALSE)-VLOOKUP(CONCATENATE('BMP P Tracking Table'!$U52," ",'BMP P Tracking Table'!$AD52),'Performance Curves'!$C$1:$L$46,_xlfn.SINGLE(MATCH('BMP P Tracking Table'!$AF52,'Performance Curves'!$D$1:$L$1,1))+1,FALSE)),"")</f>
        <v>2.0000000000000004E-2</v>
      </c>
      <c r="AH52" s="104">
        <f>IFERROR(('BMP P Tracking Table'!$AF52-INDEX('Performance Curves'!$D$1:$L$1,1,MATCH('BMP P Tracking Table'!$AF52,'Performance Curves'!$D$1:$L$1,1)))/(INDEX('Performance Curves'!$D$1:$L$1,1,MATCH('BMP P Tracking Table'!$AF52,'Performance Curves'!$D$1:$L$1,1)+1)-INDEX('Performance Curves'!$D$1:$L$1,1,MATCH('BMP P Tracking Table'!$AF52,'Performance Curves'!$D$1:$L$1,1))),"")</f>
        <v>0.26001138032429805</v>
      </c>
      <c r="AI52" s="103">
        <f>IFERROR(IF('BMP P Tracking Table'!$AF52=2,VLOOKUP(CONCATENATE('BMP P Tracking Table'!$U52," ",'BMP P Tracking Table'!$AD52),'Performance Curves'!$C$1:$L$46,_xlfn.SINGLE(MATCH('BMP P Tracking Table'!$AF52,'Performance Curves'!$D$1:$L$1,1))+1,FALSE),'BMP P Tracking Table'!$AG52*'BMP P Tracking Table'!$AH52+VLOOKUP(CONCATENATE('BMP P Tracking Table'!$U52," ",'BMP P Tracking Table'!$AD52),'Performance Curves'!$C$1:$L$46,_xlfn.SINGLE(MATCH('BMP P Tracking Table'!$AF52,'Performance Curves'!$D$1:$L$1,1))+1,FALSE)),"")</f>
        <v>9.5200227606485957E-2</v>
      </c>
      <c r="AJ52" s="104">
        <f>IFERROR('BMP P Tracking Table'!$AI52*'BMP P Tracking Table'!$AE52,"")</f>
        <v>0.94175301956074542</v>
      </c>
      <c r="AK52" s="65"/>
      <c r="AL52" s="98" t="s">
        <v>62</v>
      </c>
      <c r="AM52" s="98"/>
      <c r="AN52" s="64">
        <v>1</v>
      </c>
      <c r="AO52" s="102">
        <f t="shared" si="5"/>
        <v>0.94175301956074542</v>
      </c>
      <c r="AP52" s="98"/>
      <c r="AQ52" s="98"/>
      <c r="AR52" s="98"/>
      <c r="AS52" s="98"/>
      <c r="AT52" s="98"/>
      <c r="AU52" s="98"/>
      <c r="AV52" s="98"/>
      <c r="AW52" s="65"/>
      <c r="AX52" s="99"/>
      <c r="AY52" s="99"/>
      <c r="AZ52" s="104" t="str">
        <f>IF('BMP P Tracking Table'!$AL52="Yes",IF('BMP P Tracking Table'!$AM52="No",'BMP P Tracking Table'!$V52*VLOOKUP('BMP P Tracking Table'!$R52,'Loading Rates'!$B$1:$L$24,4,FALSE)+IF('BMP P Tracking Table'!$W52="By HSG",'BMP P Tracking Table'!$X52*VLOOKUP('BMP P Tracking Table'!$R52,'Loading Rates'!$B$1:$L$24,6,FALSE)+'BMP P Tracking Table'!$Y52*VLOOKUP('BMP P Tracking Table'!$R52,'Loading Rates'!$B$1:$L$24,7,FALSE)+'BMP P Tracking Table'!$Z52*VLOOKUP('BMP P Tracking Table'!$R52,'Loading Rates'!$B$1:$L$24,8,FALSE)+'BMP P Tracking Table'!$AA52*VLOOKUP('BMP P Tracking Table'!$R52,'Loading Rates'!$B$1:$L$24,9,FALSE),'BMP P Tracking Table'!$AB52*VLOOKUP('BMP P Tracking Table'!$R52,'Loading Rates'!$B$1:$L$24,10,FALSE)),'BMP P Tracking Table'!$AP52*VLOOKUP('BMP P Tracking Table'!$R52,'Loading Rates'!$B$1:$L$24,4,FALSE)+IF('BMP P Tracking Table'!$AQ52="By HSG",'BMP P Tracking Table'!$AR52*VLOOKUP('BMP P Tracking Table'!$R52,'Loading Rates'!$B$1:$L$24,6,FALSE)+'BMP P Tracking Table'!$AS52*VLOOKUP('BMP P Tracking Table'!$R52,'Loading Rates'!$B$1:$L$24,7,FALSE)+'BMP P Tracking Table'!$AT52*VLOOKUP('BMP P Tracking Table'!$R52,'Loading Rates'!$B$1:$L$24,8,FALSE)+'BMP P Tracking Table'!$AU52*VLOOKUP('BMP P Tracking Table'!$R52,'Loading Rates'!$B$1:$L$24,9,FALSE),'BMP P Tracking Table'!$AV52*VLOOKUP('BMP P Tracking Table'!$R52,'Loading Rates'!$B$1:$L$24,10,FALSE))),"")</f>
        <v/>
      </c>
      <c r="BA52" s="104">
        <f>IFERROR(IF('BMP P Tracking Table'!$AM52="Yes",MIN(2,IF('BMP P Tracking Table'!$AQ52="Total Pervious",(-(3630*'BMP P Tracking Table'!$AP52+20.691*'BMP P Tracking Table'!$AV52)+SQRT((3630*'BMP P Tracking Table'!$AP52+20.691*'BMP P Tracking Table'!$AV52)^2-(4*(996.798*'BMP P Tracking Table'!$AV52)*-'BMP P Tracking Table'!$AX52)))/(2*(996.798*'BMP P Tracking Table'!$AV52)),IF(SUM('BMP P Tracking Table'!$AR52:$AU52)=0,'BMP P Tracking Table'!$AV52/(-3630*'BMP P Tracking Table'!$AP52),(-(3630*'BMP P Tracking Table'!$AP52+20.691*'BMP P Tracking Table'!$AU52-216.711*'BMP P Tracking Table'!$AT52-83.853*'BMP P Tracking Table'!$AS52-42.834*'BMP P Tracking Table'!$AR52)+SQRT((3630*'BMP P Tracking Table'!$AP52+20.691*'BMP P Tracking Table'!$AU52-216.711*'BMP P Tracking Table'!$AT52-83.853*'BMP P Tracking Table'!$AS52-42.834*'BMP P Tracking Table'!$AR52)^2-(4*(149.919*'BMP P Tracking Table'!$AR52+236.676*'BMP P Tracking Table'!$AS52+726*'BMP P Tracking Table'!$AT52+996.798*'BMP P Tracking Table'!$AU52)*-'BMP P Tracking Table'!$AX52)))/(2*(149.919*'BMP P Tracking Table'!$AR52+236.676*'BMP P Tracking Table'!$AS52+726*'BMP P Tracking Table'!$AT52+996.798*'BMP P Tracking Table'!$AU52))))),MIN(2,IF('BMP P Tracking Table'!$AQ52="Total Pervious",(-(3630*'BMP P Tracking Table'!$V52+20.691*'BMP P Tracking Table'!$AB52)+SQRT((3630*'BMP P Tracking Table'!$V52+20.691*'BMP P Tracking Table'!$AB52)^2-(4*(996.798*'BMP P Tracking Table'!$AB52)*-'BMP P Tracking Table'!$AX52)))/(2*(996.798*'BMP P Tracking Table'!$AB52)),IF(SUM('BMP P Tracking Table'!$X52:$AA52)=0,'BMP P Tracking Table'!$AX52/(-3630*'BMP P Tracking Table'!$V52),(-(3630*'BMP P Tracking Table'!$V52+20.691*'BMP P Tracking Table'!$AA52-216.711*'BMP P Tracking Table'!$Z52-83.853*'BMP P Tracking Table'!$Y52-42.834*'BMP P Tracking Table'!$X52)+SQRT((3630*'BMP P Tracking Table'!$V52+20.691*'BMP P Tracking Table'!$AA52-216.711*'BMP P Tracking Table'!$Z52-83.853*'BMP P Tracking Table'!$Y52-42.834*'BMP P Tracking Table'!$X52)^2-(4*(149.919*'BMP P Tracking Table'!$X52+236.676*'BMP P Tracking Table'!$Y52+726*'BMP P Tracking Table'!$Z52+996.798*'BMP P Tracking Table'!$AA52)*-'BMP P Tracking Table'!$AX52)))/(2*(149.919*'BMP P Tracking Table'!$X52+236.676*'BMP P Tracking Table'!$Y52+726*'BMP P Tracking Table'!$Z52+996.798*'BMP P Tracking Table'!$AA52)))))),"")</f>
        <v>0</v>
      </c>
      <c r="BB52" s="102" t="str">
        <f>IFERROR((VLOOKUP(CONCATENATE('BMP P Tracking Table'!$AW52," ",'BMP P Tracking Table'!$AY52),'Performance Curves'!$C$1:$L$46,_xlfn.SINGLE(MATCH('BMP P Tracking Table'!$BA52,'Performance Curves'!$D$1:$L$1,1))+2,FALSE)-VLOOKUP(CONCATENATE('BMP P Tracking Table'!$AW52," ",'BMP P Tracking Table'!$AY52),'Performance Curves'!$C$1:$L$46,_xlfn.SINGLE(MATCH('BMP P Tracking Table'!$BA52,'Performance Curves'!$D$1:$L$1,1))+1,FALSE)),"")</f>
        <v/>
      </c>
      <c r="BC52" s="102">
        <f>IFERROR(('BMP P Tracking Table'!$BA52-INDEX('Performance Curves'!$D$1:$L$1,1,MATCH('BMP P Tracking Table'!$BA52,'Performance Curves'!$D$1:$L$1,1)))/(INDEX('Performance Curves'!$D$1:$L$1,1,MATCH('BMP P Tracking Table'!$BA52,'Performance Curves'!$D$1:$L$1,1)+1)-INDEX('Performance Curves'!$D$1:$L$1,1,MATCH('BMP P Tracking Table'!$BA52,'Performance Curves'!$D$1:$L$1,1))),"")</f>
        <v>0</v>
      </c>
      <c r="BD52" s="103" t="str" cm="1">
        <f t="array" ref="BD52">IFERROR(IF('BMP P Tracking Table'!$BA52=2,VLOOKUP(CONCATENATE('BMP P Tracking Table'!$AW52," ",'BMP P Tracking Table'!$AY52),'Performance Curves'!$C$1:$L$44,_xlfn.SINGLE(MATCH('BMP P Tracking Table'!$BA52,'Performance Curves'!$D$1:$L$1,1))+1,FALSE),'BMP P Tracking Table'!$BB52*'BMP P Tracking Table'!$BC52+VLOOKUP(CONCATENATE('BMP P Tracking Table'!$AW52," ",'BMP P Tracking Table'!$AY52),'Performance Curves'!$C$1:$L$44,_xlfn.SINGLE(MATCH('BMP P Tracking Table'!$BA52,'Performance Curves'!$D$1:$L$1,1))+1,FALSE)),"")</f>
        <v/>
      </c>
      <c r="BE52" s="104" t="str">
        <f>IFERROR('BMP P Tracking Table'!$BD52*'BMP P Tracking Table'!$AZ52,"")</f>
        <v/>
      </c>
      <c r="BF52" s="98"/>
      <c r="BG52" s="37">
        <f t="shared" si="6"/>
        <v>0</v>
      </c>
      <c r="BI52" s="36" t="str">
        <f t="shared" si="1"/>
        <v>3575-9010.R</v>
      </c>
      <c r="BJ52" s="36" t="str">
        <f t="shared" si="2"/>
        <v>Lang Farm Parcel I - Woodlands II S/N 001 (Basin)</v>
      </c>
    </row>
    <row r="53" spans="1:62" s="36" customFormat="1">
      <c r="A53" s="36" t="s">
        <v>369</v>
      </c>
      <c r="B53" s="65" t="s">
        <v>369</v>
      </c>
      <c r="C53" s="65" t="s">
        <v>618</v>
      </c>
      <c r="D53" s="65" t="s">
        <v>327</v>
      </c>
      <c r="E53" s="65" t="s">
        <v>9</v>
      </c>
      <c r="F53" s="94"/>
      <c r="G53" s="94"/>
      <c r="H53" s="65" t="s">
        <v>369</v>
      </c>
      <c r="I53" s="65"/>
      <c r="J53" s="65" t="s">
        <v>66</v>
      </c>
      <c r="K53" s="95"/>
      <c r="L53" s="65" t="s">
        <v>111</v>
      </c>
      <c r="M53" s="65"/>
      <c r="N53" s="199">
        <v>35353</v>
      </c>
      <c r="O53" s="65"/>
      <c r="P53" s="65"/>
      <c r="Q53" s="65" t="s">
        <v>119</v>
      </c>
      <c r="R53" s="65" t="s">
        <v>146</v>
      </c>
      <c r="S53" s="65" t="s">
        <v>129</v>
      </c>
      <c r="T53" s="65" t="s">
        <v>62</v>
      </c>
      <c r="U53" s="65" t="s">
        <v>215</v>
      </c>
      <c r="V53" s="65">
        <v>1.17</v>
      </c>
      <c r="W53" s="65" t="s">
        <v>219</v>
      </c>
      <c r="X53" s="65"/>
      <c r="Y53" s="65"/>
      <c r="Z53" s="65"/>
      <c r="AA53" s="65"/>
      <c r="AB53" s="65">
        <v>19.829999999999998</v>
      </c>
      <c r="AC53" s="97">
        <v>5100</v>
      </c>
      <c r="AD53" s="65"/>
      <c r="AE53" s="104">
        <f>IFERROR('BMP P Tracking Table'!$V53*VLOOKUP('BMP P Tracking Table'!$R53,'Loading Rates'!$B$1:$L$24,4,FALSE)+IF('BMP P Tracking Table'!$W53="By HSG",'BMP P Tracking Table'!$X53*VLOOKUP('BMP P Tracking Table'!$R53,'Loading Rates'!$B$1:$L$24,6,FALSE)+'BMP P Tracking Table'!$Y53*VLOOKUP('BMP P Tracking Table'!$R53,'Loading Rates'!$B$1:$L$24,7,FALSE)+'BMP P Tracking Table'!$Z53*VLOOKUP('BMP P Tracking Table'!$R53,'Loading Rates'!$B$1:$L$24,8,FALSE)+'BMP P Tracking Table'!$AA53*VLOOKUP('BMP P Tracking Table'!$R53,'Loading Rates'!$B$1:$L$24,9,FALSE),'BMP P Tracking Table'!$AB53*VLOOKUP('BMP P Tracking Table'!$R53,'Loading Rates'!$B$1:$L$24,10,FALSE)),"")</f>
        <v>5.8876200000000001</v>
      </c>
      <c r="AF53" s="104"/>
      <c r="AG53" s="104"/>
      <c r="AH53" s="104"/>
      <c r="AI53" s="103"/>
      <c r="AJ53" s="104"/>
      <c r="AK53" s="65"/>
      <c r="AL53" s="98"/>
      <c r="AM53" s="98"/>
      <c r="AN53" s="64"/>
      <c r="AO53" s="102"/>
      <c r="AP53" s="98"/>
      <c r="AQ53" s="98"/>
      <c r="AR53" s="98"/>
      <c r="AS53" s="98"/>
      <c r="AT53" s="98"/>
      <c r="AU53" s="98"/>
      <c r="AV53" s="98"/>
      <c r="AW53" s="65"/>
      <c r="AX53" s="99"/>
      <c r="AY53" s="99"/>
      <c r="AZ53" s="104"/>
      <c r="BA53" s="104"/>
      <c r="BB53" s="102"/>
      <c r="BC53" s="102"/>
      <c r="BD53" s="103"/>
      <c r="BE53" s="104"/>
      <c r="BF53" s="98"/>
      <c r="BG53" s="37"/>
      <c r="BI53" s="36" t="str">
        <f t="shared" si="1"/>
        <v>3575-9010.R</v>
      </c>
      <c r="BJ53" s="36" t="str">
        <f t="shared" si="2"/>
        <v>Lang Farm Parcel I - Woodlands II S/N 001 (Basin)</v>
      </c>
    </row>
    <row r="54" spans="1:62" s="36" customFormat="1">
      <c r="A54" s="36" t="s">
        <v>369</v>
      </c>
      <c r="B54" s="65" t="s">
        <v>369</v>
      </c>
      <c r="C54" s="65" t="s">
        <v>619</v>
      </c>
      <c r="D54" s="65" t="s">
        <v>327</v>
      </c>
      <c r="E54" s="65" t="s">
        <v>9</v>
      </c>
      <c r="F54" s="94"/>
      <c r="G54" s="94"/>
      <c r="H54" s="65" t="s">
        <v>369</v>
      </c>
      <c r="I54" s="65"/>
      <c r="J54" s="65" t="s">
        <v>66</v>
      </c>
      <c r="K54" s="95"/>
      <c r="L54" s="65" t="s">
        <v>111</v>
      </c>
      <c r="M54" s="65"/>
      <c r="N54" s="199">
        <v>35353</v>
      </c>
      <c r="O54" s="65"/>
      <c r="P54" s="65"/>
      <c r="Q54" s="65" t="s">
        <v>37</v>
      </c>
      <c r="R54" s="65" t="s">
        <v>150</v>
      </c>
      <c r="S54" s="65" t="s">
        <v>132</v>
      </c>
      <c r="T54" s="65" t="s">
        <v>62</v>
      </c>
      <c r="U54" s="65" t="s">
        <v>215</v>
      </c>
      <c r="V54" s="65">
        <v>3.26</v>
      </c>
      <c r="W54" s="65" t="s">
        <v>219</v>
      </c>
      <c r="X54" s="65"/>
      <c r="Y54" s="65"/>
      <c r="Z54" s="65"/>
      <c r="AA54" s="65"/>
      <c r="AB54" s="65">
        <f>13-V54</f>
        <v>9.74</v>
      </c>
      <c r="AC54" s="97">
        <v>11709</v>
      </c>
      <c r="AD54" s="65"/>
      <c r="AE54" s="104">
        <f>IFERROR('BMP P Tracking Table'!$V54*VLOOKUP('BMP P Tracking Table'!$R54,'Loading Rates'!$B$1:$L$24,4,FALSE)+IF('BMP P Tracking Table'!$W54="By HSG",'BMP P Tracking Table'!$X54*VLOOKUP('BMP P Tracking Table'!$R54,'Loading Rates'!$B$1:$L$24,6,FALSE)+'BMP P Tracking Table'!$Y54*VLOOKUP('BMP P Tracking Table'!$R54,'Loading Rates'!$B$1:$L$24,7,FALSE)+'BMP P Tracking Table'!$Z54*VLOOKUP('BMP P Tracking Table'!$R54,'Loading Rates'!$B$1:$L$24,8,FALSE)+'BMP P Tracking Table'!$AA54*VLOOKUP('BMP P Tracking Table'!$R54,'Loading Rates'!$B$1:$L$24,9,FALSE),'BMP P Tracking Table'!$AB54*VLOOKUP('BMP P Tracking Table'!$R54,'Loading Rates'!$B$1:$L$24,10,FALSE)),"")</f>
        <v>2.8063799999999999</v>
      </c>
      <c r="AF54" s="104">
        <f>IFERROR(MIN(2,IF('BMP P Tracking Table'!$W54="Total Pervious",(-(3630*'BMP P Tracking Table'!$V54+20.691*'BMP P Tracking Table'!$AB54)+SQRT((3630*'BMP P Tracking Table'!$V54+20.691*'BMP P Tracking Table'!$AB54)^2-(4*(996.798*'BMP P Tracking Table'!$AB54)*-'BMP P Tracking Table'!$AC54)))/(2*(996.798*'BMP P Tracking Table'!$AB54)),IF(SUM('BMP P Tracking Table'!$X54:$AA54)=0,'BMP P Tracking Table'!$AC54/(-3630*'BMP P Tracking Table'!$V54),(-(3630*'BMP P Tracking Table'!$V54+20.691*'BMP P Tracking Table'!$AA54-216.711*'BMP P Tracking Table'!$Z54-83.853*'BMP P Tracking Table'!$Y54-42.834*'BMP P Tracking Table'!$X54)+SQRT((3630*'BMP P Tracking Table'!$V54+20.691*'BMP P Tracking Table'!$AA54-216.711*'BMP P Tracking Table'!$Z54-83.853*'BMP P Tracking Table'!$Y54-42.834*'BMP P Tracking Table'!$X54)^2-(4*(149.919*'BMP P Tracking Table'!$X54+236.676*'BMP P Tracking Table'!$Y54+726*'BMP P Tracking Table'!$Z54+996.798*'BMP P Tracking Table'!$AA54)*-'BMP P Tracking Table'!$AC54)))/(2*(149.919*'BMP P Tracking Table'!$X54+236.676*'BMP P Tracking Table'!$Y54+726*'BMP P Tracking Table'!$Z54+996.798*'BMP P Tracking Table'!$AA54))))),"")</f>
        <v>0.6412118378161471</v>
      </c>
      <c r="AG54" s="104">
        <f>IFERROR((VLOOKUP(CONCATENATE('BMP P Tracking Table'!$U54," ",'BMP P Tracking Table'!$AD54),'Performance Curves'!$C$1:$L$46,_xlfn.SINGLE(MATCH('BMP P Tracking Table'!$AF54,'Performance Curves'!$D$1:$L$1,1))+2,FALSE)-VLOOKUP(CONCATENATE('BMP P Tracking Table'!$U54," ",'BMP P Tracking Table'!$AD54),'Performance Curves'!$C$1:$L$46,_xlfn.SINGLE(MATCH('BMP P Tracking Table'!$AF54,'Performance Curves'!$D$1:$L$1,1))+1,FALSE)),"")</f>
        <v>2.0000000000000004E-2</v>
      </c>
      <c r="AH54" s="104">
        <f>IFERROR(('BMP P Tracking Table'!$AF54-INDEX('Performance Curves'!$D$1:$L$1,1,MATCH('BMP P Tracking Table'!$AF54,'Performance Curves'!$D$1:$L$1,1)))/(INDEX('Performance Curves'!$D$1:$L$1,1,MATCH('BMP P Tracking Table'!$AF54,'Performance Curves'!$D$1:$L$1,1)+1)-INDEX('Performance Curves'!$D$1:$L$1,1,MATCH('BMP P Tracking Table'!$AF54,'Performance Curves'!$D$1:$L$1,1))),"")</f>
        <v>0.20605918908073556</v>
      </c>
      <c r="AI54" s="103">
        <f>IFERROR(IF('BMP P Tracking Table'!$AF54=2,VLOOKUP(CONCATENATE('BMP P Tracking Table'!$U54," ",'BMP P Tracking Table'!$AD54),'Performance Curves'!$C$1:$L$46,_xlfn.SINGLE(MATCH('BMP P Tracking Table'!$AF54,'Performance Curves'!$D$1:$L$1,1))+1,FALSE),'BMP P Tracking Table'!$AG54*'BMP P Tracking Table'!$AH54+VLOOKUP(CONCATENATE('BMP P Tracking Table'!$U54," ",'BMP P Tracking Table'!$AD54),'Performance Curves'!$C$1:$L$46,_xlfn.SINGLE(MATCH('BMP P Tracking Table'!$AF54,'Performance Curves'!$D$1:$L$1,1))+1,FALSE)),"")</f>
        <v>9.4121183781614715E-2</v>
      </c>
      <c r="AJ54" s="104">
        <f>IFERROR('BMP P Tracking Table'!$AI54*'BMP P Tracking Table'!$AE54,"")</f>
        <v>0.26413980774104789</v>
      </c>
      <c r="AK54" s="65"/>
      <c r="AL54" s="98" t="s">
        <v>62</v>
      </c>
      <c r="AM54" s="98"/>
      <c r="AN54" s="64">
        <v>1</v>
      </c>
      <c r="AO54" s="102">
        <f t="shared" si="5"/>
        <v>0.26413980774104789</v>
      </c>
      <c r="AP54" s="98"/>
      <c r="AQ54" s="98"/>
      <c r="AR54" s="98"/>
      <c r="AS54" s="98"/>
      <c r="AT54" s="98"/>
      <c r="AU54" s="98"/>
      <c r="AV54" s="98"/>
      <c r="AW54" s="65"/>
      <c r="AX54" s="99"/>
      <c r="AY54" s="99"/>
      <c r="AZ54" s="104" t="str">
        <f>IF('BMP P Tracking Table'!$AL54="Yes",IF('BMP P Tracking Table'!$AM54="No",'BMP P Tracking Table'!$V54*VLOOKUP('BMP P Tracking Table'!$R54,'Loading Rates'!$B$1:$L$24,4,FALSE)+IF('BMP P Tracking Table'!$W54="By HSG",'BMP P Tracking Table'!$X54*VLOOKUP('BMP P Tracking Table'!$R54,'Loading Rates'!$B$1:$L$24,6,FALSE)+'BMP P Tracking Table'!$Y54*VLOOKUP('BMP P Tracking Table'!$R54,'Loading Rates'!$B$1:$L$24,7,FALSE)+'BMP P Tracking Table'!$Z54*VLOOKUP('BMP P Tracking Table'!$R54,'Loading Rates'!$B$1:$L$24,8,FALSE)+'BMP P Tracking Table'!$AA54*VLOOKUP('BMP P Tracking Table'!$R54,'Loading Rates'!$B$1:$L$24,9,FALSE),'BMP P Tracking Table'!$AB54*VLOOKUP('BMP P Tracking Table'!$R54,'Loading Rates'!$B$1:$L$24,10,FALSE)),'BMP P Tracking Table'!$AP54*VLOOKUP('BMP P Tracking Table'!$R54,'Loading Rates'!$B$1:$L$24,4,FALSE)+IF('BMP P Tracking Table'!$AQ54="By HSG",'BMP P Tracking Table'!$AR54*VLOOKUP('BMP P Tracking Table'!$R54,'Loading Rates'!$B$1:$L$24,6,FALSE)+'BMP P Tracking Table'!$AS54*VLOOKUP('BMP P Tracking Table'!$R54,'Loading Rates'!$B$1:$L$24,7,FALSE)+'BMP P Tracking Table'!$AT54*VLOOKUP('BMP P Tracking Table'!$R54,'Loading Rates'!$B$1:$L$24,8,FALSE)+'BMP P Tracking Table'!$AU54*VLOOKUP('BMP P Tracking Table'!$R54,'Loading Rates'!$B$1:$L$24,9,FALSE),'BMP P Tracking Table'!$AV54*VLOOKUP('BMP P Tracking Table'!$R54,'Loading Rates'!$B$1:$L$24,10,FALSE))),"")</f>
        <v/>
      </c>
      <c r="BA54" s="104">
        <f>IFERROR(IF('BMP P Tracking Table'!$AM54="Yes",MIN(2,IF('BMP P Tracking Table'!$AQ54="Total Pervious",(-(3630*'BMP P Tracking Table'!$AP54+20.691*'BMP P Tracking Table'!$AV54)+SQRT((3630*'BMP P Tracking Table'!$AP54+20.691*'BMP P Tracking Table'!$AV54)^2-(4*(996.798*'BMP P Tracking Table'!$AV54)*-'BMP P Tracking Table'!$AX54)))/(2*(996.798*'BMP P Tracking Table'!$AV54)),IF(SUM('BMP P Tracking Table'!$AR54:$AU54)=0,'BMP P Tracking Table'!$AV54/(-3630*'BMP P Tracking Table'!$AP54),(-(3630*'BMP P Tracking Table'!$AP54+20.691*'BMP P Tracking Table'!$AU54-216.711*'BMP P Tracking Table'!$AT54-83.853*'BMP P Tracking Table'!$AS54-42.834*'BMP P Tracking Table'!$AR54)+SQRT((3630*'BMP P Tracking Table'!$AP54+20.691*'BMP P Tracking Table'!$AU54-216.711*'BMP P Tracking Table'!$AT54-83.853*'BMP P Tracking Table'!$AS54-42.834*'BMP P Tracking Table'!$AR54)^2-(4*(149.919*'BMP P Tracking Table'!$AR54+236.676*'BMP P Tracking Table'!$AS54+726*'BMP P Tracking Table'!$AT54+996.798*'BMP P Tracking Table'!$AU54)*-'BMP P Tracking Table'!$AX54)))/(2*(149.919*'BMP P Tracking Table'!$AR54+236.676*'BMP P Tracking Table'!$AS54+726*'BMP P Tracking Table'!$AT54+996.798*'BMP P Tracking Table'!$AU54))))),MIN(2,IF('BMP P Tracking Table'!$AQ54="Total Pervious",(-(3630*'BMP P Tracking Table'!$V54+20.691*'BMP P Tracking Table'!$AB54)+SQRT((3630*'BMP P Tracking Table'!$V54+20.691*'BMP P Tracking Table'!$AB54)^2-(4*(996.798*'BMP P Tracking Table'!$AB54)*-'BMP P Tracking Table'!$AX54)))/(2*(996.798*'BMP P Tracking Table'!$AB54)),IF(SUM('BMP P Tracking Table'!$X54:$AA54)=0,'BMP P Tracking Table'!$AX54/(-3630*'BMP P Tracking Table'!$V54),(-(3630*'BMP P Tracking Table'!$V54+20.691*'BMP P Tracking Table'!$AA54-216.711*'BMP P Tracking Table'!$Z54-83.853*'BMP P Tracking Table'!$Y54-42.834*'BMP P Tracking Table'!$X54)+SQRT((3630*'BMP P Tracking Table'!$V54+20.691*'BMP P Tracking Table'!$AA54-216.711*'BMP P Tracking Table'!$Z54-83.853*'BMP P Tracking Table'!$Y54-42.834*'BMP P Tracking Table'!$X54)^2-(4*(149.919*'BMP P Tracking Table'!$X54+236.676*'BMP P Tracking Table'!$Y54+726*'BMP P Tracking Table'!$Z54+996.798*'BMP P Tracking Table'!$AA54)*-'BMP P Tracking Table'!$AX54)))/(2*(149.919*'BMP P Tracking Table'!$X54+236.676*'BMP P Tracking Table'!$Y54+726*'BMP P Tracking Table'!$Z54+996.798*'BMP P Tracking Table'!$AA54)))))),"")</f>
        <v>0</v>
      </c>
      <c r="BB54" s="102" t="str">
        <f>IFERROR((VLOOKUP(CONCATENATE('BMP P Tracking Table'!$AW54," ",'BMP P Tracking Table'!$AY54),'Performance Curves'!$C$1:$L$46,_xlfn.SINGLE(MATCH('BMP P Tracking Table'!$BA54,'Performance Curves'!$D$1:$L$1,1))+2,FALSE)-VLOOKUP(CONCATENATE('BMP P Tracking Table'!$AW54," ",'BMP P Tracking Table'!$AY54),'Performance Curves'!$C$1:$L$46,_xlfn.SINGLE(MATCH('BMP P Tracking Table'!$BA54,'Performance Curves'!$D$1:$L$1,1))+1,FALSE)),"")</f>
        <v/>
      </c>
      <c r="BC54" s="102">
        <f>IFERROR(('BMP P Tracking Table'!$BA54-INDEX('Performance Curves'!$D$1:$L$1,1,MATCH('BMP P Tracking Table'!$BA54,'Performance Curves'!$D$1:$L$1,1)))/(INDEX('Performance Curves'!$D$1:$L$1,1,MATCH('BMP P Tracking Table'!$BA54,'Performance Curves'!$D$1:$L$1,1)+1)-INDEX('Performance Curves'!$D$1:$L$1,1,MATCH('BMP P Tracking Table'!$BA54,'Performance Curves'!$D$1:$L$1,1))),"")</f>
        <v>0</v>
      </c>
      <c r="BD54" s="103" t="str" cm="1">
        <f t="array" ref="BD54">IFERROR(IF('BMP P Tracking Table'!$BA54=2,VLOOKUP(CONCATENATE('BMP P Tracking Table'!$AW54," ",'BMP P Tracking Table'!$AY54),'Performance Curves'!$C$1:$L$44,_xlfn.SINGLE(MATCH('BMP P Tracking Table'!$BA54,'Performance Curves'!$D$1:$L$1,1))+1,FALSE),'BMP P Tracking Table'!$BB54*'BMP P Tracking Table'!$BC54+VLOOKUP(CONCATENATE('BMP P Tracking Table'!$AW54," ",'BMP P Tracking Table'!$AY54),'Performance Curves'!$C$1:$L$44,_xlfn.SINGLE(MATCH('BMP P Tracking Table'!$BA54,'Performance Curves'!$D$1:$L$1,1))+1,FALSE)),"")</f>
        <v/>
      </c>
      <c r="BE54" s="104" t="str">
        <f>IFERROR('BMP P Tracking Table'!$BD54*'BMP P Tracking Table'!$AZ54,"")</f>
        <v/>
      </c>
      <c r="BF54" s="98"/>
      <c r="BG54" s="37">
        <f t="shared" si="6"/>
        <v>0</v>
      </c>
      <c r="BI54" s="36" t="str">
        <f t="shared" si="1"/>
        <v>3575-9010.R</v>
      </c>
      <c r="BJ54" s="36" t="str">
        <f t="shared" si="2"/>
        <v>Lang Farm Parcel I - Woodlands II S/N 001 (South Forebay)</v>
      </c>
    </row>
    <row r="55" spans="1:62" s="36" customFormat="1">
      <c r="A55" s="36" t="s">
        <v>369</v>
      </c>
      <c r="B55" s="65" t="s">
        <v>369</v>
      </c>
      <c r="C55" s="65" t="s">
        <v>620</v>
      </c>
      <c r="D55" s="65" t="s">
        <v>327</v>
      </c>
      <c r="E55" s="65" t="s">
        <v>9</v>
      </c>
      <c r="F55" s="94"/>
      <c r="G55" s="94"/>
      <c r="H55" s="65" t="s">
        <v>369</v>
      </c>
      <c r="I55" s="65"/>
      <c r="J55" s="65" t="s">
        <v>66</v>
      </c>
      <c r="K55" s="95"/>
      <c r="L55" s="65" t="s">
        <v>111</v>
      </c>
      <c r="M55" s="65"/>
      <c r="N55" s="199">
        <v>35353</v>
      </c>
      <c r="O55" s="65"/>
      <c r="P55" s="65"/>
      <c r="Q55" s="65" t="s">
        <v>37</v>
      </c>
      <c r="R55" s="65" t="s">
        <v>150</v>
      </c>
      <c r="S55" s="65" t="s">
        <v>132</v>
      </c>
      <c r="T55" s="65" t="s">
        <v>62</v>
      </c>
      <c r="U55" s="65" t="s">
        <v>215</v>
      </c>
      <c r="V55" s="65">
        <v>2.4300000000000002</v>
      </c>
      <c r="W55" s="65" t="s">
        <v>219</v>
      </c>
      <c r="X55" s="65"/>
      <c r="Y55" s="65"/>
      <c r="Z55" s="65"/>
      <c r="AA55" s="65"/>
      <c r="AB55" s="65">
        <f>8-V55</f>
        <v>5.57</v>
      </c>
      <c r="AC55" s="97">
        <v>8452</v>
      </c>
      <c r="AD55" s="65"/>
      <c r="AE55" s="104">
        <f>IFERROR('BMP P Tracking Table'!$V55*VLOOKUP('BMP P Tracking Table'!$R55,'Loading Rates'!$B$1:$L$24,4,FALSE)+IF('BMP P Tracking Table'!$W55="By HSG",'BMP P Tracking Table'!$X55*VLOOKUP('BMP P Tracking Table'!$R55,'Loading Rates'!$B$1:$L$24,6,FALSE)+'BMP P Tracking Table'!$Y55*VLOOKUP('BMP P Tracking Table'!$R55,'Loading Rates'!$B$1:$L$24,7,FALSE)+'BMP P Tracking Table'!$Z55*VLOOKUP('BMP P Tracking Table'!$R55,'Loading Rates'!$B$1:$L$24,8,FALSE)+'BMP P Tracking Table'!$AA55*VLOOKUP('BMP P Tracking Table'!$R55,'Loading Rates'!$B$1:$L$24,9,FALSE),'BMP P Tracking Table'!$AB55*VLOOKUP('BMP P Tracking Table'!$R55,'Loading Rates'!$B$1:$L$24,10,FALSE)),"")</f>
        <v>2.07159</v>
      </c>
      <c r="AF55" s="104">
        <f>IFERROR(MIN(2,IF('BMP P Tracking Table'!$W55="Total Pervious",(-(3630*'BMP P Tracking Table'!$V55+20.691*'BMP P Tracking Table'!$AB55)+SQRT((3630*'BMP P Tracking Table'!$V55+20.691*'BMP P Tracking Table'!$AB55)^2-(4*(996.798*'BMP P Tracking Table'!$AB55)*-'BMP P Tracking Table'!$AC55)))/(2*(996.798*'BMP P Tracking Table'!$AB55)),IF(SUM('BMP P Tracking Table'!$X55:$AA55)=0,'BMP P Tracking Table'!$AC55/(-3630*'BMP P Tracking Table'!$V55),(-(3630*'BMP P Tracking Table'!$V55+20.691*'BMP P Tracking Table'!$AA55-216.711*'BMP P Tracking Table'!$Z55-83.853*'BMP P Tracking Table'!$Y55-42.834*'BMP P Tracking Table'!$X55)+SQRT((3630*'BMP P Tracking Table'!$V55+20.691*'BMP P Tracking Table'!$AA55-216.711*'BMP P Tracking Table'!$Z55-83.853*'BMP P Tracking Table'!$Y55-42.834*'BMP P Tracking Table'!$X55)^2-(4*(149.919*'BMP P Tracking Table'!$X55+236.676*'BMP P Tracking Table'!$Y55+726*'BMP P Tracking Table'!$Z55+996.798*'BMP P Tracking Table'!$AA55)*-'BMP P Tracking Table'!$AC55)))/(2*(149.919*'BMP P Tracking Table'!$X55+236.676*'BMP P Tracking Table'!$Y55+726*'BMP P Tracking Table'!$Z55+996.798*'BMP P Tracking Table'!$AA55))))),"")</f>
        <v>0.66831447005332001</v>
      </c>
      <c r="AG55" s="104">
        <f>IFERROR((VLOOKUP(CONCATENATE('BMP P Tracking Table'!$U55," ",'BMP P Tracking Table'!$AD55),'Performance Curves'!$C$1:$L$46,_xlfn.SINGLE(MATCH('BMP P Tracking Table'!$AF55,'Performance Curves'!$D$1:$L$1,1))+2,FALSE)-VLOOKUP(CONCATENATE('BMP P Tracking Table'!$U55," ",'BMP P Tracking Table'!$AD55),'Performance Curves'!$C$1:$L$46,_xlfn.SINGLE(MATCH('BMP P Tracking Table'!$AF55,'Performance Curves'!$D$1:$L$1,1))+1,FALSE)),"")</f>
        <v>2.0000000000000004E-2</v>
      </c>
      <c r="AH55" s="104">
        <f>IFERROR(('BMP P Tracking Table'!$AF55-INDEX('Performance Curves'!$D$1:$L$1,1,MATCH('BMP P Tracking Table'!$AF55,'Performance Curves'!$D$1:$L$1,1)))/(INDEX('Performance Curves'!$D$1:$L$1,1,MATCH('BMP P Tracking Table'!$AF55,'Performance Curves'!$D$1:$L$1,1)+1)-INDEX('Performance Curves'!$D$1:$L$1,1,MATCH('BMP P Tracking Table'!$AF55,'Performance Curves'!$D$1:$L$1,1))),"")</f>
        <v>0.34157235026660004</v>
      </c>
      <c r="AI55" s="103">
        <f>IFERROR(IF('BMP P Tracking Table'!$AF55=2,VLOOKUP(CONCATENATE('BMP P Tracking Table'!$U55," ",'BMP P Tracking Table'!$AD55),'Performance Curves'!$C$1:$L$46,_xlfn.SINGLE(MATCH('BMP P Tracking Table'!$AF55,'Performance Curves'!$D$1:$L$1,1))+1,FALSE),'BMP P Tracking Table'!$AG55*'BMP P Tracking Table'!$AH55+VLOOKUP(CONCATENATE('BMP P Tracking Table'!$U55," ",'BMP P Tracking Table'!$AD55),'Performance Curves'!$C$1:$L$46,_xlfn.SINGLE(MATCH('BMP P Tracking Table'!$AF55,'Performance Curves'!$D$1:$L$1,1))+1,FALSE)),"")</f>
        <v>9.6831447005332E-2</v>
      </c>
      <c r="AJ55" s="104">
        <f>IFERROR('BMP P Tracking Table'!$AI55*'BMP P Tracking Table'!$AE55,"")</f>
        <v>0.20059505730177571</v>
      </c>
      <c r="AK55" s="65"/>
      <c r="AL55" s="98" t="s">
        <v>62</v>
      </c>
      <c r="AM55" s="98"/>
      <c r="AN55" s="64">
        <v>1</v>
      </c>
      <c r="AO55" s="102">
        <f t="shared" si="5"/>
        <v>0.20059505730177571</v>
      </c>
      <c r="AP55" s="98"/>
      <c r="AQ55" s="98"/>
      <c r="AR55" s="98"/>
      <c r="AS55" s="98"/>
      <c r="AT55" s="98"/>
      <c r="AU55" s="98"/>
      <c r="AV55" s="98"/>
      <c r="AW55" s="65"/>
      <c r="AX55" s="99"/>
      <c r="AY55" s="99"/>
      <c r="AZ55" s="104" t="str">
        <f>IF('BMP P Tracking Table'!$AL55="Yes",IF('BMP P Tracking Table'!$AM55="No",'BMP P Tracking Table'!$V55*VLOOKUP('BMP P Tracking Table'!$R55,'Loading Rates'!$B$1:$L$24,4,FALSE)+IF('BMP P Tracking Table'!$W55="By HSG",'BMP P Tracking Table'!$X55*VLOOKUP('BMP P Tracking Table'!$R55,'Loading Rates'!$B$1:$L$24,6,FALSE)+'BMP P Tracking Table'!$Y55*VLOOKUP('BMP P Tracking Table'!$R55,'Loading Rates'!$B$1:$L$24,7,FALSE)+'BMP P Tracking Table'!$Z55*VLOOKUP('BMP P Tracking Table'!$R55,'Loading Rates'!$B$1:$L$24,8,FALSE)+'BMP P Tracking Table'!$AA55*VLOOKUP('BMP P Tracking Table'!$R55,'Loading Rates'!$B$1:$L$24,9,FALSE),'BMP P Tracking Table'!$AB55*VLOOKUP('BMP P Tracking Table'!$R55,'Loading Rates'!$B$1:$L$24,10,FALSE)),'BMP P Tracking Table'!$AP55*VLOOKUP('BMP P Tracking Table'!$R55,'Loading Rates'!$B$1:$L$24,4,FALSE)+IF('BMP P Tracking Table'!$AQ55="By HSG",'BMP P Tracking Table'!$AR55*VLOOKUP('BMP P Tracking Table'!$R55,'Loading Rates'!$B$1:$L$24,6,FALSE)+'BMP P Tracking Table'!$AS55*VLOOKUP('BMP P Tracking Table'!$R55,'Loading Rates'!$B$1:$L$24,7,FALSE)+'BMP P Tracking Table'!$AT55*VLOOKUP('BMP P Tracking Table'!$R55,'Loading Rates'!$B$1:$L$24,8,FALSE)+'BMP P Tracking Table'!$AU55*VLOOKUP('BMP P Tracking Table'!$R55,'Loading Rates'!$B$1:$L$24,9,FALSE),'BMP P Tracking Table'!$AV55*VLOOKUP('BMP P Tracking Table'!$R55,'Loading Rates'!$B$1:$L$24,10,FALSE))),"")</f>
        <v/>
      </c>
      <c r="BA55" s="104">
        <f>IFERROR(IF('BMP P Tracking Table'!$AM55="Yes",MIN(2,IF('BMP P Tracking Table'!$AQ55="Total Pervious",(-(3630*'BMP P Tracking Table'!$AP55+20.691*'BMP P Tracking Table'!$AV55)+SQRT((3630*'BMP P Tracking Table'!$AP55+20.691*'BMP P Tracking Table'!$AV55)^2-(4*(996.798*'BMP P Tracking Table'!$AV55)*-'BMP P Tracking Table'!$AX55)))/(2*(996.798*'BMP P Tracking Table'!$AV55)),IF(SUM('BMP P Tracking Table'!$AR55:$AU55)=0,'BMP P Tracking Table'!$AV55/(-3630*'BMP P Tracking Table'!$AP55),(-(3630*'BMP P Tracking Table'!$AP55+20.691*'BMP P Tracking Table'!$AU55-216.711*'BMP P Tracking Table'!$AT55-83.853*'BMP P Tracking Table'!$AS55-42.834*'BMP P Tracking Table'!$AR55)+SQRT((3630*'BMP P Tracking Table'!$AP55+20.691*'BMP P Tracking Table'!$AU55-216.711*'BMP P Tracking Table'!$AT55-83.853*'BMP P Tracking Table'!$AS55-42.834*'BMP P Tracking Table'!$AR55)^2-(4*(149.919*'BMP P Tracking Table'!$AR55+236.676*'BMP P Tracking Table'!$AS55+726*'BMP P Tracking Table'!$AT55+996.798*'BMP P Tracking Table'!$AU55)*-'BMP P Tracking Table'!$AX55)))/(2*(149.919*'BMP P Tracking Table'!$AR55+236.676*'BMP P Tracking Table'!$AS55+726*'BMP P Tracking Table'!$AT55+996.798*'BMP P Tracking Table'!$AU55))))),MIN(2,IF('BMP P Tracking Table'!$AQ55="Total Pervious",(-(3630*'BMP P Tracking Table'!$V55+20.691*'BMP P Tracking Table'!$AB55)+SQRT((3630*'BMP P Tracking Table'!$V55+20.691*'BMP P Tracking Table'!$AB55)^2-(4*(996.798*'BMP P Tracking Table'!$AB55)*-'BMP P Tracking Table'!$AX55)))/(2*(996.798*'BMP P Tracking Table'!$AB55)),IF(SUM('BMP P Tracking Table'!$X55:$AA55)=0,'BMP P Tracking Table'!$AX55/(-3630*'BMP P Tracking Table'!$V55),(-(3630*'BMP P Tracking Table'!$V55+20.691*'BMP P Tracking Table'!$AA55-216.711*'BMP P Tracking Table'!$Z55-83.853*'BMP P Tracking Table'!$Y55-42.834*'BMP P Tracking Table'!$X55)+SQRT((3630*'BMP P Tracking Table'!$V55+20.691*'BMP P Tracking Table'!$AA55-216.711*'BMP P Tracking Table'!$Z55-83.853*'BMP P Tracking Table'!$Y55-42.834*'BMP P Tracking Table'!$X55)^2-(4*(149.919*'BMP P Tracking Table'!$X55+236.676*'BMP P Tracking Table'!$Y55+726*'BMP P Tracking Table'!$Z55+996.798*'BMP P Tracking Table'!$AA55)*-'BMP P Tracking Table'!$AX55)))/(2*(149.919*'BMP P Tracking Table'!$X55+236.676*'BMP P Tracking Table'!$Y55+726*'BMP P Tracking Table'!$Z55+996.798*'BMP P Tracking Table'!$AA55)))))),"")</f>
        <v>0</v>
      </c>
      <c r="BB55" s="102" t="str">
        <f>IFERROR((VLOOKUP(CONCATENATE('BMP P Tracking Table'!$AW55," ",'BMP P Tracking Table'!$AY55),'Performance Curves'!$C$1:$L$46,_xlfn.SINGLE(MATCH('BMP P Tracking Table'!$BA55,'Performance Curves'!$D$1:$L$1,1))+2,FALSE)-VLOOKUP(CONCATENATE('BMP P Tracking Table'!$AW55," ",'BMP P Tracking Table'!$AY55),'Performance Curves'!$C$1:$L$46,_xlfn.SINGLE(MATCH('BMP P Tracking Table'!$BA55,'Performance Curves'!$D$1:$L$1,1))+1,FALSE)),"")</f>
        <v/>
      </c>
      <c r="BC55" s="102">
        <f>IFERROR(('BMP P Tracking Table'!$BA55-INDEX('Performance Curves'!$D$1:$L$1,1,MATCH('BMP P Tracking Table'!$BA55,'Performance Curves'!$D$1:$L$1,1)))/(INDEX('Performance Curves'!$D$1:$L$1,1,MATCH('BMP P Tracking Table'!$BA55,'Performance Curves'!$D$1:$L$1,1)+1)-INDEX('Performance Curves'!$D$1:$L$1,1,MATCH('BMP P Tracking Table'!$BA55,'Performance Curves'!$D$1:$L$1,1))),"")</f>
        <v>0</v>
      </c>
      <c r="BD55" s="103" t="str" cm="1">
        <f t="array" ref="BD55">IFERROR(IF('BMP P Tracking Table'!$BA55=2,VLOOKUP(CONCATENATE('BMP P Tracking Table'!$AW55," ",'BMP P Tracking Table'!$AY55),'Performance Curves'!$C$1:$L$44,_xlfn.SINGLE(MATCH('BMP P Tracking Table'!$BA55,'Performance Curves'!$D$1:$L$1,1))+1,FALSE),'BMP P Tracking Table'!$BB55*'BMP P Tracking Table'!$BC55+VLOOKUP(CONCATENATE('BMP P Tracking Table'!$AW55," ",'BMP P Tracking Table'!$AY55),'Performance Curves'!$C$1:$L$44,_xlfn.SINGLE(MATCH('BMP P Tracking Table'!$BA55,'Performance Curves'!$D$1:$L$1,1))+1,FALSE)),"")</f>
        <v/>
      </c>
      <c r="BE55" s="104" t="str">
        <f>IFERROR('BMP P Tracking Table'!$BD55*'BMP P Tracking Table'!$AZ55,"")</f>
        <v/>
      </c>
      <c r="BF55" s="98"/>
      <c r="BG55" s="37">
        <f t="shared" si="6"/>
        <v>0</v>
      </c>
      <c r="BI55" s="36" t="str">
        <f t="shared" si="1"/>
        <v>3575-9010.R</v>
      </c>
      <c r="BJ55" s="36" t="str">
        <f t="shared" si="2"/>
        <v>Lang Farm Parcel I - Woodlands II S/N 001 (North Forebay)</v>
      </c>
    </row>
    <row r="56" spans="1:62" s="36" customFormat="1">
      <c r="A56" s="36" t="s">
        <v>372</v>
      </c>
      <c r="B56" s="65" t="s">
        <v>372</v>
      </c>
      <c r="C56" s="65" t="s">
        <v>621</v>
      </c>
      <c r="D56" s="65" t="s">
        <v>327</v>
      </c>
      <c r="E56" s="65" t="s">
        <v>9</v>
      </c>
      <c r="F56" s="94"/>
      <c r="G56" s="94"/>
      <c r="H56" s="65" t="s">
        <v>372</v>
      </c>
      <c r="I56" s="65"/>
      <c r="J56" s="65" t="s">
        <v>66</v>
      </c>
      <c r="K56" s="95"/>
      <c r="L56" s="65" t="s">
        <v>111</v>
      </c>
      <c r="M56" s="65"/>
      <c r="N56" s="199" t="s">
        <v>643</v>
      </c>
      <c r="O56" s="65"/>
      <c r="P56" s="65"/>
      <c r="Q56" s="65" t="s">
        <v>119</v>
      </c>
      <c r="R56" s="65" t="s">
        <v>146</v>
      </c>
      <c r="S56" s="65" t="s">
        <v>129</v>
      </c>
      <c r="T56" s="65" t="s">
        <v>62</v>
      </c>
      <c r="U56" s="65" t="s">
        <v>47</v>
      </c>
      <c r="V56" s="65">
        <v>2.2000000000000002</v>
      </c>
      <c r="W56" s="65" t="s">
        <v>219</v>
      </c>
      <c r="X56" s="65"/>
      <c r="Y56" s="65"/>
      <c r="Z56" s="65"/>
      <c r="AA56" s="65"/>
      <c r="AB56" s="65">
        <v>10.4</v>
      </c>
      <c r="AC56" s="97"/>
      <c r="AD56" s="65"/>
      <c r="AE56" s="104">
        <f>IFERROR('BMP P Tracking Table'!$V56*VLOOKUP('BMP P Tracking Table'!$R56,'Loading Rates'!$B$1:$L$24,4,FALSE)+IF('BMP P Tracking Table'!$W56="By HSG",'BMP P Tracking Table'!$X56*VLOOKUP('BMP P Tracking Table'!$R56,'Loading Rates'!$B$1:$L$24,6,FALSE)+'BMP P Tracking Table'!$Y56*VLOOKUP('BMP P Tracking Table'!$R56,'Loading Rates'!$B$1:$L$24,7,FALSE)+'BMP P Tracking Table'!$Z56*VLOOKUP('BMP P Tracking Table'!$R56,'Loading Rates'!$B$1:$L$24,8,FALSE)+'BMP P Tracking Table'!$AA56*VLOOKUP('BMP P Tracking Table'!$R56,'Loading Rates'!$B$1:$L$24,9,FALSE),'BMP P Tracking Table'!$AB56*VLOOKUP('BMP P Tracking Table'!$R56,'Loading Rates'!$B$1:$L$24,10,FALSE)),"")</f>
        <v>4.8597999999999999</v>
      </c>
      <c r="AF56" s="104">
        <f>IFERROR(MIN(2,IF('BMP P Tracking Table'!$W56="Total Pervious",(-(3630*'BMP P Tracking Table'!$V56+20.691*'BMP P Tracking Table'!$AB56)+SQRT((3630*'BMP P Tracking Table'!$V56+20.691*'BMP P Tracking Table'!$AB56)^2-(4*(996.798*'BMP P Tracking Table'!$AB56)*-'BMP P Tracking Table'!$AC56)))/(2*(996.798*'BMP P Tracking Table'!$AB56)),IF(SUM('BMP P Tracking Table'!$X56:$AA56)=0,'BMP P Tracking Table'!$AC56/(-3630*'BMP P Tracking Table'!$V56),(-(3630*'BMP P Tracking Table'!$V56+20.691*'BMP P Tracking Table'!$AA56-216.711*'BMP P Tracking Table'!$Z56-83.853*'BMP P Tracking Table'!$Y56-42.834*'BMP P Tracking Table'!$X56)+SQRT((3630*'BMP P Tracking Table'!$V56+20.691*'BMP P Tracking Table'!$AA56-216.711*'BMP P Tracking Table'!$Z56-83.853*'BMP P Tracking Table'!$Y56-42.834*'BMP P Tracking Table'!$X56)^2-(4*(149.919*'BMP P Tracking Table'!$X56+236.676*'BMP P Tracking Table'!$Y56+726*'BMP P Tracking Table'!$Z56+996.798*'BMP P Tracking Table'!$AA56)*-'BMP P Tracking Table'!$AC56)))/(2*(149.919*'BMP P Tracking Table'!$X56+236.676*'BMP P Tracking Table'!$Y56+726*'BMP P Tracking Table'!$Z56+996.798*'BMP P Tracking Table'!$AA56))))),"")</f>
        <v>0</v>
      </c>
      <c r="AG56" s="104" t="str">
        <f>IFERROR((VLOOKUP(CONCATENATE('BMP P Tracking Table'!$U56," ",'BMP P Tracking Table'!$AD56),'Performance Curves'!$C$1:$L$46,_xlfn.SINGLE(MATCH('BMP P Tracking Table'!$AF56,'Performance Curves'!$D$1:$L$1,1))+2,FALSE)-VLOOKUP(CONCATENATE('BMP P Tracking Table'!$U56," ",'BMP P Tracking Table'!$AD56),'Performance Curves'!$C$1:$L$46,_xlfn.SINGLE(MATCH('BMP P Tracking Table'!$AF56,'Performance Curves'!$D$1:$L$1,1))+1,FALSE)),"")</f>
        <v/>
      </c>
      <c r="AH56" s="104">
        <f>IFERROR(('BMP P Tracking Table'!$AF56-INDEX('Performance Curves'!$D$1:$L$1,1,MATCH('BMP P Tracking Table'!$AF56,'Performance Curves'!$D$1:$L$1,1)))/(INDEX('Performance Curves'!$D$1:$L$1,1,MATCH('BMP P Tracking Table'!$AF56,'Performance Curves'!$D$1:$L$1,1)+1)-INDEX('Performance Curves'!$D$1:$L$1,1,MATCH('BMP P Tracking Table'!$AF56,'Performance Curves'!$D$1:$L$1,1))),"")</f>
        <v>0</v>
      </c>
      <c r="AI56" s="103" t="str">
        <f>IFERROR(IF('BMP P Tracking Table'!$AF56=2,VLOOKUP(CONCATENATE('BMP P Tracking Table'!$U56," ",'BMP P Tracking Table'!$AD56),'Performance Curves'!$C$1:$L$46,_xlfn.SINGLE(MATCH('BMP P Tracking Table'!$AF56,'Performance Curves'!$D$1:$L$1,1))+1,FALSE),'BMP P Tracking Table'!$AG56*'BMP P Tracking Table'!$AH56+VLOOKUP(CONCATENATE('BMP P Tracking Table'!$U56," ",'BMP P Tracking Table'!$AD56),'Performance Curves'!$C$1:$L$46,_xlfn.SINGLE(MATCH('BMP P Tracking Table'!$AF56,'Performance Curves'!$D$1:$L$1,1))+1,FALSE)),"")</f>
        <v/>
      </c>
      <c r="AJ56" s="104" t="str">
        <f>IFERROR('BMP P Tracking Table'!$AI56*'BMP P Tracking Table'!$AE56,"")</f>
        <v/>
      </c>
      <c r="AK56" s="65"/>
      <c r="AL56" s="98" t="s">
        <v>62</v>
      </c>
      <c r="AM56" s="98"/>
      <c r="AN56" s="64">
        <v>1</v>
      </c>
      <c r="AO56" s="102" t="str">
        <f t="shared" si="5"/>
        <v/>
      </c>
      <c r="AP56" s="98"/>
      <c r="AQ56" s="98"/>
      <c r="AR56" s="98"/>
      <c r="AS56" s="98"/>
      <c r="AT56" s="98"/>
      <c r="AU56" s="98"/>
      <c r="AV56" s="98"/>
      <c r="AW56" s="65"/>
      <c r="AX56" s="99"/>
      <c r="AY56" s="99"/>
      <c r="AZ56" s="104" t="str">
        <f>IF('BMP P Tracking Table'!$AL56="Yes",IF('BMP P Tracking Table'!$AM56="No",'BMP P Tracking Table'!$V56*VLOOKUP('BMP P Tracking Table'!$R56,'Loading Rates'!$B$1:$L$24,4,FALSE)+IF('BMP P Tracking Table'!$W56="By HSG",'BMP P Tracking Table'!$X56*VLOOKUP('BMP P Tracking Table'!$R56,'Loading Rates'!$B$1:$L$24,6,FALSE)+'BMP P Tracking Table'!$Y56*VLOOKUP('BMP P Tracking Table'!$R56,'Loading Rates'!$B$1:$L$24,7,FALSE)+'BMP P Tracking Table'!$Z56*VLOOKUP('BMP P Tracking Table'!$R56,'Loading Rates'!$B$1:$L$24,8,FALSE)+'BMP P Tracking Table'!$AA56*VLOOKUP('BMP P Tracking Table'!$R56,'Loading Rates'!$B$1:$L$24,9,FALSE),'BMP P Tracking Table'!$AB56*VLOOKUP('BMP P Tracking Table'!$R56,'Loading Rates'!$B$1:$L$24,10,FALSE)),'BMP P Tracking Table'!$AP56*VLOOKUP('BMP P Tracking Table'!$R56,'Loading Rates'!$B$1:$L$24,4,FALSE)+IF('BMP P Tracking Table'!$AQ56="By HSG",'BMP P Tracking Table'!$AR56*VLOOKUP('BMP P Tracking Table'!$R56,'Loading Rates'!$B$1:$L$24,6,FALSE)+'BMP P Tracking Table'!$AS56*VLOOKUP('BMP P Tracking Table'!$R56,'Loading Rates'!$B$1:$L$24,7,FALSE)+'BMP P Tracking Table'!$AT56*VLOOKUP('BMP P Tracking Table'!$R56,'Loading Rates'!$B$1:$L$24,8,FALSE)+'BMP P Tracking Table'!$AU56*VLOOKUP('BMP P Tracking Table'!$R56,'Loading Rates'!$B$1:$L$24,9,FALSE),'BMP P Tracking Table'!$AV56*VLOOKUP('BMP P Tracking Table'!$R56,'Loading Rates'!$B$1:$L$24,10,FALSE))),"")</f>
        <v/>
      </c>
      <c r="BA56" s="104">
        <f>IFERROR(IF('BMP P Tracking Table'!$AM56="Yes",MIN(2,IF('BMP P Tracking Table'!$AQ56="Total Pervious",(-(3630*'BMP P Tracking Table'!$AP56+20.691*'BMP P Tracking Table'!$AV56)+SQRT((3630*'BMP P Tracking Table'!$AP56+20.691*'BMP P Tracking Table'!$AV56)^2-(4*(996.798*'BMP P Tracking Table'!$AV56)*-'BMP P Tracking Table'!$AX56)))/(2*(996.798*'BMP P Tracking Table'!$AV56)),IF(SUM('BMP P Tracking Table'!$AR56:$AU56)=0,'BMP P Tracking Table'!$AV56/(-3630*'BMP P Tracking Table'!$AP56),(-(3630*'BMP P Tracking Table'!$AP56+20.691*'BMP P Tracking Table'!$AU56-216.711*'BMP P Tracking Table'!$AT56-83.853*'BMP P Tracking Table'!$AS56-42.834*'BMP P Tracking Table'!$AR56)+SQRT((3630*'BMP P Tracking Table'!$AP56+20.691*'BMP P Tracking Table'!$AU56-216.711*'BMP P Tracking Table'!$AT56-83.853*'BMP P Tracking Table'!$AS56-42.834*'BMP P Tracking Table'!$AR56)^2-(4*(149.919*'BMP P Tracking Table'!$AR56+236.676*'BMP P Tracking Table'!$AS56+726*'BMP P Tracking Table'!$AT56+996.798*'BMP P Tracking Table'!$AU56)*-'BMP P Tracking Table'!$AX56)))/(2*(149.919*'BMP P Tracking Table'!$AR56+236.676*'BMP P Tracking Table'!$AS56+726*'BMP P Tracking Table'!$AT56+996.798*'BMP P Tracking Table'!$AU56))))),MIN(2,IF('BMP P Tracking Table'!$AQ56="Total Pervious",(-(3630*'BMP P Tracking Table'!$V56+20.691*'BMP P Tracking Table'!$AB56)+SQRT((3630*'BMP P Tracking Table'!$V56+20.691*'BMP P Tracking Table'!$AB56)^2-(4*(996.798*'BMP P Tracking Table'!$AB56)*-'BMP P Tracking Table'!$AX56)))/(2*(996.798*'BMP P Tracking Table'!$AB56)),IF(SUM('BMP P Tracking Table'!$X56:$AA56)=0,'BMP P Tracking Table'!$AX56/(-3630*'BMP P Tracking Table'!$V56),(-(3630*'BMP P Tracking Table'!$V56+20.691*'BMP P Tracking Table'!$AA56-216.711*'BMP P Tracking Table'!$Z56-83.853*'BMP P Tracking Table'!$Y56-42.834*'BMP P Tracking Table'!$X56)+SQRT((3630*'BMP P Tracking Table'!$V56+20.691*'BMP P Tracking Table'!$AA56-216.711*'BMP P Tracking Table'!$Z56-83.853*'BMP P Tracking Table'!$Y56-42.834*'BMP P Tracking Table'!$X56)^2-(4*(149.919*'BMP P Tracking Table'!$X56+236.676*'BMP P Tracking Table'!$Y56+726*'BMP P Tracking Table'!$Z56+996.798*'BMP P Tracking Table'!$AA56)*-'BMP P Tracking Table'!$AX56)))/(2*(149.919*'BMP P Tracking Table'!$X56+236.676*'BMP P Tracking Table'!$Y56+726*'BMP P Tracking Table'!$Z56+996.798*'BMP P Tracking Table'!$AA56)))))),"")</f>
        <v>0</v>
      </c>
      <c r="BB56" s="102" t="str">
        <f>IFERROR((VLOOKUP(CONCATENATE('BMP P Tracking Table'!$AW56," ",'BMP P Tracking Table'!$AY56),'Performance Curves'!$C$1:$L$46,_xlfn.SINGLE(MATCH('BMP P Tracking Table'!$BA56,'Performance Curves'!$D$1:$L$1,1))+2,FALSE)-VLOOKUP(CONCATENATE('BMP P Tracking Table'!$AW56," ",'BMP P Tracking Table'!$AY56),'Performance Curves'!$C$1:$L$46,_xlfn.SINGLE(MATCH('BMP P Tracking Table'!$BA56,'Performance Curves'!$D$1:$L$1,1))+1,FALSE)),"")</f>
        <v/>
      </c>
      <c r="BC56" s="102">
        <f>IFERROR(('BMP P Tracking Table'!$BA56-INDEX('Performance Curves'!$D$1:$L$1,1,MATCH('BMP P Tracking Table'!$BA56,'Performance Curves'!$D$1:$L$1,1)))/(INDEX('Performance Curves'!$D$1:$L$1,1,MATCH('BMP P Tracking Table'!$BA56,'Performance Curves'!$D$1:$L$1,1)+1)-INDEX('Performance Curves'!$D$1:$L$1,1,MATCH('BMP P Tracking Table'!$BA56,'Performance Curves'!$D$1:$L$1,1))),"")</f>
        <v>0</v>
      </c>
      <c r="BD56" s="103" t="str" cm="1">
        <f t="array" ref="BD56">IFERROR(IF('BMP P Tracking Table'!$BA56=2,VLOOKUP(CONCATENATE('BMP P Tracking Table'!$AW56," ",'BMP P Tracking Table'!$AY56),'Performance Curves'!$C$1:$L$44,_xlfn.SINGLE(MATCH('BMP P Tracking Table'!$BA56,'Performance Curves'!$D$1:$L$1,1))+1,FALSE),'BMP P Tracking Table'!$BB56*'BMP P Tracking Table'!$BC56+VLOOKUP(CONCATENATE('BMP P Tracking Table'!$AW56," ",'BMP P Tracking Table'!$AY56),'Performance Curves'!$C$1:$L$44,_xlfn.SINGLE(MATCH('BMP P Tracking Table'!$BA56,'Performance Curves'!$D$1:$L$1,1))+1,FALSE)),"")</f>
        <v/>
      </c>
      <c r="BE56" s="104" t="str">
        <f>IFERROR('BMP P Tracking Table'!$BD56*'BMP P Tracking Table'!$AZ56,"")</f>
        <v/>
      </c>
      <c r="BF56" s="98"/>
      <c r="BG56" s="37">
        <f t="shared" si="6"/>
        <v>0</v>
      </c>
      <c r="BI56" s="36" t="str">
        <f t="shared" si="1"/>
        <v>3577-9010.R</v>
      </c>
      <c r="BJ56" s="36" t="str">
        <f t="shared" si="2"/>
        <v>Lang Farm Parcel H S/N 001</v>
      </c>
    </row>
    <row r="57" spans="1:62" s="36" customFormat="1">
      <c r="A57" s="36" t="s">
        <v>372</v>
      </c>
      <c r="B57" s="65" t="s">
        <v>372</v>
      </c>
      <c r="C57" s="65" t="s">
        <v>622</v>
      </c>
      <c r="D57" s="65" t="s">
        <v>327</v>
      </c>
      <c r="E57" s="65" t="s">
        <v>9</v>
      </c>
      <c r="F57" s="94"/>
      <c r="G57" s="94"/>
      <c r="H57" s="65" t="s">
        <v>372</v>
      </c>
      <c r="I57" s="65"/>
      <c r="J57" s="65" t="s">
        <v>66</v>
      </c>
      <c r="K57" s="95"/>
      <c r="L57" s="65" t="s">
        <v>111</v>
      </c>
      <c r="M57" s="65"/>
      <c r="N57" s="199" t="s">
        <v>643</v>
      </c>
      <c r="O57" s="65"/>
      <c r="P57" s="65"/>
      <c r="Q57" s="65" t="s">
        <v>119</v>
      </c>
      <c r="R57" s="65" t="s">
        <v>146</v>
      </c>
      <c r="S57" s="65" t="s">
        <v>129</v>
      </c>
      <c r="T57" s="65" t="s">
        <v>62</v>
      </c>
      <c r="U57" s="65" t="s">
        <v>47</v>
      </c>
      <c r="V57" s="65">
        <v>2</v>
      </c>
      <c r="W57" s="65" t="s">
        <v>219</v>
      </c>
      <c r="X57" s="65"/>
      <c r="Y57" s="65"/>
      <c r="Z57" s="65"/>
      <c r="AA57" s="65"/>
      <c r="AB57" s="65">
        <v>6.7</v>
      </c>
      <c r="AC57" s="97"/>
      <c r="AD57" s="65"/>
      <c r="AE57" s="104">
        <f>IFERROR('BMP P Tracking Table'!$V57*VLOOKUP('BMP P Tracking Table'!$R57,'Loading Rates'!$B$1:$L$24,4,FALSE)+IF('BMP P Tracking Table'!$W57="By HSG",'BMP P Tracking Table'!$X57*VLOOKUP('BMP P Tracking Table'!$R57,'Loading Rates'!$B$1:$L$24,6,FALSE)+'BMP P Tracking Table'!$Y57*VLOOKUP('BMP P Tracking Table'!$R57,'Loading Rates'!$B$1:$L$24,7,FALSE)+'BMP P Tracking Table'!$Z57*VLOOKUP('BMP P Tracking Table'!$R57,'Loading Rates'!$B$1:$L$24,8,FALSE)+'BMP P Tracking Table'!$AA57*VLOOKUP('BMP P Tracking Table'!$R57,'Loading Rates'!$B$1:$L$24,9,FALSE),'BMP P Tracking Table'!$AB57*VLOOKUP('BMP P Tracking Table'!$R57,'Loading Rates'!$B$1:$L$24,10,FALSE)),"")</f>
        <v>3.7816999999999998</v>
      </c>
      <c r="AF57" s="104">
        <f>IFERROR(MIN(2,IF('BMP P Tracking Table'!$W57="Total Pervious",(-(3630*'BMP P Tracking Table'!$V57+20.691*'BMP P Tracking Table'!$AB57)+SQRT((3630*'BMP P Tracking Table'!$V57+20.691*'BMP P Tracking Table'!$AB57)^2-(4*(996.798*'BMP P Tracking Table'!$AB57)*-'BMP P Tracking Table'!$AC57)))/(2*(996.798*'BMP P Tracking Table'!$AB57)),IF(SUM('BMP P Tracking Table'!$X57:$AA57)=0,'BMP P Tracking Table'!$AC57/(-3630*'BMP P Tracking Table'!$V57),(-(3630*'BMP P Tracking Table'!$V57+20.691*'BMP P Tracking Table'!$AA57-216.711*'BMP P Tracking Table'!$Z57-83.853*'BMP P Tracking Table'!$Y57-42.834*'BMP P Tracking Table'!$X57)+SQRT((3630*'BMP P Tracking Table'!$V57+20.691*'BMP P Tracking Table'!$AA57-216.711*'BMP P Tracking Table'!$Z57-83.853*'BMP P Tracking Table'!$Y57-42.834*'BMP P Tracking Table'!$X57)^2-(4*(149.919*'BMP P Tracking Table'!$X57+236.676*'BMP P Tracking Table'!$Y57+726*'BMP P Tracking Table'!$Z57+996.798*'BMP P Tracking Table'!$AA57)*-'BMP P Tracking Table'!$AC57)))/(2*(149.919*'BMP P Tracking Table'!$X57+236.676*'BMP P Tracking Table'!$Y57+726*'BMP P Tracking Table'!$Z57+996.798*'BMP P Tracking Table'!$AA57))))),"")</f>
        <v>0</v>
      </c>
      <c r="AG57" s="104" t="str">
        <f>IFERROR((VLOOKUP(CONCATENATE('BMP P Tracking Table'!$U57," ",'BMP P Tracking Table'!$AD57),'Performance Curves'!$C$1:$L$46,_xlfn.SINGLE(MATCH('BMP P Tracking Table'!$AF57,'Performance Curves'!$D$1:$L$1,1))+2,FALSE)-VLOOKUP(CONCATENATE('BMP P Tracking Table'!$U57," ",'BMP P Tracking Table'!$AD57),'Performance Curves'!$C$1:$L$46,_xlfn.SINGLE(MATCH('BMP P Tracking Table'!$AF57,'Performance Curves'!$D$1:$L$1,1))+1,FALSE)),"")</f>
        <v/>
      </c>
      <c r="AH57" s="104">
        <f>IFERROR(('BMP P Tracking Table'!$AF57-INDEX('Performance Curves'!$D$1:$L$1,1,MATCH('BMP P Tracking Table'!$AF57,'Performance Curves'!$D$1:$L$1,1)))/(INDEX('Performance Curves'!$D$1:$L$1,1,MATCH('BMP P Tracking Table'!$AF57,'Performance Curves'!$D$1:$L$1,1)+1)-INDEX('Performance Curves'!$D$1:$L$1,1,MATCH('BMP P Tracking Table'!$AF57,'Performance Curves'!$D$1:$L$1,1))),"")</f>
        <v>0</v>
      </c>
      <c r="AI57" s="103" t="str">
        <f>IFERROR(IF('BMP P Tracking Table'!$AF57=2,VLOOKUP(CONCATENATE('BMP P Tracking Table'!$U57," ",'BMP P Tracking Table'!$AD57),'Performance Curves'!$C$1:$L$46,_xlfn.SINGLE(MATCH('BMP P Tracking Table'!$AF57,'Performance Curves'!$D$1:$L$1,1))+1,FALSE),'BMP P Tracking Table'!$AG57*'BMP P Tracking Table'!$AH57+VLOOKUP(CONCATENATE('BMP P Tracking Table'!$U57," ",'BMP P Tracking Table'!$AD57),'Performance Curves'!$C$1:$L$46,_xlfn.SINGLE(MATCH('BMP P Tracking Table'!$AF57,'Performance Curves'!$D$1:$L$1,1))+1,FALSE)),"")</f>
        <v/>
      </c>
      <c r="AJ57" s="104" t="str">
        <f>IFERROR('BMP P Tracking Table'!$AI57*'BMP P Tracking Table'!$AE57,"")</f>
        <v/>
      </c>
      <c r="AK57" s="65"/>
      <c r="AL57" s="98" t="s">
        <v>62</v>
      </c>
      <c r="AM57" s="98"/>
      <c r="AN57" s="64">
        <v>1</v>
      </c>
      <c r="AO57" s="102" t="str">
        <f t="shared" si="5"/>
        <v/>
      </c>
      <c r="AP57" s="98"/>
      <c r="AQ57" s="98"/>
      <c r="AR57" s="98"/>
      <c r="AS57" s="98"/>
      <c r="AT57" s="98"/>
      <c r="AU57" s="98"/>
      <c r="AV57" s="98"/>
      <c r="AW57" s="65"/>
      <c r="AX57" s="99"/>
      <c r="AY57" s="99"/>
      <c r="AZ57" s="104" t="str">
        <f>IF('BMP P Tracking Table'!$AL57="Yes",IF('BMP P Tracking Table'!$AM57="No",'BMP P Tracking Table'!$V57*VLOOKUP('BMP P Tracking Table'!$R57,'Loading Rates'!$B$1:$L$24,4,FALSE)+IF('BMP P Tracking Table'!$W57="By HSG",'BMP P Tracking Table'!$X57*VLOOKUP('BMP P Tracking Table'!$R57,'Loading Rates'!$B$1:$L$24,6,FALSE)+'BMP P Tracking Table'!$Y57*VLOOKUP('BMP P Tracking Table'!$R57,'Loading Rates'!$B$1:$L$24,7,FALSE)+'BMP P Tracking Table'!$Z57*VLOOKUP('BMP P Tracking Table'!$R57,'Loading Rates'!$B$1:$L$24,8,FALSE)+'BMP P Tracking Table'!$AA57*VLOOKUP('BMP P Tracking Table'!$R57,'Loading Rates'!$B$1:$L$24,9,FALSE),'BMP P Tracking Table'!$AB57*VLOOKUP('BMP P Tracking Table'!$R57,'Loading Rates'!$B$1:$L$24,10,FALSE)),'BMP P Tracking Table'!$AP57*VLOOKUP('BMP P Tracking Table'!$R57,'Loading Rates'!$B$1:$L$24,4,FALSE)+IF('BMP P Tracking Table'!$AQ57="By HSG",'BMP P Tracking Table'!$AR57*VLOOKUP('BMP P Tracking Table'!$R57,'Loading Rates'!$B$1:$L$24,6,FALSE)+'BMP P Tracking Table'!$AS57*VLOOKUP('BMP P Tracking Table'!$R57,'Loading Rates'!$B$1:$L$24,7,FALSE)+'BMP P Tracking Table'!$AT57*VLOOKUP('BMP P Tracking Table'!$R57,'Loading Rates'!$B$1:$L$24,8,FALSE)+'BMP P Tracking Table'!$AU57*VLOOKUP('BMP P Tracking Table'!$R57,'Loading Rates'!$B$1:$L$24,9,FALSE),'BMP P Tracking Table'!$AV57*VLOOKUP('BMP P Tracking Table'!$R57,'Loading Rates'!$B$1:$L$24,10,FALSE))),"")</f>
        <v/>
      </c>
      <c r="BA57" s="104">
        <f>IFERROR(IF('BMP P Tracking Table'!$AM57="Yes",MIN(2,IF('BMP P Tracking Table'!$AQ57="Total Pervious",(-(3630*'BMP P Tracking Table'!$AP57+20.691*'BMP P Tracking Table'!$AV57)+SQRT((3630*'BMP P Tracking Table'!$AP57+20.691*'BMP P Tracking Table'!$AV57)^2-(4*(996.798*'BMP P Tracking Table'!$AV57)*-'BMP P Tracking Table'!$AX57)))/(2*(996.798*'BMP P Tracking Table'!$AV57)),IF(SUM('BMP P Tracking Table'!$AR57:$AU57)=0,'BMP P Tracking Table'!$AV57/(-3630*'BMP P Tracking Table'!$AP57),(-(3630*'BMP P Tracking Table'!$AP57+20.691*'BMP P Tracking Table'!$AU57-216.711*'BMP P Tracking Table'!$AT57-83.853*'BMP P Tracking Table'!$AS57-42.834*'BMP P Tracking Table'!$AR57)+SQRT((3630*'BMP P Tracking Table'!$AP57+20.691*'BMP P Tracking Table'!$AU57-216.711*'BMP P Tracking Table'!$AT57-83.853*'BMP P Tracking Table'!$AS57-42.834*'BMP P Tracking Table'!$AR57)^2-(4*(149.919*'BMP P Tracking Table'!$AR57+236.676*'BMP P Tracking Table'!$AS57+726*'BMP P Tracking Table'!$AT57+996.798*'BMP P Tracking Table'!$AU57)*-'BMP P Tracking Table'!$AX57)))/(2*(149.919*'BMP P Tracking Table'!$AR57+236.676*'BMP P Tracking Table'!$AS57+726*'BMP P Tracking Table'!$AT57+996.798*'BMP P Tracking Table'!$AU57))))),MIN(2,IF('BMP P Tracking Table'!$AQ57="Total Pervious",(-(3630*'BMP P Tracking Table'!$V57+20.691*'BMP P Tracking Table'!$AB57)+SQRT((3630*'BMP P Tracking Table'!$V57+20.691*'BMP P Tracking Table'!$AB57)^2-(4*(996.798*'BMP P Tracking Table'!$AB57)*-'BMP P Tracking Table'!$AX57)))/(2*(996.798*'BMP P Tracking Table'!$AB57)),IF(SUM('BMP P Tracking Table'!$X57:$AA57)=0,'BMP P Tracking Table'!$AX57/(-3630*'BMP P Tracking Table'!$V57),(-(3630*'BMP P Tracking Table'!$V57+20.691*'BMP P Tracking Table'!$AA57-216.711*'BMP P Tracking Table'!$Z57-83.853*'BMP P Tracking Table'!$Y57-42.834*'BMP P Tracking Table'!$X57)+SQRT((3630*'BMP P Tracking Table'!$V57+20.691*'BMP P Tracking Table'!$AA57-216.711*'BMP P Tracking Table'!$Z57-83.853*'BMP P Tracking Table'!$Y57-42.834*'BMP P Tracking Table'!$X57)^2-(4*(149.919*'BMP P Tracking Table'!$X57+236.676*'BMP P Tracking Table'!$Y57+726*'BMP P Tracking Table'!$Z57+996.798*'BMP P Tracking Table'!$AA57)*-'BMP P Tracking Table'!$AX57)))/(2*(149.919*'BMP P Tracking Table'!$X57+236.676*'BMP P Tracking Table'!$Y57+726*'BMP P Tracking Table'!$Z57+996.798*'BMP P Tracking Table'!$AA57)))))),"")</f>
        <v>0</v>
      </c>
      <c r="BB57" s="102" t="str">
        <f>IFERROR((VLOOKUP(CONCATENATE('BMP P Tracking Table'!$AW57," ",'BMP P Tracking Table'!$AY57),'Performance Curves'!$C$1:$L$46,_xlfn.SINGLE(MATCH('BMP P Tracking Table'!$BA57,'Performance Curves'!$D$1:$L$1,1))+2,FALSE)-VLOOKUP(CONCATENATE('BMP P Tracking Table'!$AW57," ",'BMP P Tracking Table'!$AY57),'Performance Curves'!$C$1:$L$46,_xlfn.SINGLE(MATCH('BMP P Tracking Table'!$BA57,'Performance Curves'!$D$1:$L$1,1))+1,FALSE)),"")</f>
        <v/>
      </c>
      <c r="BC57" s="102">
        <f>IFERROR(('BMP P Tracking Table'!$BA57-INDEX('Performance Curves'!$D$1:$L$1,1,MATCH('BMP P Tracking Table'!$BA57,'Performance Curves'!$D$1:$L$1,1)))/(INDEX('Performance Curves'!$D$1:$L$1,1,MATCH('BMP P Tracking Table'!$BA57,'Performance Curves'!$D$1:$L$1,1)+1)-INDEX('Performance Curves'!$D$1:$L$1,1,MATCH('BMP P Tracking Table'!$BA57,'Performance Curves'!$D$1:$L$1,1))),"")</f>
        <v>0</v>
      </c>
      <c r="BD57" s="103" t="str" cm="1">
        <f t="array" ref="BD57">IFERROR(IF('BMP P Tracking Table'!$BA57=2,VLOOKUP(CONCATENATE('BMP P Tracking Table'!$AW57," ",'BMP P Tracking Table'!$AY57),'Performance Curves'!$C$1:$L$44,_xlfn.SINGLE(MATCH('BMP P Tracking Table'!$BA57,'Performance Curves'!$D$1:$L$1,1))+1,FALSE),'BMP P Tracking Table'!$BB57*'BMP P Tracking Table'!$BC57+VLOOKUP(CONCATENATE('BMP P Tracking Table'!$AW57," ",'BMP P Tracking Table'!$AY57),'Performance Curves'!$C$1:$L$44,_xlfn.SINGLE(MATCH('BMP P Tracking Table'!$BA57,'Performance Curves'!$D$1:$L$1,1))+1,FALSE)),"")</f>
        <v/>
      </c>
      <c r="BE57" s="104" t="str">
        <f>IFERROR('BMP P Tracking Table'!$BD57*'BMP P Tracking Table'!$AZ57,"")</f>
        <v/>
      </c>
      <c r="BF57" s="98"/>
      <c r="BG57" s="37">
        <f t="shared" si="6"/>
        <v>0</v>
      </c>
      <c r="BI57" s="36" t="str">
        <f t="shared" si="1"/>
        <v>3577-9010.R</v>
      </c>
      <c r="BJ57" s="36" t="str">
        <f t="shared" si="2"/>
        <v>Lang Farm Parcel H S/N 002</v>
      </c>
    </row>
    <row r="58" spans="1:62" s="36" customFormat="1">
      <c r="A58" s="36" t="s">
        <v>372</v>
      </c>
      <c r="B58" s="65" t="s">
        <v>372</v>
      </c>
      <c r="C58" s="65" t="s">
        <v>623</v>
      </c>
      <c r="D58" s="65" t="s">
        <v>327</v>
      </c>
      <c r="E58" s="65" t="s">
        <v>9</v>
      </c>
      <c r="F58" s="94"/>
      <c r="G58" s="94"/>
      <c r="H58" s="65" t="s">
        <v>372</v>
      </c>
      <c r="I58" s="65"/>
      <c r="J58" s="65" t="s">
        <v>66</v>
      </c>
      <c r="K58" s="95"/>
      <c r="L58" s="65" t="s">
        <v>111</v>
      </c>
      <c r="M58" s="65"/>
      <c r="N58" s="199" t="s">
        <v>643</v>
      </c>
      <c r="O58" s="65"/>
      <c r="P58" s="65"/>
      <c r="Q58" s="65" t="s">
        <v>37</v>
      </c>
      <c r="R58" s="65" t="s">
        <v>150</v>
      </c>
      <c r="S58" s="65" t="s">
        <v>132</v>
      </c>
      <c r="T58" s="65" t="s">
        <v>62</v>
      </c>
      <c r="U58" s="65" t="s">
        <v>47</v>
      </c>
      <c r="V58" s="65">
        <v>2</v>
      </c>
      <c r="W58" s="65" t="s">
        <v>219</v>
      </c>
      <c r="X58" s="65"/>
      <c r="Y58" s="65"/>
      <c r="Z58" s="65"/>
      <c r="AA58" s="65"/>
      <c r="AB58" s="65">
        <v>7.2</v>
      </c>
      <c r="AC58" s="97"/>
      <c r="AD58" s="65"/>
      <c r="AE58" s="104">
        <f>IFERROR('BMP P Tracking Table'!$V58*VLOOKUP('BMP P Tracking Table'!$R58,'Loading Rates'!$B$1:$L$24,4,FALSE)+IF('BMP P Tracking Table'!$W58="By HSG",'BMP P Tracking Table'!$X58*VLOOKUP('BMP P Tracking Table'!$R58,'Loading Rates'!$B$1:$L$24,6,FALSE)+'BMP P Tracking Table'!$Y58*VLOOKUP('BMP P Tracking Table'!$R58,'Loading Rates'!$B$1:$L$24,7,FALSE)+'BMP P Tracking Table'!$Z58*VLOOKUP('BMP P Tracking Table'!$R58,'Loading Rates'!$B$1:$L$24,8,FALSE)+'BMP P Tracking Table'!$AA58*VLOOKUP('BMP P Tracking Table'!$R58,'Loading Rates'!$B$1:$L$24,9,FALSE),'BMP P Tracking Table'!$AB58*VLOOKUP('BMP P Tracking Table'!$R58,'Loading Rates'!$B$1:$L$24,10,FALSE)),"")</f>
        <v>1.7363999999999999</v>
      </c>
      <c r="AF58" s="104">
        <f>IFERROR(MIN(2,IF('BMP P Tracking Table'!$W58="Total Pervious",(-(3630*'BMP P Tracking Table'!$V58+20.691*'BMP P Tracking Table'!$AB58)+SQRT((3630*'BMP P Tracking Table'!$V58+20.691*'BMP P Tracking Table'!$AB58)^2-(4*(996.798*'BMP P Tracking Table'!$AB58)*-'BMP P Tracking Table'!$AC58)))/(2*(996.798*'BMP P Tracking Table'!$AB58)),IF(SUM('BMP P Tracking Table'!$X58:$AA58)=0,'BMP P Tracking Table'!$AC58/(-3630*'BMP P Tracking Table'!$V58),(-(3630*'BMP P Tracking Table'!$V58+20.691*'BMP P Tracking Table'!$AA58-216.711*'BMP P Tracking Table'!$Z58-83.853*'BMP P Tracking Table'!$Y58-42.834*'BMP P Tracking Table'!$X58)+SQRT((3630*'BMP P Tracking Table'!$V58+20.691*'BMP P Tracking Table'!$AA58-216.711*'BMP P Tracking Table'!$Z58-83.853*'BMP P Tracking Table'!$Y58-42.834*'BMP P Tracking Table'!$X58)^2-(4*(149.919*'BMP P Tracking Table'!$X58+236.676*'BMP P Tracking Table'!$Y58+726*'BMP P Tracking Table'!$Z58+996.798*'BMP P Tracking Table'!$AA58)*-'BMP P Tracking Table'!$AC58)))/(2*(149.919*'BMP P Tracking Table'!$X58+236.676*'BMP P Tracking Table'!$Y58+726*'BMP P Tracking Table'!$Z58+996.798*'BMP P Tracking Table'!$AA58))))),"")</f>
        <v>0</v>
      </c>
      <c r="AG58" s="104" t="str">
        <f>IFERROR((VLOOKUP(CONCATENATE('BMP P Tracking Table'!$U58," ",'BMP P Tracking Table'!$AD58),'Performance Curves'!$C$1:$L$46,_xlfn.SINGLE(MATCH('BMP P Tracking Table'!$AF58,'Performance Curves'!$D$1:$L$1,1))+2,FALSE)-VLOOKUP(CONCATENATE('BMP P Tracking Table'!$U58," ",'BMP P Tracking Table'!$AD58),'Performance Curves'!$C$1:$L$46,_xlfn.SINGLE(MATCH('BMP P Tracking Table'!$AF58,'Performance Curves'!$D$1:$L$1,1))+1,FALSE)),"")</f>
        <v/>
      </c>
      <c r="AH58" s="104">
        <f>IFERROR(('BMP P Tracking Table'!$AF58-INDEX('Performance Curves'!$D$1:$L$1,1,MATCH('BMP P Tracking Table'!$AF58,'Performance Curves'!$D$1:$L$1,1)))/(INDEX('Performance Curves'!$D$1:$L$1,1,MATCH('BMP P Tracking Table'!$AF58,'Performance Curves'!$D$1:$L$1,1)+1)-INDEX('Performance Curves'!$D$1:$L$1,1,MATCH('BMP P Tracking Table'!$AF58,'Performance Curves'!$D$1:$L$1,1))),"")</f>
        <v>0</v>
      </c>
      <c r="AI58" s="103" t="str">
        <f>IFERROR(IF('BMP P Tracking Table'!$AF58=2,VLOOKUP(CONCATENATE('BMP P Tracking Table'!$U58," ",'BMP P Tracking Table'!$AD58),'Performance Curves'!$C$1:$L$46,_xlfn.SINGLE(MATCH('BMP P Tracking Table'!$AF58,'Performance Curves'!$D$1:$L$1,1))+1,FALSE),'BMP P Tracking Table'!$AG58*'BMP P Tracking Table'!$AH58+VLOOKUP(CONCATENATE('BMP P Tracking Table'!$U58," ",'BMP P Tracking Table'!$AD58),'Performance Curves'!$C$1:$L$46,_xlfn.SINGLE(MATCH('BMP P Tracking Table'!$AF58,'Performance Curves'!$D$1:$L$1,1))+1,FALSE)),"")</f>
        <v/>
      </c>
      <c r="AJ58" s="104" t="str">
        <f>IFERROR('BMP P Tracking Table'!$AI58*'BMP P Tracking Table'!$AE58,"")</f>
        <v/>
      </c>
      <c r="AK58" s="65"/>
      <c r="AL58" s="98" t="s">
        <v>62</v>
      </c>
      <c r="AM58" s="98"/>
      <c r="AN58" s="64">
        <v>1</v>
      </c>
      <c r="AO58" s="102" t="str">
        <f t="shared" si="5"/>
        <v/>
      </c>
      <c r="AP58" s="98"/>
      <c r="AQ58" s="98"/>
      <c r="AR58" s="98"/>
      <c r="AS58" s="98"/>
      <c r="AT58" s="98"/>
      <c r="AU58" s="98"/>
      <c r="AV58" s="98"/>
      <c r="AW58" s="65"/>
      <c r="AX58" s="99"/>
      <c r="AY58" s="99"/>
      <c r="AZ58" s="104" t="str">
        <f>IF('BMP P Tracking Table'!$AL58="Yes",IF('BMP P Tracking Table'!$AM58="No",'BMP P Tracking Table'!$V58*VLOOKUP('BMP P Tracking Table'!$R58,'Loading Rates'!$B$1:$L$24,4,FALSE)+IF('BMP P Tracking Table'!$W58="By HSG",'BMP P Tracking Table'!$X58*VLOOKUP('BMP P Tracking Table'!$R58,'Loading Rates'!$B$1:$L$24,6,FALSE)+'BMP P Tracking Table'!$Y58*VLOOKUP('BMP P Tracking Table'!$R58,'Loading Rates'!$B$1:$L$24,7,FALSE)+'BMP P Tracking Table'!$Z58*VLOOKUP('BMP P Tracking Table'!$R58,'Loading Rates'!$B$1:$L$24,8,FALSE)+'BMP P Tracking Table'!$AA58*VLOOKUP('BMP P Tracking Table'!$R58,'Loading Rates'!$B$1:$L$24,9,FALSE),'BMP P Tracking Table'!$AB58*VLOOKUP('BMP P Tracking Table'!$R58,'Loading Rates'!$B$1:$L$24,10,FALSE)),'BMP P Tracking Table'!$AP58*VLOOKUP('BMP P Tracking Table'!$R58,'Loading Rates'!$B$1:$L$24,4,FALSE)+IF('BMP P Tracking Table'!$AQ58="By HSG",'BMP P Tracking Table'!$AR58*VLOOKUP('BMP P Tracking Table'!$R58,'Loading Rates'!$B$1:$L$24,6,FALSE)+'BMP P Tracking Table'!$AS58*VLOOKUP('BMP P Tracking Table'!$R58,'Loading Rates'!$B$1:$L$24,7,FALSE)+'BMP P Tracking Table'!$AT58*VLOOKUP('BMP P Tracking Table'!$R58,'Loading Rates'!$B$1:$L$24,8,FALSE)+'BMP P Tracking Table'!$AU58*VLOOKUP('BMP P Tracking Table'!$R58,'Loading Rates'!$B$1:$L$24,9,FALSE),'BMP P Tracking Table'!$AV58*VLOOKUP('BMP P Tracking Table'!$R58,'Loading Rates'!$B$1:$L$24,10,FALSE))),"")</f>
        <v/>
      </c>
      <c r="BA58" s="104">
        <f>IFERROR(IF('BMP P Tracking Table'!$AM58="Yes",MIN(2,IF('BMP P Tracking Table'!$AQ58="Total Pervious",(-(3630*'BMP P Tracking Table'!$AP58+20.691*'BMP P Tracking Table'!$AV58)+SQRT((3630*'BMP P Tracking Table'!$AP58+20.691*'BMP P Tracking Table'!$AV58)^2-(4*(996.798*'BMP P Tracking Table'!$AV58)*-'BMP P Tracking Table'!$AX58)))/(2*(996.798*'BMP P Tracking Table'!$AV58)),IF(SUM('BMP P Tracking Table'!$AR58:$AU58)=0,'BMP P Tracking Table'!$AV58/(-3630*'BMP P Tracking Table'!$AP58),(-(3630*'BMP P Tracking Table'!$AP58+20.691*'BMP P Tracking Table'!$AU58-216.711*'BMP P Tracking Table'!$AT58-83.853*'BMP P Tracking Table'!$AS58-42.834*'BMP P Tracking Table'!$AR58)+SQRT((3630*'BMP P Tracking Table'!$AP58+20.691*'BMP P Tracking Table'!$AU58-216.711*'BMP P Tracking Table'!$AT58-83.853*'BMP P Tracking Table'!$AS58-42.834*'BMP P Tracking Table'!$AR58)^2-(4*(149.919*'BMP P Tracking Table'!$AR58+236.676*'BMP P Tracking Table'!$AS58+726*'BMP P Tracking Table'!$AT58+996.798*'BMP P Tracking Table'!$AU58)*-'BMP P Tracking Table'!$AX58)))/(2*(149.919*'BMP P Tracking Table'!$AR58+236.676*'BMP P Tracking Table'!$AS58+726*'BMP P Tracking Table'!$AT58+996.798*'BMP P Tracking Table'!$AU58))))),MIN(2,IF('BMP P Tracking Table'!$AQ58="Total Pervious",(-(3630*'BMP P Tracking Table'!$V58+20.691*'BMP P Tracking Table'!$AB58)+SQRT((3630*'BMP P Tracking Table'!$V58+20.691*'BMP P Tracking Table'!$AB58)^2-(4*(996.798*'BMP P Tracking Table'!$AB58)*-'BMP P Tracking Table'!$AX58)))/(2*(996.798*'BMP P Tracking Table'!$AB58)),IF(SUM('BMP P Tracking Table'!$X58:$AA58)=0,'BMP P Tracking Table'!$AX58/(-3630*'BMP P Tracking Table'!$V58),(-(3630*'BMP P Tracking Table'!$V58+20.691*'BMP P Tracking Table'!$AA58-216.711*'BMP P Tracking Table'!$Z58-83.853*'BMP P Tracking Table'!$Y58-42.834*'BMP P Tracking Table'!$X58)+SQRT((3630*'BMP P Tracking Table'!$V58+20.691*'BMP P Tracking Table'!$AA58-216.711*'BMP P Tracking Table'!$Z58-83.853*'BMP P Tracking Table'!$Y58-42.834*'BMP P Tracking Table'!$X58)^2-(4*(149.919*'BMP P Tracking Table'!$X58+236.676*'BMP P Tracking Table'!$Y58+726*'BMP P Tracking Table'!$Z58+996.798*'BMP P Tracking Table'!$AA58)*-'BMP P Tracking Table'!$AX58)))/(2*(149.919*'BMP P Tracking Table'!$X58+236.676*'BMP P Tracking Table'!$Y58+726*'BMP P Tracking Table'!$Z58+996.798*'BMP P Tracking Table'!$AA58)))))),"")</f>
        <v>0</v>
      </c>
      <c r="BB58" s="102" t="str">
        <f>IFERROR((VLOOKUP(CONCATENATE('BMP P Tracking Table'!$AW58," ",'BMP P Tracking Table'!$AY58),'Performance Curves'!$C$1:$L$46,_xlfn.SINGLE(MATCH('BMP P Tracking Table'!$BA58,'Performance Curves'!$D$1:$L$1,1))+2,FALSE)-VLOOKUP(CONCATENATE('BMP P Tracking Table'!$AW58," ",'BMP P Tracking Table'!$AY58),'Performance Curves'!$C$1:$L$46,_xlfn.SINGLE(MATCH('BMP P Tracking Table'!$BA58,'Performance Curves'!$D$1:$L$1,1))+1,FALSE)),"")</f>
        <v/>
      </c>
      <c r="BC58" s="102">
        <f>IFERROR(('BMP P Tracking Table'!$BA58-INDEX('Performance Curves'!$D$1:$L$1,1,MATCH('BMP P Tracking Table'!$BA58,'Performance Curves'!$D$1:$L$1,1)))/(INDEX('Performance Curves'!$D$1:$L$1,1,MATCH('BMP P Tracking Table'!$BA58,'Performance Curves'!$D$1:$L$1,1)+1)-INDEX('Performance Curves'!$D$1:$L$1,1,MATCH('BMP P Tracking Table'!$BA58,'Performance Curves'!$D$1:$L$1,1))),"")</f>
        <v>0</v>
      </c>
      <c r="BD58" s="103" t="str" cm="1">
        <f t="array" ref="BD58">IFERROR(IF('BMP P Tracking Table'!$BA58=2,VLOOKUP(CONCATENATE('BMP P Tracking Table'!$AW58," ",'BMP P Tracking Table'!$AY58),'Performance Curves'!$C$1:$L$44,_xlfn.SINGLE(MATCH('BMP P Tracking Table'!$BA58,'Performance Curves'!$D$1:$L$1,1))+1,FALSE),'BMP P Tracking Table'!$BB58*'BMP P Tracking Table'!$BC58+VLOOKUP(CONCATENATE('BMP P Tracking Table'!$AW58," ",'BMP P Tracking Table'!$AY58),'Performance Curves'!$C$1:$L$44,_xlfn.SINGLE(MATCH('BMP P Tracking Table'!$BA58,'Performance Curves'!$D$1:$L$1,1))+1,FALSE)),"")</f>
        <v/>
      </c>
      <c r="BE58" s="104" t="str">
        <f>IFERROR('BMP P Tracking Table'!$BD58*'BMP P Tracking Table'!$AZ58,"")</f>
        <v/>
      </c>
      <c r="BF58" s="98"/>
      <c r="BG58" s="37">
        <f t="shared" si="6"/>
        <v>0</v>
      </c>
      <c r="BI58" s="36" t="str">
        <f t="shared" si="1"/>
        <v>3577-9010.R</v>
      </c>
      <c r="BJ58" s="36" t="str">
        <f t="shared" si="2"/>
        <v>Lang Farm Parcel H S/N 003</v>
      </c>
    </row>
    <row r="59" spans="1:62" s="36" customFormat="1">
      <c r="A59" s="36" t="s">
        <v>372</v>
      </c>
      <c r="B59" s="65" t="s">
        <v>372</v>
      </c>
      <c r="C59" s="65" t="s">
        <v>624</v>
      </c>
      <c r="D59" s="65" t="s">
        <v>327</v>
      </c>
      <c r="E59" s="65" t="s">
        <v>9</v>
      </c>
      <c r="F59" s="94"/>
      <c r="G59" s="94"/>
      <c r="H59" s="65" t="s">
        <v>372</v>
      </c>
      <c r="I59" s="65"/>
      <c r="J59" s="65" t="s">
        <v>66</v>
      </c>
      <c r="K59" s="95"/>
      <c r="L59" s="65" t="s">
        <v>111</v>
      </c>
      <c r="M59" s="65"/>
      <c r="N59" s="199" t="s">
        <v>643</v>
      </c>
      <c r="O59" s="65"/>
      <c r="P59" s="65"/>
      <c r="Q59" s="65" t="s">
        <v>37</v>
      </c>
      <c r="R59" s="65" t="s">
        <v>150</v>
      </c>
      <c r="S59" s="65" t="s">
        <v>132</v>
      </c>
      <c r="T59" s="65" t="s">
        <v>62</v>
      </c>
      <c r="U59" s="65" t="s">
        <v>47</v>
      </c>
      <c r="V59" s="65">
        <v>1.8</v>
      </c>
      <c r="W59" s="65" t="s">
        <v>219</v>
      </c>
      <c r="X59" s="65"/>
      <c r="Y59" s="65"/>
      <c r="Z59" s="65"/>
      <c r="AA59" s="65"/>
      <c r="AB59" s="65">
        <v>7.4</v>
      </c>
      <c r="AC59" s="97"/>
      <c r="AD59" s="65"/>
      <c r="AE59" s="104">
        <f>IFERROR('BMP P Tracking Table'!$V59*VLOOKUP('BMP P Tracking Table'!$R59,'Loading Rates'!$B$1:$L$24,4,FALSE)+IF('BMP P Tracking Table'!$W59="By HSG",'BMP P Tracking Table'!$X59*VLOOKUP('BMP P Tracking Table'!$R59,'Loading Rates'!$B$1:$L$24,6,FALSE)+'BMP P Tracking Table'!$Y59*VLOOKUP('BMP P Tracking Table'!$R59,'Loading Rates'!$B$1:$L$24,7,FALSE)+'BMP P Tracking Table'!$Z59*VLOOKUP('BMP P Tracking Table'!$R59,'Loading Rates'!$B$1:$L$24,8,FALSE)+'BMP P Tracking Table'!$AA59*VLOOKUP('BMP P Tracking Table'!$R59,'Loading Rates'!$B$1:$L$24,9,FALSE),'BMP P Tracking Table'!$AB59*VLOOKUP('BMP P Tracking Table'!$R59,'Loading Rates'!$B$1:$L$24,10,FALSE)),"")</f>
        <v>1.5737999999999999</v>
      </c>
      <c r="AF59" s="104">
        <f>IFERROR(MIN(2,IF('BMP P Tracking Table'!$W59="Total Pervious",(-(3630*'BMP P Tracking Table'!$V59+20.691*'BMP P Tracking Table'!$AB59)+SQRT((3630*'BMP P Tracking Table'!$V59+20.691*'BMP P Tracking Table'!$AB59)^2-(4*(996.798*'BMP P Tracking Table'!$AB59)*-'BMP P Tracking Table'!$AC59)))/(2*(996.798*'BMP P Tracking Table'!$AB59)),IF(SUM('BMP P Tracking Table'!$X59:$AA59)=0,'BMP P Tracking Table'!$AC59/(-3630*'BMP P Tracking Table'!$V59),(-(3630*'BMP P Tracking Table'!$V59+20.691*'BMP P Tracking Table'!$AA59-216.711*'BMP P Tracking Table'!$Z59-83.853*'BMP P Tracking Table'!$Y59-42.834*'BMP P Tracking Table'!$X59)+SQRT((3630*'BMP P Tracking Table'!$V59+20.691*'BMP P Tracking Table'!$AA59-216.711*'BMP P Tracking Table'!$Z59-83.853*'BMP P Tracking Table'!$Y59-42.834*'BMP P Tracking Table'!$X59)^2-(4*(149.919*'BMP P Tracking Table'!$X59+236.676*'BMP P Tracking Table'!$Y59+726*'BMP P Tracking Table'!$Z59+996.798*'BMP P Tracking Table'!$AA59)*-'BMP P Tracking Table'!$AC59)))/(2*(149.919*'BMP P Tracking Table'!$X59+236.676*'BMP P Tracking Table'!$Y59+726*'BMP P Tracking Table'!$Z59+996.798*'BMP P Tracking Table'!$AA59))))),"")</f>
        <v>0</v>
      </c>
      <c r="AG59" s="104" t="str">
        <f>IFERROR((VLOOKUP(CONCATENATE('BMP P Tracking Table'!$U59," ",'BMP P Tracking Table'!$AD59),'Performance Curves'!$C$1:$L$46,_xlfn.SINGLE(MATCH('BMP P Tracking Table'!$AF59,'Performance Curves'!$D$1:$L$1,1))+2,FALSE)-VLOOKUP(CONCATENATE('BMP P Tracking Table'!$U59," ",'BMP P Tracking Table'!$AD59),'Performance Curves'!$C$1:$L$46,_xlfn.SINGLE(MATCH('BMP P Tracking Table'!$AF59,'Performance Curves'!$D$1:$L$1,1))+1,FALSE)),"")</f>
        <v/>
      </c>
      <c r="AH59" s="104">
        <f>IFERROR(('BMP P Tracking Table'!$AF59-INDEX('Performance Curves'!$D$1:$L$1,1,MATCH('BMP P Tracking Table'!$AF59,'Performance Curves'!$D$1:$L$1,1)))/(INDEX('Performance Curves'!$D$1:$L$1,1,MATCH('BMP P Tracking Table'!$AF59,'Performance Curves'!$D$1:$L$1,1)+1)-INDEX('Performance Curves'!$D$1:$L$1,1,MATCH('BMP P Tracking Table'!$AF59,'Performance Curves'!$D$1:$L$1,1))),"")</f>
        <v>0</v>
      </c>
      <c r="AI59" s="103" t="str">
        <f>IFERROR(IF('BMP P Tracking Table'!$AF59=2,VLOOKUP(CONCATENATE('BMP P Tracking Table'!$U59," ",'BMP P Tracking Table'!$AD59),'Performance Curves'!$C$1:$L$46,_xlfn.SINGLE(MATCH('BMP P Tracking Table'!$AF59,'Performance Curves'!$D$1:$L$1,1))+1,FALSE),'BMP P Tracking Table'!$AG59*'BMP P Tracking Table'!$AH59+VLOOKUP(CONCATENATE('BMP P Tracking Table'!$U59," ",'BMP P Tracking Table'!$AD59),'Performance Curves'!$C$1:$L$46,_xlfn.SINGLE(MATCH('BMP P Tracking Table'!$AF59,'Performance Curves'!$D$1:$L$1,1))+1,FALSE)),"")</f>
        <v/>
      </c>
      <c r="AJ59" s="104" t="str">
        <f>IFERROR('BMP P Tracking Table'!$AI59*'BMP P Tracking Table'!$AE59,"")</f>
        <v/>
      </c>
      <c r="AK59" s="65"/>
      <c r="AL59" s="98" t="s">
        <v>62</v>
      </c>
      <c r="AM59" s="98"/>
      <c r="AN59" s="64">
        <v>1</v>
      </c>
      <c r="AO59" s="102" t="str">
        <f t="shared" si="5"/>
        <v/>
      </c>
      <c r="AP59" s="98"/>
      <c r="AQ59" s="98"/>
      <c r="AR59" s="98"/>
      <c r="AS59" s="98"/>
      <c r="AT59" s="98"/>
      <c r="AU59" s="98"/>
      <c r="AV59" s="98"/>
      <c r="AW59" s="65"/>
      <c r="AX59" s="99"/>
      <c r="AY59" s="99"/>
      <c r="AZ59" s="104" t="str">
        <f>IF('BMP P Tracking Table'!$AL59="Yes",IF('BMP P Tracking Table'!$AM59="No",'BMP P Tracking Table'!$V59*VLOOKUP('BMP P Tracking Table'!$R59,'Loading Rates'!$B$1:$L$24,4,FALSE)+IF('BMP P Tracking Table'!$W59="By HSG",'BMP P Tracking Table'!$X59*VLOOKUP('BMP P Tracking Table'!$R59,'Loading Rates'!$B$1:$L$24,6,FALSE)+'BMP P Tracking Table'!$Y59*VLOOKUP('BMP P Tracking Table'!$R59,'Loading Rates'!$B$1:$L$24,7,FALSE)+'BMP P Tracking Table'!$Z59*VLOOKUP('BMP P Tracking Table'!$R59,'Loading Rates'!$B$1:$L$24,8,FALSE)+'BMP P Tracking Table'!$AA59*VLOOKUP('BMP P Tracking Table'!$R59,'Loading Rates'!$B$1:$L$24,9,FALSE),'BMP P Tracking Table'!$AB59*VLOOKUP('BMP P Tracking Table'!$R59,'Loading Rates'!$B$1:$L$24,10,FALSE)),'BMP P Tracking Table'!$AP59*VLOOKUP('BMP P Tracking Table'!$R59,'Loading Rates'!$B$1:$L$24,4,FALSE)+IF('BMP P Tracking Table'!$AQ59="By HSG",'BMP P Tracking Table'!$AR59*VLOOKUP('BMP P Tracking Table'!$R59,'Loading Rates'!$B$1:$L$24,6,FALSE)+'BMP P Tracking Table'!$AS59*VLOOKUP('BMP P Tracking Table'!$R59,'Loading Rates'!$B$1:$L$24,7,FALSE)+'BMP P Tracking Table'!$AT59*VLOOKUP('BMP P Tracking Table'!$R59,'Loading Rates'!$B$1:$L$24,8,FALSE)+'BMP P Tracking Table'!$AU59*VLOOKUP('BMP P Tracking Table'!$R59,'Loading Rates'!$B$1:$L$24,9,FALSE),'BMP P Tracking Table'!$AV59*VLOOKUP('BMP P Tracking Table'!$R59,'Loading Rates'!$B$1:$L$24,10,FALSE))),"")</f>
        <v/>
      </c>
      <c r="BA59" s="104">
        <f>IFERROR(IF('BMP P Tracking Table'!$AM59="Yes",MIN(2,IF('BMP P Tracking Table'!$AQ59="Total Pervious",(-(3630*'BMP P Tracking Table'!$AP59+20.691*'BMP P Tracking Table'!$AV59)+SQRT((3630*'BMP P Tracking Table'!$AP59+20.691*'BMP P Tracking Table'!$AV59)^2-(4*(996.798*'BMP P Tracking Table'!$AV59)*-'BMP P Tracking Table'!$AX59)))/(2*(996.798*'BMP P Tracking Table'!$AV59)),IF(SUM('BMP P Tracking Table'!$AR59:$AU59)=0,'BMP P Tracking Table'!$AV59/(-3630*'BMP P Tracking Table'!$AP59),(-(3630*'BMP P Tracking Table'!$AP59+20.691*'BMP P Tracking Table'!$AU59-216.711*'BMP P Tracking Table'!$AT59-83.853*'BMP P Tracking Table'!$AS59-42.834*'BMP P Tracking Table'!$AR59)+SQRT((3630*'BMP P Tracking Table'!$AP59+20.691*'BMP P Tracking Table'!$AU59-216.711*'BMP P Tracking Table'!$AT59-83.853*'BMP P Tracking Table'!$AS59-42.834*'BMP P Tracking Table'!$AR59)^2-(4*(149.919*'BMP P Tracking Table'!$AR59+236.676*'BMP P Tracking Table'!$AS59+726*'BMP P Tracking Table'!$AT59+996.798*'BMP P Tracking Table'!$AU59)*-'BMP P Tracking Table'!$AX59)))/(2*(149.919*'BMP P Tracking Table'!$AR59+236.676*'BMP P Tracking Table'!$AS59+726*'BMP P Tracking Table'!$AT59+996.798*'BMP P Tracking Table'!$AU59))))),MIN(2,IF('BMP P Tracking Table'!$AQ59="Total Pervious",(-(3630*'BMP P Tracking Table'!$V59+20.691*'BMP P Tracking Table'!$AB59)+SQRT((3630*'BMP P Tracking Table'!$V59+20.691*'BMP P Tracking Table'!$AB59)^2-(4*(996.798*'BMP P Tracking Table'!$AB59)*-'BMP P Tracking Table'!$AX59)))/(2*(996.798*'BMP P Tracking Table'!$AB59)),IF(SUM('BMP P Tracking Table'!$X59:$AA59)=0,'BMP P Tracking Table'!$AX59/(-3630*'BMP P Tracking Table'!$V59),(-(3630*'BMP P Tracking Table'!$V59+20.691*'BMP P Tracking Table'!$AA59-216.711*'BMP P Tracking Table'!$Z59-83.853*'BMP P Tracking Table'!$Y59-42.834*'BMP P Tracking Table'!$X59)+SQRT((3630*'BMP P Tracking Table'!$V59+20.691*'BMP P Tracking Table'!$AA59-216.711*'BMP P Tracking Table'!$Z59-83.853*'BMP P Tracking Table'!$Y59-42.834*'BMP P Tracking Table'!$X59)^2-(4*(149.919*'BMP P Tracking Table'!$X59+236.676*'BMP P Tracking Table'!$Y59+726*'BMP P Tracking Table'!$Z59+996.798*'BMP P Tracking Table'!$AA59)*-'BMP P Tracking Table'!$AX59)))/(2*(149.919*'BMP P Tracking Table'!$X59+236.676*'BMP P Tracking Table'!$Y59+726*'BMP P Tracking Table'!$Z59+996.798*'BMP P Tracking Table'!$AA59)))))),"")</f>
        <v>0</v>
      </c>
      <c r="BB59" s="102" t="str">
        <f>IFERROR((VLOOKUP(CONCATENATE('BMP P Tracking Table'!$AW59," ",'BMP P Tracking Table'!$AY59),'Performance Curves'!$C$1:$L$46,_xlfn.SINGLE(MATCH('BMP P Tracking Table'!$BA59,'Performance Curves'!$D$1:$L$1,1))+2,FALSE)-VLOOKUP(CONCATENATE('BMP P Tracking Table'!$AW59," ",'BMP P Tracking Table'!$AY59),'Performance Curves'!$C$1:$L$46,_xlfn.SINGLE(MATCH('BMP P Tracking Table'!$BA59,'Performance Curves'!$D$1:$L$1,1))+1,FALSE)),"")</f>
        <v/>
      </c>
      <c r="BC59" s="102">
        <f>IFERROR(('BMP P Tracking Table'!$BA59-INDEX('Performance Curves'!$D$1:$L$1,1,MATCH('BMP P Tracking Table'!$BA59,'Performance Curves'!$D$1:$L$1,1)))/(INDEX('Performance Curves'!$D$1:$L$1,1,MATCH('BMP P Tracking Table'!$BA59,'Performance Curves'!$D$1:$L$1,1)+1)-INDEX('Performance Curves'!$D$1:$L$1,1,MATCH('BMP P Tracking Table'!$BA59,'Performance Curves'!$D$1:$L$1,1))),"")</f>
        <v>0</v>
      </c>
      <c r="BD59" s="103" t="str" cm="1">
        <f t="array" ref="BD59">IFERROR(IF('BMP P Tracking Table'!$BA59=2,VLOOKUP(CONCATENATE('BMP P Tracking Table'!$AW59," ",'BMP P Tracking Table'!$AY59),'Performance Curves'!$C$1:$L$44,_xlfn.SINGLE(MATCH('BMP P Tracking Table'!$BA59,'Performance Curves'!$D$1:$L$1,1))+1,FALSE),'BMP P Tracking Table'!$BB59*'BMP P Tracking Table'!$BC59+VLOOKUP(CONCATENATE('BMP P Tracking Table'!$AW59," ",'BMP P Tracking Table'!$AY59),'Performance Curves'!$C$1:$L$44,_xlfn.SINGLE(MATCH('BMP P Tracking Table'!$BA59,'Performance Curves'!$D$1:$L$1,1))+1,FALSE)),"")</f>
        <v/>
      </c>
      <c r="BE59" s="104" t="str">
        <f>IFERROR('BMP P Tracking Table'!$BD59*'BMP P Tracking Table'!$AZ59,"")</f>
        <v/>
      </c>
      <c r="BF59" s="98"/>
      <c r="BG59" s="37">
        <f t="shared" si="6"/>
        <v>0</v>
      </c>
      <c r="BI59" s="36" t="str">
        <f t="shared" si="1"/>
        <v>3577-9010.R</v>
      </c>
      <c r="BJ59" s="36" t="str">
        <f t="shared" si="2"/>
        <v>Lang Farm Parcel H S/N 004</v>
      </c>
    </row>
    <row r="60" spans="1:62" s="121" customFormat="1">
      <c r="A60" s="121" t="s">
        <v>384</v>
      </c>
      <c r="B60" s="110" t="s">
        <v>384</v>
      </c>
      <c r="C60" s="110" t="s">
        <v>625</v>
      </c>
      <c r="D60" s="110" t="s">
        <v>327</v>
      </c>
      <c r="E60" s="110" t="s">
        <v>9</v>
      </c>
      <c r="F60" s="111"/>
      <c r="G60" s="111"/>
      <c r="H60" s="110" t="s">
        <v>384</v>
      </c>
      <c r="I60" s="110"/>
      <c r="J60" s="110" t="s">
        <v>66</v>
      </c>
      <c r="K60" s="112"/>
      <c r="L60" s="110" t="s">
        <v>111</v>
      </c>
      <c r="M60" s="110"/>
      <c r="N60" s="218" t="s">
        <v>642</v>
      </c>
      <c r="O60" s="110"/>
      <c r="P60" s="110"/>
      <c r="Q60" s="110" t="s">
        <v>119</v>
      </c>
      <c r="R60" s="110" t="s">
        <v>146</v>
      </c>
      <c r="S60" s="110" t="s">
        <v>129</v>
      </c>
      <c r="T60" s="110" t="s">
        <v>62</v>
      </c>
      <c r="U60" s="110" t="s">
        <v>215</v>
      </c>
      <c r="V60" s="110">
        <v>0.66700000000000004</v>
      </c>
      <c r="W60" s="110" t="s">
        <v>219</v>
      </c>
      <c r="X60" s="110"/>
      <c r="Y60" s="110"/>
      <c r="Z60" s="110"/>
      <c r="AA60" s="110"/>
      <c r="AB60" s="110"/>
      <c r="AC60" s="113">
        <v>900</v>
      </c>
      <c r="AD60" s="110"/>
      <c r="AE60" s="114">
        <f>IFERROR('BMP P Tracking Table'!$V60*VLOOKUP('BMP P Tracking Table'!$R60,'Loading Rates'!$B$1:$L$24,4,FALSE)+IF('BMP P Tracking Table'!$W60="By HSG",'BMP P Tracking Table'!$X60*VLOOKUP('BMP P Tracking Table'!$R60,'Loading Rates'!$B$1:$L$24,6,FALSE)+'BMP P Tracking Table'!$Y60*VLOOKUP('BMP P Tracking Table'!$R60,'Loading Rates'!$B$1:$L$24,7,FALSE)+'BMP P Tracking Table'!$Z60*VLOOKUP('BMP P Tracking Table'!$R60,'Loading Rates'!$B$1:$L$24,8,FALSE)+'BMP P Tracking Table'!$AA60*VLOOKUP('BMP P Tracking Table'!$R60,'Loading Rates'!$B$1:$L$24,9,FALSE),'BMP P Tracking Table'!$AB60*VLOOKUP('BMP P Tracking Table'!$R60,'Loading Rates'!$B$1:$L$24,10,FALSE)),"")</f>
        <v>0.74503900000000001</v>
      </c>
      <c r="AF60" s="114" t="str">
        <f>IFERROR(MIN(2,IF('BMP P Tracking Table'!$W60="Total Pervious",(-(3630*'BMP P Tracking Table'!$V60+20.691*'BMP P Tracking Table'!$AB60)+SQRT((3630*'BMP P Tracking Table'!$V60+20.691*'BMP P Tracking Table'!$AB60)^2-(4*(996.798*'BMP P Tracking Table'!$AB60)*-'BMP P Tracking Table'!$AC60)))/(2*(996.798*'BMP P Tracking Table'!$AB60)),IF(SUM('BMP P Tracking Table'!$X60:$AA60)=0,'BMP P Tracking Table'!$AC60/(-3630*'BMP P Tracking Table'!$V60),(-(3630*'BMP P Tracking Table'!$V60+20.691*'BMP P Tracking Table'!$AA60-216.711*'BMP P Tracking Table'!$Z60-83.853*'BMP P Tracking Table'!$Y60-42.834*'BMP P Tracking Table'!$X60)+SQRT((3630*'BMP P Tracking Table'!$V60+20.691*'BMP P Tracking Table'!$AA60-216.711*'BMP P Tracking Table'!$Z60-83.853*'BMP P Tracking Table'!$Y60-42.834*'BMP P Tracking Table'!$X60)^2-(4*(149.919*'BMP P Tracking Table'!$X60+236.676*'BMP P Tracking Table'!$Y60+726*'BMP P Tracking Table'!$Z60+996.798*'BMP P Tracking Table'!$AA60)*-'BMP P Tracking Table'!$AC60)))/(2*(149.919*'BMP P Tracking Table'!$X60+236.676*'BMP P Tracking Table'!$Y60+726*'BMP P Tracking Table'!$Z60+996.798*'BMP P Tracking Table'!$AA60))))),"")</f>
        <v/>
      </c>
      <c r="AG60" s="114" t="str">
        <f>IFERROR((VLOOKUP(CONCATENATE('BMP P Tracking Table'!$U60," ",'BMP P Tracking Table'!$AD60),'Performance Curves'!$C$1:$L$46,_xlfn.SINGLE(MATCH('BMP P Tracking Table'!$AF60,'Performance Curves'!$D$1:$L$1,1))+2,FALSE)-VLOOKUP(CONCATENATE('BMP P Tracking Table'!$U60," ",'BMP P Tracking Table'!$AD60),'Performance Curves'!$C$1:$L$46,_xlfn.SINGLE(MATCH('BMP P Tracking Table'!$AF60,'Performance Curves'!$D$1:$L$1,1))+1,FALSE)),"")</f>
        <v/>
      </c>
      <c r="AH60" s="114" t="str">
        <f>IFERROR(('BMP P Tracking Table'!$AF60-INDEX('Performance Curves'!$D$1:$L$1,1,MATCH('BMP P Tracking Table'!$AF60,'Performance Curves'!$D$1:$L$1,1)))/(INDEX('Performance Curves'!$D$1:$L$1,1,MATCH('BMP P Tracking Table'!$AF60,'Performance Curves'!$D$1:$L$1,1)+1)-INDEX('Performance Curves'!$D$1:$L$1,1,MATCH('BMP P Tracking Table'!$AF60,'Performance Curves'!$D$1:$L$1,1))),"")</f>
        <v/>
      </c>
      <c r="AI60" s="115" t="str">
        <f>IFERROR(IF('BMP P Tracking Table'!$AF60=2,VLOOKUP(CONCATENATE('BMP P Tracking Table'!$U60," ",'BMP P Tracking Table'!$AD60),'Performance Curves'!$C$1:$L$46,_xlfn.SINGLE(MATCH('BMP P Tracking Table'!$AF60,'Performance Curves'!$D$1:$L$1,1))+1,FALSE),'BMP P Tracking Table'!$AG60*'BMP P Tracking Table'!$AH60+VLOOKUP(CONCATENATE('BMP P Tracking Table'!$U60," ",'BMP P Tracking Table'!$AD60),'Performance Curves'!$C$1:$L$46,_xlfn.SINGLE(MATCH('BMP P Tracking Table'!$AF60,'Performance Curves'!$D$1:$L$1,1))+1,FALSE)),"")</f>
        <v/>
      </c>
      <c r="AJ60" s="114" t="str">
        <f>IFERROR('BMP P Tracking Table'!$AI60*'BMP P Tracking Table'!$AE60,"")</f>
        <v/>
      </c>
      <c r="AK60" s="110"/>
      <c r="AL60" s="116" t="s">
        <v>62</v>
      </c>
      <c r="AM60" s="116"/>
      <c r="AN60" s="117">
        <v>1</v>
      </c>
      <c r="AO60" s="118" t="str">
        <f t="shared" si="5"/>
        <v/>
      </c>
      <c r="AP60" s="116"/>
      <c r="AQ60" s="116"/>
      <c r="AR60" s="116"/>
      <c r="AS60" s="116"/>
      <c r="AT60" s="116"/>
      <c r="AU60" s="116"/>
      <c r="AV60" s="116"/>
      <c r="AW60" s="110"/>
      <c r="AX60" s="119"/>
      <c r="AY60" s="119"/>
      <c r="AZ60" s="114" t="str">
        <f>IF('BMP P Tracking Table'!$AL60="Yes",IF('BMP P Tracking Table'!$AM60="No",'BMP P Tracking Table'!$V60*VLOOKUP('BMP P Tracking Table'!$R60,'Loading Rates'!$B$1:$L$24,4,FALSE)+IF('BMP P Tracking Table'!$W60="By HSG",'BMP P Tracking Table'!$X60*VLOOKUP('BMP P Tracking Table'!$R60,'Loading Rates'!$B$1:$L$24,6,FALSE)+'BMP P Tracking Table'!$Y60*VLOOKUP('BMP P Tracking Table'!$R60,'Loading Rates'!$B$1:$L$24,7,FALSE)+'BMP P Tracking Table'!$Z60*VLOOKUP('BMP P Tracking Table'!$R60,'Loading Rates'!$B$1:$L$24,8,FALSE)+'BMP P Tracking Table'!$AA60*VLOOKUP('BMP P Tracking Table'!$R60,'Loading Rates'!$B$1:$L$24,9,FALSE),'BMP P Tracking Table'!$AB60*VLOOKUP('BMP P Tracking Table'!$R60,'Loading Rates'!$B$1:$L$24,10,FALSE)),'BMP P Tracking Table'!$AP60*VLOOKUP('BMP P Tracking Table'!$R60,'Loading Rates'!$B$1:$L$24,4,FALSE)+IF('BMP P Tracking Table'!$AQ60="By HSG",'BMP P Tracking Table'!$AR60*VLOOKUP('BMP P Tracking Table'!$R60,'Loading Rates'!$B$1:$L$24,6,FALSE)+'BMP P Tracking Table'!$AS60*VLOOKUP('BMP P Tracking Table'!$R60,'Loading Rates'!$B$1:$L$24,7,FALSE)+'BMP P Tracking Table'!$AT60*VLOOKUP('BMP P Tracking Table'!$R60,'Loading Rates'!$B$1:$L$24,8,FALSE)+'BMP P Tracking Table'!$AU60*VLOOKUP('BMP P Tracking Table'!$R60,'Loading Rates'!$B$1:$L$24,9,FALSE),'BMP P Tracking Table'!$AV60*VLOOKUP('BMP P Tracking Table'!$R60,'Loading Rates'!$B$1:$L$24,10,FALSE))),"")</f>
        <v/>
      </c>
      <c r="BA60" s="114">
        <f>IFERROR(IF('BMP P Tracking Table'!$AM60="Yes",MIN(2,IF('BMP P Tracking Table'!$AQ60="Total Pervious",(-(3630*'BMP P Tracking Table'!$AP60+20.691*'BMP P Tracking Table'!$AV60)+SQRT((3630*'BMP P Tracking Table'!$AP60+20.691*'BMP P Tracking Table'!$AV60)^2-(4*(996.798*'BMP P Tracking Table'!$AV60)*-'BMP P Tracking Table'!$AX60)))/(2*(996.798*'BMP P Tracking Table'!$AV60)),IF(SUM('BMP P Tracking Table'!$AR60:$AU60)=0,'BMP P Tracking Table'!$AV60/(-3630*'BMP P Tracking Table'!$AP60),(-(3630*'BMP P Tracking Table'!$AP60+20.691*'BMP P Tracking Table'!$AU60-216.711*'BMP P Tracking Table'!$AT60-83.853*'BMP P Tracking Table'!$AS60-42.834*'BMP P Tracking Table'!$AR60)+SQRT((3630*'BMP P Tracking Table'!$AP60+20.691*'BMP P Tracking Table'!$AU60-216.711*'BMP P Tracking Table'!$AT60-83.853*'BMP P Tracking Table'!$AS60-42.834*'BMP P Tracking Table'!$AR60)^2-(4*(149.919*'BMP P Tracking Table'!$AR60+236.676*'BMP P Tracking Table'!$AS60+726*'BMP P Tracking Table'!$AT60+996.798*'BMP P Tracking Table'!$AU60)*-'BMP P Tracking Table'!$AX60)))/(2*(149.919*'BMP P Tracking Table'!$AR60+236.676*'BMP P Tracking Table'!$AS60+726*'BMP P Tracking Table'!$AT60+996.798*'BMP P Tracking Table'!$AU60))))),MIN(2,IF('BMP P Tracking Table'!$AQ60="Total Pervious",(-(3630*'BMP P Tracking Table'!$V60+20.691*'BMP P Tracking Table'!$AB60)+SQRT((3630*'BMP P Tracking Table'!$V60+20.691*'BMP P Tracking Table'!$AB60)^2-(4*(996.798*'BMP P Tracking Table'!$AB60)*-'BMP P Tracking Table'!$AX60)))/(2*(996.798*'BMP P Tracking Table'!$AB60)),IF(SUM('BMP P Tracking Table'!$X60:$AA60)=0,'BMP P Tracking Table'!$AX60/(-3630*'BMP P Tracking Table'!$V60),(-(3630*'BMP P Tracking Table'!$V60+20.691*'BMP P Tracking Table'!$AA60-216.711*'BMP P Tracking Table'!$Z60-83.853*'BMP P Tracking Table'!$Y60-42.834*'BMP P Tracking Table'!$X60)+SQRT((3630*'BMP P Tracking Table'!$V60+20.691*'BMP P Tracking Table'!$AA60-216.711*'BMP P Tracking Table'!$Z60-83.853*'BMP P Tracking Table'!$Y60-42.834*'BMP P Tracking Table'!$X60)^2-(4*(149.919*'BMP P Tracking Table'!$X60+236.676*'BMP P Tracking Table'!$Y60+726*'BMP P Tracking Table'!$Z60+996.798*'BMP P Tracking Table'!$AA60)*-'BMP P Tracking Table'!$AX60)))/(2*(149.919*'BMP P Tracking Table'!$X60+236.676*'BMP P Tracking Table'!$Y60+726*'BMP P Tracking Table'!$Z60+996.798*'BMP P Tracking Table'!$AA60)))))),"")</f>
        <v>0</v>
      </c>
      <c r="BB60" s="118" t="str">
        <f>IFERROR((VLOOKUP(CONCATENATE('BMP P Tracking Table'!$AW60," ",'BMP P Tracking Table'!$AY60),'Performance Curves'!$C$1:$L$46,_xlfn.SINGLE(MATCH('BMP P Tracking Table'!$BA60,'Performance Curves'!$D$1:$L$1,1))+2,FALSE)-VLOOKUP(CONCATENATE('BMP P Tracking Table'!$AW60," ",'BMP P Tracking Table'!$AY60),'Performance Curves'!$C$1:$L$46,_xlfn.SINGLE(MATCH('BMP P Tracking Table'!$BA60,'Performance Curves'!$D$1:$L$1,1))+1,FALSE)),"")</f>
        <v/>
      </c>
      <c r="BC60" s="118">
        <f>IFERROR(('BMP P Tracking Table'!$BA60-INDEX('Performance Curves'!$D$1:$L$1,1,MATCH('BMP P Tracking Table'!$BA60,'Performance Curves'!$D$1:$L$1,1)))/(INDEX('Performance Curves'!$D$1:$L$1,1,MATCH('BMP P Tracking Table'!$BA60,'Performance Curves'!$D$1:$L$1,1)+1)-INDEX('Performance Curves'!$D$1:$L$1,1,MATCH('BMP P Tracking Table'!$BA60,'Performance Curves'!$D$1:$L$1,1))),"")</f>
        <v>0</v>
      </c>
      <c r="BD60" s="115" t="str" cm="1">
        <f t="array" ref="BD60">IFERROR(IF('BMP P Tracking Table'!$BA60=2,VLOOKUP(CONCATENATE('BMP P Tracking Table'!$AW60," ",'BMP P Tracking Table'!$AY60),'Performance Curves'!$C$1:$L$44,_xlfn.SINGLE(MATCH('BMP P Tracking Table'!$BA60,'Performance Curves'!$D$1:$L$1,1))+1,FALSE),'BMP P Tracking Table'!$BB60*'BMP P Tracking Table'!$BC60+VLOOKUP(CONCATENATE('BMP P Tracking Table'!$AW60," ",'BMP P Tracking Table'!$AY60),'Performance Curves'!$C$1:$L$44,_xlfn.SINGLE(MATCH('BMP P Tracking Table'!$BA60,'Performance Curves'!$D$1:$L$1,1))+1,FALSE)),"")</f>
        <v/>
      </c>
      <c r="BE60" s="114" t="str">
        <f>IFERROR('BMP P Tracking Table'!$BD60*'BMP P Tracking Table'!$AZ60,"")</f>
        <v/>
      </c>
      <c r="BF60" s="116"/>
      <c r="BG60" s="120">
        <f t="shared" si="6"/>
        <v>0</v>
      </c>
      <c r="BI60" s="36" t="str">
        <f t="shared" si="1"/>
        <v>3578-9010.R</v>
      </c>
      <c r="BJ60" s="36" t="str">
        <f t="shared" si="2"/>
        <v>Pinewood Manor S/N 001</v>
      </c>
    </row>
    <row r="61" spans="1:62" s="121" customFormat="1">
      <c r="A61" s="121" t="s">
        <v>384</v>
      </c>
      <c r="B61" s="110" t="s">
        <v>384</v>
      </c>
      <c r="C61" s="110" t="s">
        <v>626</v>
      </c>
      <c r="D61" s="110" t="s">
        <v>327</v>
      </c>
      <c r="E61" s="110" t="s">
        <v>9</v>
      </c>
      <c r="F61" s="111"/>
      <c r="G61" s="111"/>
      <c r="H61" s="110" t="s">
        <v>384</v>
      </c>
      <c r="I61" s="110"/>
      <c r="J61" s="110" t="s">
        <v>66</v>
      </c>
      <c r="K61" s="112"/>
      <c r="L61" s="110" t="s">
        <v>111</v>
      </c>
      <c r="M61" s="110"/>
      <c r="N61" s="218" t="s">
        <v>642</v>
      </c>
      <c r="O61" s="110"/>
      <c r="P61" s="110"/>
      <c r="Q61" s="110" t="s">
        <v>119</v>
      </c>
      <c r="R61" s="110" t="s">
        <v>146</v>
      </c>
      <c r="S61" s="110" t="s">
        <v>129</v>
      </c>
      <c r="T61" s="110" t="s">
        <v>62</v>
      </c>
      <c r="U61" s="110"/>
      <c r="V61" s="110"/>
      <c r="W61" s="110" t="s">
        <v>219</v>
      </c>
      <c r="X61" s="110"/>
      <c r="Y61" s="110"/>
      <c r="Z61" s="110"/>
      <c r="AA61" s="110"/>
      <c r="AB61" s="110"/>
      <c r="AC61" s="113"/>
      <c r="AD61" s="110"/>
      <c r="AE61" s="114">
        <f>IFERROR('BMP P Tracking Table'!$V61*VLOOKUP('BMP P Tracking Table'!$R61,'Loading Rates'!$B$1:$L$24,4,FALSE)+IF('BMP P Tracking Table'!$W61="By HSG",'BMP P Tracking Table'!$X61*VLOOKUP('BMP P Tracking Table'!$R61,'Loading Rates'!$B$1:$L$24,6,FALSE)+'BMP P Tracking Table'!$Y61*VLOOKUP('BMP P Tracking Table'!$R61,'Loading Rates'!$B$1:$L$24,7,FALSE)+'BMP P Tracking Table'!$Z61*VLOOKUP('BMP P Tracking Table'!$R61,'Loading Rates'!$B$1:$L$24,8,FALSE)+'BMP P Tracking Table'!$AA61*VLOOKUP('BMP P Tracking Table'!$R61,'Loading Rates'!$B$1:$L$24,9,FALSE),'BMP P Tracking Table'!$AB61*VLOOKUP('BMP P Tracking Table'!$R61,'Loading Rates'!$B$1:$L$24,10,FALSE)),"")</f>
        <v>0</v>
      </c>
      <c r="AF61" s="114" t="str">
        <f>IFERROR(MIN(2,IF('BMP P Tracking Table'!$W61="Total Pervious",(-(3630*'BMP P Tracking Table'!$V61+20.691*'BMP P Tracking Table'!$AB61)+SQRT((3630*'BMP P Tracking Table'!$V61+20.691*'BMP P Tracking Table'!$AB61)^2-(4*(996.798*'BMP P Tracking Table'!$AB61)*-'BMP P Tracking Table'!$AC61)))/(2*(996.798*'BMP P Tracking Table'!$AB61)),IF(SUM('BMP P Tracking Table'!$X61:$AA61)=0,'BMP P Tracking Table'!$AC61/(-3630*'BMP P Tracking Table'!$V61),(-(3630*'BMP P Tracking Table'!$V61+20.691*'BMP P Tracking Table'!$AA61-216.711*'BMP P Tracking Table'!$Z61-83.853*'BMP P Tracking Table'!$Y61-42.834*'BMP P Tracking Table'!$X61)+SQRT((3630*'BMP P Tracking Table'!$V61+20.691*'BMP P Tracking Table'!$AA61-216.711*'BMP P Tracking Table'!$Z61-83.853*'BMP P Tracking Table'!$Y61-42.834*'BMP P Tracking Table'!$X61)^2-(4*(149.919*'BMP P Tracking Table'!$X61+236.676*'BMP P Tracking Table'!$Y61+726*'BMP P Tracking Table'!$Z61+996.798*'BMP P Tracking Table'!$AA61)*-'BMP P Tracking Table'!$AC61)))/(2*(149.919*'BMP P Tracking Table'!$X61+236.676*'BMP P Tracking Table'!$Y61+726*'BMP P Tracking Table'!$Z61+996.798*'BMP P Tracking Table'!$AA61))))),"")</f>
        <v/>
      </c>
      <c r="AG61" s="114" t="str">
        <f>IFERROR((VLOOKUP(CONCATENATE('BMP P Tracking Table'!$U61," ",'BMP P Tracking Table'!$AD61),'Performance Curves'!$C$1:$L$46,_xlfn.SINGLE(MATCH('BMP P Tracking Table'!$AF61,'Performance Curves'!$D$1:$L$1,1))+2,FALSE)-VLOOKUP(CONCATENATE('BMP P Tracking Table'!$U61," ",'BMP P Tracking Table'!$AD61),'Performance Curves'!$C$1:$L$46,_xlfn.SINGLE(MATCH('BMP P Tracking Table'!$AF61,'Performance Curves'!$D$1:$L$1,1))+1,FALSE)),"")</f>
        <v/>
      </c>
      <c r="AH61" s="114" t="str">
        <f>IFERROR(('BMP P Tracking Table'!$AF61-INDEX('Performance Curves'!$D$1:$L$1,1,MATCH('BMP P Tracking Table'!$AF61,'Performance Curves'!$D$1:$L$1,1)))/(INDEX('Performance Curves'!$D$1:$L$1,1,MATCH('BMP P Tracking Table'!$AF61,'Performance Curves'!$D$1:$L$1,1)+1)-INDEX('Performance Curves'!$D$1:$L$1,1,MATCH('BMP P Tracking Table'!$AF61,'Performance Curves'!$D$1:$L$1,1))),"")</f>
        <v/>
      </c>
      <c r="AI61" s="115" t="str">
        <f>IFERROR(IF('BMP P Tracking Table'!$AF61=2,VLOOKUP(CONCATENATE('BMP P Tracking Table'!$U61," ",'BMP P Tracking Table'!$AD61),'Performance Curves'!$C$1:$L$46,_xlfn.SINGLE(MATCH('BMP P Tracking Table'!$AF61,'Performance Curves'!$D$1:$L$1,1))+1,FALSE),'BMP P Tracking Table'!$AG61*'BMP P Tracking Table'!$AH61+VLOOKUP(CONCATENATE('BMP P Tracking Table'!$U61," ",'BMP P Tracking Table'!$AD61),'Performance Curves'!$C$1:$L$46,_xlfn.SINGLE(MATCH('BMP P Tracking Table'!$AF61,'Performance Curves'!$D$1:$L$1,1))+1,FALSE)),"")</f>
        <v/>
      </c>
      <c r="AJ61" s="114" t="str">
        <f>IFERROR('BMP P Tracking Table'!$AI61*'BMP P Tracking Table'!$AE61,"")</f>
        <v/>
      </c>
      <c r="AK61" s="110"/>
      <c r="AL61" s="116" t="s">
        <v>62</v>
      </c>
      <c r="AM61" s="116"/>
      <c r="AN61" s="117">
        <v>1</v>
      </c>
      <c r="AO61" s="118" t="str">
        <f t="shared" si="5"/>
        <v/>
      </c>
      <c r="AP61" s="116"/>
      <c r="AQ61" s="116"/>
      <c r="AR61" s="116"/>
      <c r="AS61" s="116"/>
      <c r="AT61" s="116"/>
      <c r="AU61" s="116"/>
      <c r="AV61" s="116"/>
      <c r="AW61" s="110"/>
      <c r="AX61" s="119"/>
      <c r="AY61" s="119"/>
      <c r="AZ61" s="114" t="str">
        <f>IF('BMP P Tracking Table'!$AL61="Yes",IF('BMP P Tracking Table'!$AM61="No",'BMP P Tracking Table'!$V61*VLOOKUP('BMP P Tracking Table'!$R61,'Loading Rates'!$B$1:$L$24,4,FALSE)+IF('BMP P Tracking Table'!$W61="By HSG",'BMP P Tracking Table'!$X61*VLOOKUP('BMP P Tracking Table'!$R61,'Loading Rates'!$B$1:$L$24,6,FALSE)+'BMP P Tracking Table'!$Y61*VLOOKUP('BMP P Tracking Table'!$R61,'Loading Rates'!$B$1:$L$24,7,FALSE)+'BMP P Tracking Table'!$Z61*VLOOKUP('BMP P Tracking Table'!$R61,'Loading Rates'!$B$1:$L$24,8,FALSE)+'BMP P Tracking Table'!$AA61*VLOOKUP('BMP P Tracking Table'!$R61,'Loading Rates'!$B$1:$L$24,9,FALSE),'BMP P Tracking Table'!$AB61*VLOOKUP('BMP P Tracking Table'!$R61,'Loading Rates'!$B$1:$L$24,10,FALSE)),'BMP P Tracking Table'!$AP61*VLOOKUP('BMP P Tracking Table'!$R61,'Loading Rates'!$B$1:$L$24,4,FALSE)+IF('BMP P Tracking Table'!$AQ61="By HSG",'BMP P Tracking Table'!$AR61*VLOOKUP('BMP P Tracking Table'!$R61,'Loading Rates'!$B$1:$L$24,6,FALSE)+'BMP P Tracking Table'!$AS61*VLOOKUP('BMP P Tracking Table'!$R61,'Loading Rates'!$B$1:$L$24,7,FALSE)+'BMP P Tracking Table'!$AT61*VLOOKUP('BMP P Tracking Table'!$R61,'Loading Rates'!$B$1:$L$24,8,FALSE)+'BMP P Tracking Table'!$AU61*VLOOKUP('BMP P Tracking Table'!$R61,'Loading Rates'!$B$1:$L$24,9,FALSE),'BMP P Tracking Table'!$AV61*VLOOKUP('BMP P Tracking Table'!$R61,'Loading Rates'!$B$1:$L$24,10,FALSE))),"")</f>
        <v/>
      </c>
      <c r="BA61" s="114" t="str">
        <f>IFERROR(IF('BMP P Tracking Table'!$AM61="Yes",MIN(2,IF('BMP P Tracking Table'!$AQ61="Total Pervious",(-(3630*'BMP P Tracking Table'!$AP61+20.691*'BMP P Tracking Table'!$AV61)+SQRT((3630*'BMP P Tracking Table'!$AP61+20.691*'BMP P Tracking Table'!$AV61)^2-(4*(996.798*'BMP P Tracking Table'!$AV61)*-'BMP P Tracking Table'!$AX61)))/(2*(996.798*'BMP P Tracking Table'!$AV61)),IF(SUM('BMP P Tracking Table'!$AR61:$AU61)=0,'BMP P Tracking Table'!$AV61/(-3630*'BMP P Tracking Table'!$AP61),(-(3630*'BMP P Tracking Table'!$AP61+20.691*'BMP P Tracking Table'!$AU61-216.711*'BMP P Tracking Table'!$AT61-83.853*'BMP P Tracking Table'!$AS61-42.834*'BMP P Tracking Table'!$AR61)+SQRT((3630*'BMP P Tracking Table'!$AP61+20.691*'BMP P Tracking Table'!$AU61-216.711*'BMP P Tracking Table'!$AT61-83.853*'BMP P Tracking Table'!$AS61-42.834*'BMP P Tracking Table'!$AR61)^2-(4*(149.919*'BMP P Tracking Table'!$AR61+236.676*'BMP P Tracking Table'!$AS61+726*'BMP P Tracking Table'!$AT61+996.798*'BMP P Tracking Table'!$AU61)*-'BMP P Tracking Table'!$AX61)))/(2*(149.919*'BMP P Tracking Table'!$AR61+236.676*'BMP P Tracking Table'!$AS61+726*'BMP P Tracking Table'!$AT61+996.798*'BMP P Tracking Table'!$AU61))))),MIN(2,IF('BMP P Tracking Table'!$AQ61="Total Pervious",(-(3630*'BMP P Tracking Table'!$V61+20.691*'BMP P Tracking Table'!$AB61)+SQRT((3630*'BMP P Tracking Table'!$V61+20.691*'BMP P Tracking Table'!$AB61)^2-(4*(996.798*'BMP P Tracking Table'!$AB61)*-'BMP P Tracking Table'!$AX61)))/(2*(996.798*'BMP P Tracking Table'!$AB61)),IF(SUM('BMP P Tracking Table'!$X61:$AA61)=0,'BMP P Tracking Table'!$AX61/(-3630*'BMP P Tracking Table'!$V61),(-(3630*'BMP P Tracking Table'!$V61+20.691*'BMP P Tracking Table'!$AA61-216.711*'BMP P Tracking Table'!$Z61-83.853*'BMP P Tracking Table'!$Y61-42.834*'BMP P Tracking Table'!$X61)+SQRT((3630*'BMP P Tracking Table'!$V61+20.691*'BMP P Tracking Table'!$AA61-216.711*'BMP P Tracking Table'!$Z61-83.853*'BMP P Tracking Table'!$Y61-42.834*'BMP P Tracking Table'!$X61)^2-(4*(149.919*'BMP P Tracking Table'!$X61+236.676*'BMP P Tracking Table'!$Y61+726*'BMP P Tracking Table'!$Z61+996.798*'BMP P Tracking Table'!$AA61)*-'BMP P Tracking Table'!$AX61)))/(2*(149.919*'BMP P Tracking Table'!$X61+236.676*'BMP P Tracking Table'!$Y61+726*'BMP P Tracking Table'!$Z61+996.798*'BMP P Tracking Table'!$AA61)))))),"")</f>
        <v/>
      </c>
      <c r="BB61" s="118" t="str">
        <f>IFERROR((VLOOKUP(CONCATENATE('BMP P Tracking Table'!$AW61," ",'BMP P Tracking Table'!$AY61),'Performance Curves'!$C$1:$L$46,_xlfn.SINGLE(MATCH('BMP P Tracking Table'!$BA61,'Performance Curves'!$D$1:$L$1,1))+2,FALSE)-VLOOKUP(CONCATENATE('BMP P Tracking Table'!$AW61," ",'BMP P Tracking Table'!$AY61),'Performance Curves'!$C$1:$L$46,_xlfn.SINGLE(MATCH('BMP P Tracking Table'!$BA61,'Performance Curves'!$D$1:$L$1,1))+1,FALSE)),"")</f>
        <v/>
      </c>
      <c r="BC61" s="118" t="str">
        <f>IFERROR(('BMP P Tracking Table'!$BA61-INDEX('Performance Curves'!$D$1:$L$1,1,MATCH('BMP P Tracking Table'!$BA61,'Performance Curves'!$D$1:$L$1,1)))/(INDEX('Performance Curves'!$D$1:$L$1,1,MATCH('BMP P Tracking Table'!$BA61,'Performance Curves'!$D$1:$L$1,1)+1)-INDEX('Performance Curves'!$D$1:$L$1,1,MATCH('BMP P Tracking Table'!$BA61,'Performance Curves'!$D$1:$L$1,1))),"")</f>
        <v/>
      </c>
      <c r="BD61" s="115" t="str" cm="1">
        <f t="array" ref="BD61">IFERROR(IF('BMP P Tracking Table'!$BA61=2,VLOOKUP(CONCATENATE('BMP P Tracking Table'!$AW61," ",'BMP P Tracking Table'!$AY61),'Performance Curves'!$C$1:$L$44,_xlfn.SINGLE(MATCH('BMP P Tracking Table'!$BA61,'Performance Curves'!$D$1:$L$1,1))+1,FALSE),'BMP P Tracking Table'!$BB61*'BMP P Tracking Table'!$BC61+VLOOKUP(CONCATENATE('BMP P Tracking Table'!$AW61," ",'BMP P Tracking Table'!$AY61),'Performance Curves'!$C$1:$L$44,_xlfn.SINGLE(MATCH('BMP P Tracking Table'!$BA61,'Performance Curves'!$D$1:$L$1,1))+1,FALSE)),"")</f>
        <v/>
      </c>
      <c r="BE61" s="114" t="str">
        <f>IFERROR('BMP P Tracking Table'!$BD61*'BMP P Tracking Table'!$AZ61,"")</f>
        <v/>
      </c>
      <c r="BF61" s="116"/>
      <c r="BG61" s="120">
        <f t="shared" si="6"/>
        <v>0</v>
      </c>
      <c r="BH61" s="121" t="s">
        <v>646</v>
      </c>
      <c r="BI61" s="36" t="str">
        <f t="shared" si="1"/>
        <v>3578-9010.R</v>
      </c>
      <c r="BJ61" s="36" t="str">
        <f t="shared" si="2"/>
        <v>Pinewood Manor S/N 002</v>
      </c>
    </row>
    <row r="62" spans="1:62" s="121" customFormat="1">
      <c r="A62" s="121" t="s">
        <v>384</v>
      </c>
      <c r="B62" s="110" t="s">
        <v>384</v>
      </c>
      <c r="C62" s="110" t="s">
        <v>627</v>
      </c>
      <c r="D62" s="110" t="s">
        <v>327</v>
      </c>
      <c r="E62" s="110" t="s">
        <v>9</v>
      </c>
      <c r="F62" s="111"/>
      <c r="G62" s="111"/>
      <c r="H62" s="110" t="s">
        <v>384</v>
      </c>
      <c r="I62" s="110"/>
      <c r="J62" s="110" t="s">
        <v>66</v>
      </c>
      <c r="K62" s="112"/>
      <c r="L62" s="110" t="s">
        <v>111</v>
      </c>
      <c r="M62" s="110"/>
      <c r="N62" s="218" t="s">
        <v>642</v>
      </c>
      <c r="O62" s="110"/>
      <c r="P62" s="110"/>
      <c r="Q62" s="110" t="s">
        <v>119</v>
      </c>
      <c r="R62" s="110" t="s">
        <v>146</v>
      </c>
      <c r="S62" s="110" t="s">
        <v>129</v>
      </c>
      <c r="T62" s="110" t="s">
        <v>62</v>
      </c>
      <c r="U62" s="110"/>
      <c r="V62" s="110"/>
      <c r="W62" s="110" t="s">
        <v>219</v>
      </c>
      <c r="X62" s="110"/>
      <c r="Y62" s="110"/>
      <c r="Z62" s="110"/>
      <c r="AA62" s="110"/>
      <c r="AB62" s="110"/>
      <c r="AC62" s="113"/>
      <c r="AD62" s="110"/>
      <c r="AE62" s="114">
        <f>IFERROR('BMP P Tracking Table'!$V62*VLOOKUP('BMP P Tracking Table'!$R62,'Loading Rates'!$B$1:$L$24,4,FALSE)+IF('BMP P Tracking Table'!$W62="By HSG",'BMP P Tracking Table'!$X62*VLOOKUP('BMP P Tracking Table'!$R62,'Loading Rates'!$B$1:$L$24,6,FALSE)+'BMP P Tracking Table'!$Y62*VLOOKUP('BMP P Tracking Table'!$R62,'Loading Rates'!$B$1:$L$24,7,FALSE)+'BMP P Tracking Table'!$Z62*VLOOKUP('BMP P Tracking Table'!$R62,'Loading Rates'!$B$1:$L$24,8,FALSE)+'BMP P Tracking Table'!$AA62*VLOOKUP('BMP P Tracking Table'!$R62,'Loading Rates'!$B$1:$L$24,9,FALSE),'BMP P Tracking Table'!$AB62*VLOOKUP('BMP P Tracking Table'!$R62,'Loading Rates'!$B$1:$L$24,10,FALSE)),"")</f>
        <v>0</v>
      </c>
      <c r="AF62" s="114" t="str">
        <f>IFERROR(MIN(2,IF('BMP P Tracking Table'!$W62="Total Pervious",(-(3630*'BMP P Tracking Table'!$V62+20.691*'BMP P Tracking Table'!$AB62)+SQRT((3630*'BMP P Tracking Table'!$V62+20.691*'BMP P Tracking Table'!$AB62)^2-(4*(996.798*'BMP P Tracking Table'!$AB62)*-'BMP P Tracking Table'!$AC62)))/(2*(996.798*'BMP P Tracking Table'!$AB62)),IF(SUM('BMP P Tracking Table'!$X62:$AA62)=0,'BMP P Tracking Table'!$AC62/(-3630*'BMP P Tracking Table'!$V62),(-(3630*'BMP P Tracking Table'!$V62+20.691*'BMP P Tracking Table'!$AA62-216.711*'BMP P Tracking Table'!$Z62-83.853*'BMP P Tracking Table'!$Y62-42.834*'BMP P Tracking Table'!$X62)+SQRT((3630*'BMP P Tracking Table'!$V62+20.691*'BMP P Tracking Table'!$AA62-216.711*'BMP P Tracking Table'!$Z62-83.853*'BMP P Tracking Table'!$Y62-42.834*'BMP P Tracking Table'!$X62)^2-(4*(149.919*'BMP P Tracking Table'!$X62+236.676*'BMP P Tracking Table'!$Y62+726*'BMP P Tracking Table'!$Z62+996.798*'BMP P Tracking Table'!$AA62)*-'BMP P Tracking Table'!$AC62)))/(2*(149.919*'BMP P Tracking Table'!$X62+236.676*'BMP P Tracking Table'!$Y62+726*'BMP P Tracking Table'!$Z62+996.798*'BMP P Tracking Table'!$AA62))))),"")</f>
        <v/>
      </c>
      <c r="AG62" s="114" t="str">
        <f>IFERROR((VLOOKUP(CONCATENATE('BMP P Tracking Table'!$U62," ",'BMP P Tracking Table'!$AD62),'Performance Curves'!$C$1:$L$46,_xlfn.SINGLE(MATCH('BMP P Tracking Table'!$AF62,'Performance Curves'!$D$1:$L$1,1))+2,FALSE)-VLOOKUP(CONCATENATE('BMP P Tracking Table'!$U62," ",'BMP P Tracking Table'!$AD62),'Performance Curves'!$C$1:$L$46,_xlfn.SINGLE(MATCH('BMP P Tracking Table'!$AF62,'Performance Curves'!$D$1:$L$1,1))+1,FALSE)),"")</f>
        <v/>
      </c>
      <c r="AH62" s="114" t="str">
        <f>IFERROR(('BMP P Tracking Table'!$AF62-INDEX('Performance Curves'!$D$1:$L$1,1,MATCH('BMP P Tracking Table'!$AF62,'Performance Curves'!$D$1:$L$1,1)))/(INDEX('Performance Curves'!$D$1:$L$1,1,MATCH('BMP P Tracking Table'!$AF62,'Performance Curves'!$D$1:$L$1,1)+1)-INDEX('Performance Curves'!$D$1:$L$1,1,MATCH('BMP P Tracking Table'!$AF62,'Performance Curves'!$D$1:$L$1,1))),"")</f>
        <v/>
      </c>
      <c r="AI62" s="115" t="str">
        <f>IFERROR(IF('BMP P Tracking Table'!$AF62=2,VLOOKUP(CONCATENATE('BMP P Tracking Table'!$U62," ",'BMP P Tracking Table'!$AD62),'Performance Curves'!$C$1:$L$46,_xlfn.SINGLE(MATCH('BMP P Tracking Table'!$AF62,'Performance Curves'!$D$1:$L$1,1))+1,FALSE),'BMP P Tracking Table'!$AG62*'BMP P Tracking Table'!$AH62+VLOOKUP(CONCATENATE('BMP P Tracking Table'!$U62," ",'BMP P Tracking Table'!$AD62),'Performance Curves'!$C$1:$L$46,_xlfn.SINGLE(MATCH('BMP P Tracking Table'!$AF62,'Performance Curves'!$D$1:$L$1,1))+1,FALSE)),"")</f>
        <v/>
      </c>
      <c r="AJ62" s="114" t="str">
        <f>IFERROR('BMP P Tracking Table'!$AI62*'BMP P Tracking Table'!$AE62,"")</f>
        <v/>
      </c>
      <c r="AK62" s="110"/>
      <c r="AL62" s="116" t="s">
        <v>62</v>
      </c>
      <c r="AM62" s="116"/>
      <c r="AN62" s="117">
        <v>1</v>
      </c>
      <c r="AO62" s="118" t="str">
        <f t="shared" si="5"/>
        <v/>
      </c>
      <c r="AP62" s="116"/>
      <c r="AQ62" s="116"/>
      <c r="AR62" s="116"/>
      <c r="AS62" s="116"/>
      <c r="AT62" s="116"/>
      <c r="AU62" s="116"/>
      <c r="AV62" s="116"/>
      <c r="AW62" s="110"/>
      <c r="AX62" s="119"/>
      <c r="AY62" s="119"/>
      <c r="AZ62" s="114" t="str">
        <f>IF('BMP P Tracking Table'!$AL62="Yes",IF('BMP P Tracking Table'!$AM62="No",'BMP P Tracking Table'!$V62*VLOOKUP('BMP P Tracking Table'!$R62,'Loading Rates'!$B$1:$L$24,4,FALSE)+IF('BMP P Tracking Table'!$W62="By HSG",'BMP P Tracking Table'!$X62*VLOOKUP('BMP P Tracking Table'!$R62,'Loading Rates'!$B$1:$L$24,6,FALSE)+'BMP P Tracking Table'!$Y62*VLOOKUP('BMP P Tracking Table'!$R62,'Loading Rates'!$B$1:$L$24,7,FALSE)+'BMP P Tracking Table'!$Z62*VLOOKUP('BMP P Tracking Table'!$R62,'Loading Rates'!$B$1:$L$24,8,FALSE)+'BMP P Tracking Table'!$AA62*VLOOKUP('BMP P Tracking Table'!$R62,'Loading Rates'!$B$1:$L$24,9,FALSE),'BMP P Tracking Table'!$AB62*VLOOKUP('BMP P Tracking Table'!$R62,'Loading Rates'!$B$1:$L$24,10,FALSE)),'BMP P Tracking Table'!$AP62*VLOOKUP('BMP P Tracking Table'!$R62,'Loading Rates'!$B$1:$L$24,4,FALSE)+IF('BMP P Tracking Table'!$AQ62="By HSG",'BMP P Tracking Table'!$AR62*VLOOKUP('BMP P Tracking Table'!$R62,'Loading Rates'!$B$1:$L$24,6,FALSE)+'BMP P Tracking Table'!$AS62*VLOOKUP('BMP P Tracking Table'!$R62,'Loading Rates'!$B$1:$L$24,7,FALSE)+'BMP P Tracking Table'!$AT62*VLOOKUP('BMP P Tracking Table'!$R62,'Loading Rates'!$B$1:$L$24,8,FALSE)+'BMP P Tracking Table'!$AU62*VLOOKUP('BMP P Tracking Table'!$R62,'Loading Rates'!$B$1:$L$24,9,FALSE),'BMP P Tracking Table'!$AV62*VLOOKUP('BMP P Tracking Table'!$R62,'Loading Rates'!$B$1:$L$24,10,FALSE))),"")</f>
        <v/>
      </c>
      <c r="BA62" s="114" t="str">
        <f>IFERROR(IF('BMP P Tracking Table'!$AM62="Yes",MIN(2,IF('BMP P Tracking Table'!$AQ62="Total Pervious",(-(3630*'BMP P Tracking Table'!$AP62+20.691*'BMP P Tracking Table'!$AV62)+SQRT((3630*'BMP P Tracking Table'!$AP62+20.691*'BMP P Tracking Table'!$AV62)^2-(4*(996.798*'BMP P Tracking Table'!$AV62)*-'BMP P Tracking Table'!$AX62)))/(2*(996.798*'BMP P Tracking Table'!$AV62)),IF(SUM('BMP P Tracking Table'!$AR62:$AU62)=0,'BMP P Tracking Table'!$AV62/(-3630*'BMP P Tracking Table'!$AP62),(-(3630*'BMP P Tracking Table'!$AP62+20.691*'BMP P Tracking Table'!$AU62-216.711*'BMP P Tracking Table'!$AT62-83.853*'BMP P Tracking Table'!$AS62-42.834*'BMP P Tracking Table'!$AR62)+SQRT((3630*'BMP P Tracking Table'!$AP62+20.691*'BMP P Tracking Table'!$AU62-216.711*'BMP P Tracking Table'!$AT62-83.853*'BMP P Tracking Table'!$AS62-42.834*'BMP P Tracking Table'!$AR62)^2-(4*(149.919*'BMP P Tracking Table'!$AR62+236.676*'BMP P Tracking Table'!$AS62+726*'BMP P Tracking Table'!$AT62+996.798*'BMP P Tracking Table'!$AU62)*-'BMP P Tracking Table'!$AX62)))/(2*(149.919*'BMP P Tracking Table'!$AR62+236.676*'BMP P Tracking Table'!$AS62+726*'BMP P Tracking Table'!$AT62+996.798*'BMP P Tracking Table'!$AU62))))),MIN(2,IF('BMP P Tracking Table'!$AQ62="Total Pervious",(-(3630*'BMP P Tracking Table'!$V62+20.691*'BMP P Tracking Table'!$AB62)+SQRT((3630*'BMP P Tracking Table'!$V62+20.691*'BMP P Tracking Table'!$AB62)^2-(4*(996.798*'BMP P Tracking Table'!$AB62)*-'BMP P Tracking Table'!$AX62)))/(2*(996.798*'BMP P Tracking Table'!$AB62)),IF(SUM('BMP P Tracking Table'!$X62:$AA62)=0,'BMP P Tracking Table'!$AX62/(-3630*'BMP P Tracking Table'!$V62),(-(3630*'BMP P Tracking Table'!$V62+20.691*'BMP P Tracking Table'!$AA62-216.711*'BMP P Tracking Table'!$Z62-83.853*'BMP P Tracking Table'!$Y62-42.834*'BMP P Tracking Table'!$X62)+SQRT((3630*'BMP P Tracking Table'!$V62+20.691*'BMP P Tracking Table'!$AA62-216.711*'BMP P Tracking Table'!$Z62-83.853*'BMP P Tracking Table'!$Y62-42.834*'BMP P Tracking Table'!$X62)^2-(4*(149.919*'BMP P Tracking Table'!$X62+236.676*'BMP P Tracking Table'!$Y62+726*'BMP P Tracking Table'!$Z62+996.798*'BMP P Tracking Table'!$AA62)*-'BMP P Tracking Table'!$AX62)))/(2*(149.919*'BMP P Tracking Table'!$X62+236.676*'BMP P Tracking Table'!$Y62+726*'BMP P Tracking Table'!$Z62+996.798*'BMP P Tracking Table'!$AA62)))))),"")</f>
        <v/>
      </c>
      <c r="BB62" s="118" t="str">
        <f>IFERROR((VLOOKUP(CONCATENATE('BMP P Tracking Table'!$AW62," ",'BMP P Tracking Table'!$AY62),'Performance Curves'!$C$1:$L$46,_xlfn.SINGLE(MATCH('BMP P Tracking Table'!$BA62,'Performance Curves'!$D$1:$L$1,1))+2,FALSE)-VLOOKUP(CONCATENATE('BMP P Tracking Table'!$AW62," ",'BMP P Tracking Table'!$AY62),'Performance Curves'!$C$1:$L$46,_xlfn.SINGLE(MATCH('BMP P Tracking Table'!$BA62,'Performance Curves'!$D$1:$L$1,1))+1,FALSE)),"")</f>
        <v/>
      </c>
      <c r="BC62" s="118" t="str">
        <f>IFERROR(('BMP P Tracking Table'!$BA62-INDEX('Performance Curves'!$D$1:$L$1,1,MATCH('BMP P Tracking Table'!$BA62,'Performance Curves'!$D$1:$L$1,1)))/(INDEX('Performance Curves'!$D$1:$L$1,1,MATCH('BMP P Tracking Table'!$BA62,'Performance Curves'!$D$1:$L$1,1)+1)-INDEX('Performance Curves'!$D$1:$L$1,1,MATCH('BMP P Tracking Table'!$BA62,'Performance Curves'!$D$1:$L$1,1))),"")</f>
        <v/>
      </c>
      <c r="BD62" s="115" t="str" cm="1">
        <f t="array" ref="BD62">IFERROR(IF('BMP P Tracking Table'!$BA62=2,VLOOKUP(CONCATENATE('BMP P Tracking Table'!$AW62," ",'BMP P Tracking Table'!$AY62),'Performance Curves'!$C$1:$L$44,_xlfn.SINGLE(MATCH('BMP P Tracking Table'!$BA62,'Performance Curves'!$D$1:$L$1,1))+1,FALSE),'BMP P Tracking Table'!$BB62*'BMP P Tracking Table'!$BC62+VLOOKUP(CONCATENATE('BMP P Tracking Table'!$AW62," ",'BMP P Tracking Table'!$AY62),'Performance Curves'!$C$1:$L$44,_xlfn.SINGLE(MATCH('BMP P Tracking Table'!$BA62,'Performance Curves'!$D$1:$L$1,1))+1,FALSE)),"")</f>
        <v/>
      </c>
      <c r="BE62" s="114" t="str">
        <f>IFERROR('BMP P Tracking Table'!$BD62*'BMP P Tracking Table'!$AZ62,"")</f>
        <v/>
      </c>
      <c r="BF62" s="116"/>
      <c r="BG62" s="120">
        <f t="shared" si="6"/>
        <v>0</v>
      </c>
      <c r="BH62" s="121" t="s">
        <v>646</v>
      </c>
      <c r="BI62" s="36" t="str">
        <f t="shared" si="1"/>
        <v>3578-9010.R</v>
      </c>
      <c r="BJ62" s="36" t="str">
        <f t="shared" si="2"/>
        <v>Pinewood Manor S/N 003</v>
      </c>
    </row>
    <row r="63" spans="1:62" s="121" customFormat="1">
      <c r="A63" s="121" t="s">
        <v>384</v>
      </c>
      <c r="B63" s="110" t="s">
        <v>384</v>
      </c>
      <c r="C63" s="110" t="s">
        <v>628</v>
      </c>
      <c r="D63" s="110" t="s">
        <v>327</v>
      </c>
      <c r="E63" s="110" t="s">
        <v>9</v>
      </c>
      <c r="F63" s="111"/>
      <c r="G63" s="111"/>
      <c r="H63" s="110" t="s">
        <v>384</v>
      </c>
      <c r="I63" s="110"/>
      <c r="J63" s="110" t="s">
        <v>66</v>
      </c>
      <c r="K63" s="112"/>
      <c r="L63" s="110" t="s">
        <v>111</v>
      </c>
      <c r="M63" s="110"/>
      <c r="N63" s="218" t="s">
        <v>642</v>
      </c>
      <c r="O63" s="110"/>
      <c r="P63" s="110"/>
      <c r="Q63" s="110" t="s">
        <v>119</v>
      </c>
      <c r="R63" s="110" t="s">
        <v>146</v>
      </c>
      <c r="S63" s="110" t="s">
        <v>129</v>
      </c>
      <c r="T63" s="110" t="s">
        <v>62</v>
      </c>
      <c r="U63" s="110"/>
      <c r="V63" s="110"/>
      <c r="W63" s="110" t="s">
        <v>219</v>
      </c>
      <c r="X63" s="110"/>
      <c r="Y63" s="110"/>
      <c r="Z63" s="110"/>
      <c r="AA63" s="110"/>
      <c r="AB63" s="110"/>
      <c r="AC63" s="113"/>
      <c r="AD63" s="110"/>
      <c r="AE63" s="114">
        <f>IFERROR('BMP P Tracking Table'!$V63*VLOOKUP('BMP P Tracking Table'!$R63,'Loading Rates'!$B$1:$L$24,4,FALSE)+IF('BMP P Tracking Table'!$W63="By HSG",'BMP P Tracking Table'!$X63*VLOOKUP('BMP P Tracking Table'!$R63,'Loading Rates'!$B$1:$L$24,6,FALSE)+'BMP P Tracking Table'!$Y63*VLOOKUP('BMP P Tracking Table'!$R63,'Loading Rates'!$B$1:$L$24,7,FALSE)+'BMP P Tracking Table'!$Z63*VLOOKUP('BMP P Tracking Table'!$R63,'Loading Rates'!$B$1:$L$24,8,FALSE)+'BMP P Tracking Table'!$AA63*VLOOKUP('BMP P Tracking Table'!$R63,'Loading Rates'!$B$1:$L$24,9,FALSE),'BMP P Tracking Table'!$AB63*VLOOKUP('BMP P Tracking Table'!$R63,'Loading Rates'!$B$1:$L$24,10,FALSE)),"")</f>
        <v>0</v>
      </c>
      <c r="AF63" s="114" t="str">
        <f>IFERROR(MIN(2,IF('BMP P Tracking Table'!$W63="Total Pervious",(-(3630*'BMP P Tracking Table'!$V63+20.691*'BMP P Tracking Table'!$AB63)+SQRT((3630*'BMP P Tracking Table'!$V63+20.691*'BMP P Tracking Table'!$AB63)^2-(4*(996.798*'BMP P Tracking Table'!$AB63)*-'BMP P Tracking Table'!$AC63)))/(2*(996.798*'BMP P Tracking Table'!$AB63)),IF(SUM('BMP P Tracking Table'!$X63:$AA63)=0,'BMP P Tracking Table'!$AC63/(-3630*'BMP P Tracking Table'!$V63),(-(3630*'BMP P Tracking Table'!$V63+20.691*'BMP P Tracking Table'!$AA63-216.711*'BMP P Tracking Table'!$Z63-83.853*'BMP P Tracking Table'!$Y63-42.834*'BMP P Tracking Table'!$X63)+SQRT((3630*'BMP P Tracking Table'!$V63+20.691*'BMP P Tracking Table'!$AA63-216.711*'BMP P Tracking Table'!$Z63-83.853*'BMP P Tracking Table'!$Y63-42.834*'BMP P Tracking Table'!$X63)^2-(4*(149.919*'BMP P Tracking Table'!$X63+236.676*'BMP P Tracking Table'!$Y63+726*'BMP P Tracking Table'!$Z63+996.798*'BMP P Tracking Table'!$AA63)*-'BMP P Tracking Table'!$AC63)))/(2*(149.919*'BMP P Tracking Table'!$X63+236.676*'BMP P Tracking Table'!$Y63+726*'BMP P Tracking Table'!$Z63+996.798*'BMP P Tracking Table'!$AA63))))),"")</f>
        <v/>
      </c>
      <c r="AG63" s="114" t="str">
        <f>IFERROR((VLOOKUP(CONCATENATE('BMP P Tracking Table'!$U63," ",'BMP P Tracking Table'!$AD63),'Performance Curves'!$C$1:$L$46,_xlfn.SINGLE(MATCH('BMP P Tracking Table'!$AF63,'Performance Curves'!$D$1:$L$1,1))+2,FALSE)-VLOOKUP(CONCATENATE('BMP P Tracking Table'!$U63," ",'BMP P Tracking Table'!$AD63),'Performance Curves'!$C$1:$L$46,_xlfn.SINGLE(MATCH('BMP P Tracking Table'!$AF63,'Performance Curves'!$D$1:$L$1,1))+1,FALSE)),"")</f>
        <v/>
      </c>
      <c r="AH63" s="114" t="str">
        <f>IFERROR(('BMP P Tracking Table'!$AF63-INDEX('Performance Curves'!$D$1:$L$1,1,MATCH('BMP P Tracking Table'!$AF63,'Performance Curves'!$D$1:$L$1,1)))/(INDEX('Performance Curves'!$D$1:$L$1,1,MATCH('BMP P Tracking Table'!$AF63,'Performance Curves'!$D$1:$L$1,1)+1)-INDEX('Performance Curves'!$D$1:$L$1,1,MATCH('BMP P Tracking Table'!$AF63,'Performance Curves'!$D$1:$L$1,1))),"")</f>
        <v/>
      </c>
      <c r="AI63" s="115" t="str">
        <f>IFERROR(IF('BMP P Tracking Table'!$AF63=2,VLOOKUP(CONCATENATE('BMP P Tracking Table'!$U63," ",'BMP P Tracking Table'!$AD63),'Performance Curves'!$C$1:$L$46,_xlfn.SINGLE(MATCH('BMP P Tracking Table'!$AF63,'Performance Curves'!$D$1:$L$1,1))+1,FALSE),'BMP P Tracking Table'!$AG63*'BMP P Tracking Table'!$AH63+VLOOKUP(CONCATENATE('BMP P Tracking Table'!$U63," ",'BMP P Tracking Table'!$AD63),'Performance Curves'!$C$1:$L$46,_xlfn.SINGLE(MATCH('BMP P Tracking Table'!$AF63,'Performance Curves'!$D$1:$L$1,1))+1,FALSE)),"")</f>
        <v/>
      </c>
      <c r="AJ63" s="114" t="str">
        <f>IFERROR('BMP P Tracking Table'!$AI63*'BMP P Tracking Table'!$AE63,"")</f>
        <v/>
      </c>
      <c r="AK63" s="110"/>
      <c r="AL63" s="116" t="s">
        <v>62</v>
      </c>
      <c r="AM63" s="116"/>
      <c r="AN63" s="117">
        <v>1</v>
      </c>
      <c r="AO63" s="118" t="str">
        <f t="shared" si="5"/>
        <v/>
      </c>
      <c r="AP63" s="116"/>
      <c r="AQ63" s="116"/>
      <c r="AR63" s="116"/>
      <c r="AS63" s="116"/>
      <c r="AT63" s="116"/>
      <c r="AU63" s="116"/>
      <c r="AV63" s="116"/>
      <c r="AW63" s="110"/>
      <c r="AX63" s="119"/>
      <c r="AY63" s="119"/>
      <c r="AZ63" s="114" t="str">
        <f>IF('BMP P Tracking Table'!$AL63="Yes",IF('BMP P Tracking Table'!$AM63="No",'BMP P Tracking Table'!$V63*VLOOKUP('BMP P Tracking Table'!$R63,'Loading Rates'!$B$1:$L$24,4,FALSE)+IF('BMP P Tracking Table'!$W63="By HSG",'BMP P Tracking Table'!$X63*VLOOKUP('BMP P Tracking Table'!$R63,'Loading Rates'!$B$1:$L$24,6,FALSE)+'BMP P Tracking Table'!$Y63*VLOOKUP('BMP P Tracking Table'!$R63,'Loading Rates'!$B$1:$L$24,7,FALSE)+'BMP P Tracking Table'!$Z63*VLOOKUP('BMP P Tracking Table'!$R63,'Loading Rates'!$B$1:$L$24,8,FALSE)+'BMP P Tracking Table'!$AA63*VLOOKUP('BMP P Tracking Table'!$R63,'Loading Rates'!$B$1:$L$24,9,FALSE),'BMP P Tracking Table'!$AB63*VLOOKUP('BMP P Tracking Table'!$R63,'Loading Rates'!$B$1:$L$24,10,FALSE)),'BMP P Tracking Table'!$AP63*VLOOKUP('BMP P Tracking Table'!$R63,'Loading Rates'!$B$1:$L$24,4,FALSE)+IF('BMP P Tracking Table'!$AQ63="By HSG",'BMP P Tracking Table'!$AR63*VLOOKUP('BMP P Tracking Table'!$R63,'Loading Rates'!$B$1:$L$24,6,FALSE)+'BMP P Tracking Table'!$AS63*VLOOKUP('BMP P Tracking Table'!$R63,'Loading Rates'!$B$1:$L$24,7,FALSE)+'BMP P Tracking Table'!$AT63*VLOOKUP('BMP P Tracking Table'!$R63,'Loading Rates'!$B$1:$L$24,8,FALSE)+'BMP P Tracking Table'!$AU63*VLOOKUP('BMP P Tracking Table'!$R63,'Loading Rates'!$B$1:$L$24,9,FALSE),'BMP P Tracking Table'!$AV63*VLOOKUP('BMP P Tracking Table'!$R63,'Loading Rates'!$B$1:$L$24,10,FALSE))),"")</f>
        <v/>
      </c>
      <c r="BA63" s="114" t="str">
        <f>IFERROR(IF('BMP P Tracking Table'!$AM63="Yes",MIN(2,IF('BMP P Tracking Table'!$AQ63="Total Pervious",(-(3630*'BMP P Tracking Table'!$AP63+20.691*'BMP P Tracking Table'!$AV63)+SQRT((3630*'BMP P Tracking Table'!$AP63+20.691*'BMP P Tracking Table'!$AV63)^2-(4*(996.798*'BMP P Tracking Table'!$AV63)*-'BMP P Tracking Table'!$AX63)))/(2*(996.798*'BMP P Tracking Table'!$AV63)),IF(SUM('BMP P Tracking Table'!$AR63:$AU63)=0,'BMP P Tracking Table'!$AV63/(-3630*'BMP P Tracking Table'!$AP63),(-(3630*'BMP P Tracking Table'!$AP63+20.691*'BMP P Tracking Table'!$AU63-216.711*'BMP P Tracking Table'!$AT63-83.853*'BMP P Tracking Table'!$AS63-42.834*'BMP P Tracking Table'!$AR63)+SQRT((3630*'BMP P Tracking Table'!$AP63+20.691*'BMP P Tracking Table'!$AU63-216.711*'BMP P Tracking Table'!$AT63-83.853*'BMP P Tracking Table'!$AS63-42.834*'BMP P Tracking Table'!$AR63)^2-(4*(149.919*'BMP P Tracking Table'!$AR63+236.676*'BMP P Tracking Table'!$AS63+726*'BMP P Tracking Table'!$AT63+996.798*'BMP P Tracking Table'!$AU63)*-'BMP P Tracking Table'!$AX63)))/(2*(149.919*'BMP P Tracking Table'!$AR63+236.676*'BMP P Tracking Table'!$AS63+726*'BMP P Tracking Table'!$AT63+996.798*'BMP P Tracking Table'!$AU63))))),MIN(2,IF('BMP P Tracking Table'!$AQ63="Total Pervious",(-(3630*'BMP P Tracking Table'!$V63+20.691*'BMP P Tracking Table'!$AB63)+SQRT((3630*'BMP P Tracking Table'!$V63+20.691*'BMP P Tracking Table'!$AB63)^2-(4*(996.798*'BMP P Tracking Table'!$AB63)*-'BMP P Tracking Table'!$AX63)))/(2*(996.798*'BMP P Tracking Table'!$AB63)),IF(SUM('BMP P Tracking Table'!$X63:$AA63)=0,'BMP P Tracking Table'!$AX63/(-3630*'BMP P Tracking Table'!$V63),(-(3630*'BMP P Tracking Table'!$V63+20.691*'BMP P Tracking Table'!$AA63-216.711*'BMP P Tracking Table'!$Z63-83.853*'BMP P Tracking Table'!$Y63-42.834*'BMP P Tracking Table'!$X63)+SQRT((3630*'BMP P Tracking Table'!$V63+20.691*'BMP P Tracking Table'!$AA63-216.711*'BMP P Tracking Table'!$Z63-83.853*'BMP P Tracking Table'!$Y63-42.834*'BMP P Tracking Table'!$X63)^2-(4*(149.919*'BMP P Tracking Table'!$X63+236.676*'BMP P Tracking Table'!$Y63+726*'BMP P Tracking Table'!$Z63+996.798*'BMP P Tracking Table'!$AA63)*-'BMP P Tracking Table'!$AX63)))/(2*(149.919*'BMP P Tracking Table'!$X63+236.676*'BMP P Tracking Table'!$Y63+726*'BMP P Tracking Table'!$Z63+996.798*'BMP P Tracking Table'!$AA63)))))),"")</f>
        <v/>
      </c>
      <c r="BB63" s="118" t="str">
        <f>IFERROR((VLOOKUP(CONCATENATE('BMP P Tracking Table'!$AW63," ",'BMP P Tracking Table'!$AY63),'Performance Curves'!$C$1:$L$46,_xlfn.SINGLE(MATCH('BMP P Tracking Table'!$BA63,'Performance Curves'!$D$1:$L$1,1))+2,FALSE)-VLOOKUP(CONCATENATE('BMP P Tracking Table'!$AW63," ",'BMP P Tracking Table'!$AY63),'Performance Curves'!$C$1:$L$46,_xlfn.SINGLE(MATCH('BMP P Tracking Table'!$BA63,'Performance Curves'!$D$1:$L$1,1))+1,FALSE)),"")</f>
        <v/>
      </c>
      <c r="BC63" s="118" t="str">
        <f>IFERROR(('BMP P Tracking Table'!$BA63-INDEX('Performance Curves'!$D$1:$L$1,1,MATCH('BMP P Tracking Table'!$BA63,'Performance Curves'!$D$1:$L$1,1)))/(INDEX('Performance Curves'!$D$1:$L$1,1,MATCH('BMP P Tracking Table'!$BA63,'Performance Curves'!$D$1:$L$1,1)+1)-INDEX('Performance Curves'!$D$1:$L$1,1,MATCH('BMP P Tracking Table'!$BA63,'Performance Curves'!$D$1:$L$1,1))),"")</f>
        <v/>
      </c>
      <c r="BD63" s="115" t="str" cm="1">
        <f t="array" ref="BD63">IFERROR(IF('BMP P Tracking Table'!$BA63=2,VLOOKUP(CONCATENATE('BMP P Tracking Table'!$AW63," ",'BMP P Tracking Table'!$AY63),'Performance Curves'!$C$1:$L$44,_xlfn.SINGLE(MATCH('BMP P Tracking Table'!$BA63,'Performance Curves'!$D$1:$L$1,1))+1,FALSE),'BMP P Tracking Table'!$BB63*'BMP P Tracking Table'!$BC63+VLOOKUP(CONCATENATE('BMP P Tracking Table'!$AW63," ",'BMP P Tracking Table'!$AY63),'Performance Curves'!$C$1:$L$44,_xlfn.SINGLE(MATCH('BMP P Tracking Table'!$BA63,'Performance Curves'!$D$1:$L$1,1))+1,FALSE)),"")</f>
        <v/>
      </c>
      <c r="BE63" s="114" t="str">
        <f>IFERROR('BMP P Tracking Table'!$BD63*'BMP P Tracking Table'!$AZ63,"")</f>
        <v/>
      </c>
      <c r="BF63" s="116"/>
      <c r="BG63" s="120">
        <f t="shared" si="6"/>
        <v>0</v>
      </c>
      <c r="BH63" s="121" t="s">
        <v>646</v>
      </c>
      <c r="BI63" s="36" t="str">
        <f t="shared" si="1"/>
        <v>3578-9010.R</v>
      </c>
      <c r="BJ63" s="36" t="str">
        <f t="shared" si="2"/>
        <v>Pinewood Manor S/N 004</v>
      </c>
    </row>
    <row r="64" spans="1:62" s="36" customFormat="1">
      <c r="A64" s="36" t="s">
        <v>390</v>
      </c>
      <c r="B64" s="65" t="s">
        <v>390</v>
      </c>
      <c r="C64" s="65" t="s">
        <v>629</v>
      </c>
      <c r="D64" s="65" t="s">
        <v>327</v>
      </c>
      <c r="E64" s="65" t="s">
        <v>9</v>
      </c>
      <c r="F64" s="94"/>
      <c r="G64" s="94"/>
      <c r="H64" s="65" t="s">
        <v>390</v>
      </c>
      <c r="I64" s="65"/>
      <c r="J64" s="65" t="s">
        <v>66</v>
      </c>
      <c r="K64" s="95"/>
      <c r="L64" s="65" t="s">
        <v>111</v>
      </c>
      <c r="M64" s="65"/>
      <c r="N64" s="199">
        <v>34482</v>
      </c>
      <c r="O64" s="65"/>
      <c r="P64" s="65"/>
      <c r="Q64" s="65" t="s">
        <v>119</v>
      </c>
      <c r="R64" s="65" t="s">
        <v>146</v>
      </c>
      <c r="S64" s="65" t="s">
        <v>129</v>
      </c>
      <c r="T64" s="65" t="s">
        <v>62</v>
      </c>
      <c r="U64" s="65" t="s">
        <v>232</v>
      </c>
      <c r="V64" s="65">
        <f>4.81+4.54</f>
        <v>9.35</v>
      </c>
      <c r="W64" s="65" t="s">
        <v>219</v>
      </c>
      <c r="X64" s="65"/>
      <c r="Y64" s="65"/>
      <c r="Z64" s="65"/>
      <c r="AA64" s="65"/>
      <c r="AB64" s="65">
        <f>33.6+40.65</f>
        <v>74.25</v>
      </c>
      <c r="AC64" s="97"/>
      <c r="AD64" s="65"/>
      <c r="AE64" s="104">
        <f>IFERROR('BMP P Tracking Table'!$V64*VLOOKUP('BMP P Tracking Table'!$R64,'Loading Rates'!$B$1:$L$24,4,FALSE)+IF('BMP P Tracking Table'!$W64="By HSG",'BMP P Tracking Table'!$X64*VLOOKUP('BMP P Tracking Table'!$R64,'Loading Rates'!$B$1:$L$24,6,FALSE)+'BMP P Tracking Table'!$Y64*VLOOKUP('BMP P Tracking Table'!$R64,'Loading Rates'!$B$1:$L$24,7,FALSE)+'BMP P Tracking Table'!$Z64*VLOOKUP('BMP P Tracking Table'!$R64,'Loading Rates'!$B$1:$L$24,8,FALSE)+'BMP P Tracking Table'!$AA64*VLOOKUP('BMP P Tracking Table'!$R64,'Loading Rates'!$B$1:$L$24,9,FALSE),'BMP P Tracking Table'!$AB64*VLOOKUP('BMP P Tracking Table'!$R64,'Loading Rates'!$B$1:$L$24,10,FALSE)),"")</f>
        <v>27.595700000000001</v>
      </c>
      <c r="AF64" s="104">
        <f>IFERROR(MIN(2,IF('BMP P Tracking Table'!$W64="Total Pervious",(-(3630*'BMP P Tracking Table'!$V64+20.691*'BMP P Tracking Table'!$AB64)+SQRT((3630*'BMP P Tracking Table'!$V64+20.691*'BMP P Tracking Table'!$AB64)^2-(4*(996.798*'BMP P Tracking Table'!$AB64)*-'BMP P Tracking Table'!$AC64)))/(2*(996.798*'BMP P Tracking Table'!$AB64)),IF(SUM('BMP P Tracking Table'!$X64:$AA64)=0,'BMP P Tracking Table'!$AC64/(-3630*'BMP P Tracking Table'!$V64),(-(3630*'BMP P Tracking Table'!$V64+20.691*'BMP P Tracking Table'!$AA64-216.711*'BMP P Tracking Table'!$Z64-83.853*'BMP P Tracking Table'!$Y64-42.834*'BMP P Tracking Table'!$X64)+SQRT((3630*'BMP P Tracking Table'!$V64+20.691*'BMP P Tracking Table'!$AA64-216.711*'BMP P Tracking Table'!$Z64-83.853*'BMP P Tracking Table'!$Y64-42.834*'BMP P Tracking Table'!$X64)^2-(4*(149.919*'BMP P Tracking Table'!$X64+236.676*'BMP P Tracking Table'!$Y64+726*'BMP P Tracking Table'!$Z64+996.798*'BMP P Tracking Table'!$AA64)*-'BMP P Tracking Table'!$AC64)))/(2*(149.919*'BMP P Tracking Table'!$X64+236.676*'BMP P Tracking Table'!$Y64+726*'BMP P Tracking Table'!$Z64+996.798*'BMP P Tracking Table'!$AA64))))),"")</f>
        <v>0</v>
      </c>
      <c r="AG64" s="104">
        <f>IFERROR((VLOOKUP(CONCATENATE('BMP P Tracking Table'!$U64," ",'BMP P Tracking Table'!$AD64),'Performance Curves'!$C$1:$L$46,_xlfn.SINGLE(MATCH('BMP P Tracking Table'!$AF64,'Performance Curves'!$D$1:$L$1,1))+2,FALSE)-VLOOKUP(CONCATENATE('BMP P Tracking Table'!$U64," ",'BMP P Tracking Table'!$AD64),'Performance Curves'!$C$1:$L$46,_xlfn.SINGLE(MATCH('BMP P Tracking Table'!$AF64,'Performance Curves'!$D$1:$L$1,1))+1,FALSE)),"")</f>
        <v>0.02</v>
      </c>
      <c r="AH64" s="104">
        <f>IFERROR(('BMP P Tracking Table'!$AF64-INDEX('Performance Curves'!$D$1:$L$1,1,MATCH('BMP P Tracking Table'!$AF64,'Performance Curves'!$D$1:$L$1,1)))/(INDEX('Performance Curves'!$D$1:$L$1,1,MATCH('BMP P Tracking Table'!$AF64,'Performance Curves'!$D$1:$L$1,1)+1)-INDEX('Performance Curves'!$D$1:$L$1,1,MATCH('BMP P Tracking Table'!$AF64,'Performance Curves'!$D$1:$L$1,1))),"")</f>
        <v>0</v>
      </c>
      <c r="AI64" s="103">
        <f>IFERROR(IF('BMP P Tracking Table'!$AF64=2,VLOOKUP(CONCATENATE('BMP P Tracking Table'!$U64," ",'BMP P Tracking Table'!$AD64),'Performance Curves'!$C$1:$L$46,_xlfn.SINGLE(MATCH('BMP P Tracking Table'!$AF64,'Performance Curves'!$D$1:$L$1,1))+1,FALSE),'BMP P Tracking Table'!$AG64*'BMP P Tracking Table'!$AH64+VLOOKUP(CONCATENATE('BMP P Tracking Table'!$U64," ",'BMP P Tracking Table'!$AD64),'Performance Curves'!$C$1:$L$46,_xlfn.SINGLE(MATCH('BMP P Tracking Table'!$AF64,'Performance Curves'!$D$1:$L$1,1))+1,FALSE)),"")</f>
        <v>0</v>
      </c>
      <c r="AJ64" s="104">
        <f>IFERROR('BMP P Tracking Table'!$AI64*'BMP P Tracking Table'!$AE64,"")</f>
        <v>0</v>
      </c>
      <c r="AK64" s="65"/>
      <c r="AL64" s="98" t="s">
        <v>62</v>
      </c>
      <c r="AM64" s="98"/>
      <c r="AN64" s="64">
        <v>1</v>
      </c>
      <c r="AO64" s="102">
        <f t="shared" si="5"/>
        <v>0</v>
      </c>
      <c r="AP64" s="98"/>
      <c r="AQ64" s="98"/>
      <c r="AR64" s="98"/>
      <c r="AS64" s="98"/>
      <c r="AT64" s="98"/>
      <c r="AU64" s="98"/>
      <c r="AV64" s="98"/>
      <c r="AW64" s="65"/>
      <c r="AX64" s="99"/>
      <c r="AY64" s="99"/>
      <c r="AZ64" s="104" t="str">
        <f>IF('BMP P Tracking Table'!$AL64="Yes",IF('BMP P Tracking Table'!$AM64="No",'BMP P Tracking Table'!$V64*VLOOKUP('BMP P Tracking Table'!$R64,'Loading Rates'!$B$1:$L$24,4,FALSE)+IF('BMP P Tracking Table'!$W64="By HSG",'BMP P Tracking Table'!$X64*VLOOKUP('BMP P Tracking Table'!$R64,'Loading Rates'!$B$1:$L$24,6,FALSE)+'BMP P Tracking Table'!$Y64*VLOOKUP('BMP P Tracking Table'!$R64,'Loading Rates'!$B$1:$L$24,7,FALSE)+'BMP P Tracking Table'!$Z64*VLOOKUP('BMP P Tracking Table'!$R64,'Loading Rates'!$B$1:$L$24,8,FALSE)+'BMP P Tracking Table'!$AA64*VLOOKUP('BMP P Tracking Table'!$R64,'Loading Rates'!$B$1:$L$24,9,FALSE),'BMP P Tracking Table'!$AB64*VLOOKUP('BMP P Tracking Table'!$R64,'Loading Rates'!$B$1:$L$24,10,FALSE)),'BMP P Tracking Table'!$AP64*VLOOKUP('BMP P Tracking Table'!$R64,'Loading Rates'!$B$1:$L$24,4,FALSE)+IF('BMP P Tracking Table'!$AQ64="By HSG",'BMP P Tracking Table'!$AR64*VLOOKUP('BMP P Tracking Table'!$R64,'Loading Rates'!$B$1:$L$24,6,FALSE)+'BMP P Tracking Table'!$AS64*VLOOKUP('BMP P Tracking Table'!$R64,'Loading Rates'!$B$1:$L$24,7,FALSE)+'BMP P Tracking Table'!$AT64*VLOOKUP('BMP P Tracking Table'!$R64,'Loading Rates'!$B$1:$L$24,8,FALSE)+'BMP P Tracking Table'!$AU64*VLOOKUP('BMP P Tracking Table'!$R64,'Loading Rates'!$B$1:$L$24,9,FALSE),'BMP P Tracking Table'!$AV64*VLOOKUP('BMP P Tracking Table'!$R64,'Loading Rates'!$B$1:$L$24,10,FALSE))),"")</f>
        <v/>
      </c>
      <c r="BA64" s="104">
        <f>IFERROR(IF('BMP P Tracking Table'!$AM64="Yes",MIN(2,IF('BMP P Tracking Table'!$AQ64="Total Pervious",(-(3630*'BMP P Tracking Table'!$AP64+20.691*'BMP P Tracking Table'!$AV64)+SQRT((3630*'BMP P Tracking Table'!$AP64+20.691*'BMP P Tracking Table'!$AV64)^2-(4*(996.798*'BMP P Tracking Table'!$AV64)*-'BMP P Tracking Table'!$AX64)))/(2*(996.798*'BMP P Tracking Table'!$AV64)),IF(SUM('BMP P Tracking Table'!$AR64:$AU64)=0,'BMP P Tracking Table'!$AV64/(-3630*'BMP P Tracking Table'!$AP64),(-(3630*'BMP P Tracking Table'!$AP64+20.691*'BMP P Tracking Table'!$AU64-216.711*'BMP P Tracking Table'!$AT64-83.853*'BMP P Tracking Table'!$AS64-42.834*'BMP P Tracking Table'!$AR64)+SQRT((3630*'BMP P Tracking Table'!$AP64+20.691*'BMP P Tracking Table'!$AU64-216.711*'BMP P Tracking Table'!$AT64-83.853*'BMP P Tracking Table'!$AS64-42.834*'BMP P Tracking Table'!$AR64)^2-(4*(149.919*'BMP P Tracking Table'!$AR64+236.676*'BMP P Tracking Table'!$AS64+726*'BMP P Tracking Table'!$AT64+996.798*'BMP P Tracking Table'!$AU64)*-'BMP P Tracking Table'!$AX64)))/(2*(149.919*'BMP P Tracking Table'!$AR64+236.676*'BMP P Tracking Table'!$AS64+726*'BMP P Tracking Table'!$AT64+996.798*'BMP P Tracking Table'!$AU64))))),MIN(2,IF('BMP P Tracking Table'!$AQ64="Total Pervious",(-(3630*'BMP P Tracking Table'!$V64+20.691*'BMP P Tracking Table'!$AB64)+SQRT((3630*'BMP P Tracking Table'!$V64+20.691*'BMP P Tracking Table'!$AB64)^2-(4*(996.798*'BMP P Tracking Table'!$AB64)*-'BMP P Tracking Table'!$AX64)))/(2*(996.798*'BMP P Tracking Table'!$AB64)),IF(SUM('BMP P Tracking Table'!$X64:$AA64)=0,'BMP P Tracking Table'!$AX64/(-3630*'BMP P Tracking Table'!$V64),(-(3630*'BMP P Tracking Table'!$V64+20.691*'BMP P Tracking Table'!$AA64-216.711*'BMP P Tracking Table'!$Z64-83.853*'BMP P Tracking Table'!$Y64-42.834*'BMP P Tracking Table'!$X64)+SQRT((3630*'BMP P Tracking Table'!$V64+20.691*'BMP P Tracking Table'!$AA64-216.711*'BMP P Tracking Table'!$Z64-83.853*'BMP P Tracking Table'!$Y64-42.834*'BMP P Tracking Table'!$X64)^2-(4*(149.919*'BMP P Tracking Table'!$X64+236.676*'BMP P Tracking Table'!$Y64+726*'BMP P Tracking Table'!$Z64+996.798*'BMP P Tracking Table'!$AA64)*-'BMP P Tracking Table'!$AX64)))/(2*(149.919*'BMP P Tracking Table'!$X64+236.676*'BMP P Tracking Table'!$Y64+726*'BMP P Tracking Table'!$Z64+996.798*'BMP P Tracking Table'!$AA64)))))),"")</f>
        <v>0</v>
      </c>
      <c r="BB64" s="102" t="str">
        <f>IFERROR((VLOOKUP(CONCATENATE('BMP P Tracking Table'!$AW64," ",'BMP P Tracking Table'!$AY64),'Performance Curves'!$C$1:$L$46,_xlfn.SINGLE(MATCH('BMP P Tracking Table'!$BA64,'Performance Curves'!$D$1:$L$1,1))+2,FALSE)-VLOOKUP(CONCATENATE('BMP P Tracking Table'!$AW64," ",'BMP P Tracking Table'!$AY64),'Performance Curves'!$C$1:$L$46,_xlfn.SINGLE(MATCH('BMP P Tracking Table'!$BA64,'Performance Curves'!$D$1:$L$1,1))+1,FALSE)),"")</f>
        <v/>
      </c>
      <c r="BC64" s="102">
        <f>IFERROR(('BMP P Tracking Table'!$BA64-INDEX('Performance Curves'!$D$1:$L$1,1,MATCH('BMP P Tracking Table'!$BA64,'Performance Curves'!$D$1:$L$1,1)))/(INDEX('Performance Curves'!$D$1:$L$1,1,MATCH('BMP P Tracking Table'!$BA64,'Performance Curves'!$D$1:$L$1,1)+1)-INDEX('Performance Curves'!$D$1:$L$1,1,MATCH('BMP P Tracking Table'!$BA64,'Performance Curves'!$D$1:$L$1,1))),"")</f>
        <v>0</v>
      </c>
      <c r="BD64" s="103" t="str" cm="1">
        <f t="array" ref="BD64">IFERROR(IF('BMP P Tracking Table'!$BA64=2,VLOOKUP(CONCATENATE('BMP P Tracking Table'!$AW64," ",'BMP P Tracking Table'!$AY64),'Performance Curves'!$C$1:$L$44,_xlfn.SINGLE(MATCH('BMP P Tracking Table'!$BA64,'Performance Curves'!$D$1:$L$1,1))+1,FALSE),'BMP P Tracking Table'!$BB64*'BMP P Tracking Table'!$BC64+VLOOKUP(CONCATENATE('BMP P Tracking Table'!$AW64," ",'BMP P Tracking Table'!$AY64),'Performance Curves'!$C$1:$L$44,_xlfn.SINGLE(MATCH('BMP P Tracking Table'!$BA64,'Performance Curves'!$D$1:$L$1,1))+1,FALSE)),"")</f>
        <v/>
      </c>
      <c r="BE64" s="104" t="str">
        <f>IFERROR('BMP P Tracking Table'!$BD64*'BMP P Tracking Table'!$AZ64,"")</f>
        <v/>
      </c>
      <c r="BF64" s="92"/>
      <c r="BG64" s="37">
        <f t="shared" si="6"/>
        <v>0</v>
      </c>
      <c r="BI64" s="36" t="str">
        <f t="shared" si="1"/>
        <v>3579-9010.R</v>
      </c>
      <c r="BJ64" s="36" t="str">
        <f t="shared" si="2"/>
        <v>Old Stage Village S/N 001</v>
      </c>
    </row>
    <row r="65" spans="1:74">
      <c r="A65" s="36" t="s">
        <v>390</v>
      </c>
      <c r="B65" s="65" t="s">
        <v>390</v>
      </c>
      <c r="C65" s="65" t="s">
        <v>630</v>
      </c>
      <c r="D65" s="65" t="s">
        <v>327</v>
      </c>
      <c r="E65" s="65" t="s">
        <v>9</v>
      </c>
      <c r="F65" s="94"/>
      <c r="G65" s="94"/>
      <c r="H65" s="65" t="s">
        <v>390</v>
      </c>
      <c r="I65" s="65"/>
      <c r="J65" s="65" t="s">
        <v>66</v>
      </c>
      <c r="K65" s="95"/>
      <c r="L65" s="65" t="s">
        <v>111</v>
      </c>
      <c r="M65" s="65"/>
      <c r="N65" s="199">
        <v>34482</v>
      </c>
      <c r="O65" s="65"/>
      <c r="P65" s="65"/>
      <c r="Q65" s="65" t="s">
        <v>119</v>
      </c>
      <c r="R65" s="65" t="s">
        <v>146</v>
      </c>
      <c r="S65" s="65" t="s">
        <v>129</v>
      </c>
      <c r="T65" s="65" t="s">
        <v>62</v>
      </c>
      <c r="U65" s="65" t="s">
        <v>232</v>
      </c>
      <c r="V65" s="65" t="s">
        <v>658</v>
      </c>
      <c r="W65" s="65" t="s">
        <v>219</v>
      </c>
      <c r="X65" s="65"/>
      <c r="Y65" s="65"/>
      <c r="Z65" s="65"/>
      <c r="AA65" s="65"/>
      <c r="AB65" s="65"/>
      <c r="AC65" s="97"/>
      <c r="AD65" s="65"/>
      <c r="AE65" s="104" t="str">
        <f>IFERROR('BMP P Tracking Table'!$V65*VLOOKUP('BMP P Tracking Table'!$R65,'Loading Rates'!$B$1:$L$24,4,FALSE)+IF('BMP P Tracking Table'!$W65="By HSG",'BMP P Tracking Table'!$X65*VLOOKUP('BMP P Tracking Table'!$R65,'Loading Rates'!$B$1:$L$24,6,FALSE)+'BMP P Tracking Table'!$Y65*VLOOKUP('BMP P Tracking Table'!$R65,'Loading Rates'!$B$1:$L$24,7,FALSE)+'BMP P Tracking Table'!$Z65*VLOOKUP('BMP P Tracking Table'!$R65,'Loading Rates'!$B$1:$L$24,8,FALSE)+'BMP P Tracking Table'!$AA65*VLOOKUP('BMP P Tracking Table'!$R65,'Loading Rates'!$B$1:$L$24,9,FALSE),'BMP P Tracking Table'!$AB65*VLOOKUP('BMP P Tracking Table'!$R65,'Loading Rates'!$B$1:$L$24,10,FALSE)),"")</f>
        <v/>
      </c>
      <c r="AF65" s="104" t="str">
        <f>IFERROR(MIN(2,IF('BMP P Tracking Table'!$W65="Total Pervious",(-(3630*'BMP P Tracking Table'!$V65+20.691*'BMP P Tracking Table'!$AB65)+SQRT((3630*'BMP P Tracking Table'!$V65+20.691*'BMP P Tracking Table'!$AB65)^2-(4*(996.798*'BMP P Tracking Table'!$AB65)*-'BMP P Tracking Table'!$AC65)))/(2*(996.798*'BMP P Tracking Table'!$AB65)),IF(SUM('BMP P Tracking Table'!$X65:$AA65)=0,'BMP P Tracking Table'!$AC65/(-3630*'BMP P Tracking Table'!$V65),(-(3630*'BMP P Tracking Table'!$V65+20.691*'BMP P Tracking Table'!$AA65-216.711*'BMP P Tracking Table'!$Z65-83.853*'BMP P Tracking Table'!$Y65-42.834*'BMP P Tracking Table'!$X65)+SQRT((3630*'BMP P Tracking Table'!$V65+20.691*'BMP P Tracking Table'!$AA65-216.711*'BMP P Tracking Table'!$Z65-83.853*'BMP P Tracking Table'!$Y65-42.834*'BMP P Tracking Table'!$X65)^2-(4*(149.919*'BMP P Tracking Table'!$X65+236.676*'BMP P Tracking Table'!$Y65+726*'BMP P Tracking Table'!$Z65+996.798*'BMP P Tracking Table'!$AA65)*-'BMP P Tracking Table'!$AC65)))/(2*(149.919*'BMP P Tracking Table'!$X65+236.676*'BMP P Tracking Table'!$Y65+726*'BMP P Tracking Table'!$Z65+996.798*'BMP P Tracking Table'!$AA65))))),"")</f>
        <v/>
      </c>
      <c r="AG65" s="104" t="str">
        <f>IFERROR((VLOOKUP(CONCATENATE('BMP P Tracking Table'!$U65," ",'BMP P Tracking Table'!$AD65),'Performance Curves'!$C$1:$L$46,_xlfn.SINGLE(MATCH('BMP P Tracking Table'!$AF65,'Performance Curves'!$D$1:$L$1,1))+2,FALSE)-VLOOKUP(CONCATENATE('BMP P Tracking Table'!$U65," ",'BMP P Tracking Table'!$AD65),'Performance Curves'!$C$1:$L$46,_xlfn.SINGLE(MATCH('BMP P Tracking Table'!$AF65,'Performance Curves'!$D$1:$L$1,1))+1,FALSE)),"")</f>
        <v/>
      </c>
      <c r="AH65" s="104" t="str">
        <f>IFERROR(('BMP P Tracking Table'!$AF65-INDEX('Performance Curves'!$D$1:$L$1,1,MATCH('BMP P Tracking Table'!$AF65,'Performance Curves'!$D$1:$L$1,1)))/(INDEX('Performance Curves'!$D$1:$L$1,1,MATCH('BMP P Tracking Table'!$AF65,'Performance Curves'!$D$1:$L$1,1)+1)-INDEX('Performance Curves'!$D$1:$L$1,1,MATCH('BMP P Tracking Table'!$AF65,'Performance Curves'!$D$1:$L$1,1))),"")</f>
        <v/>
      </c>
      <c r="AI65" s="103" t="str">
        <f>IFERROR(IF('BMP P Tracking Table'!$AF65=2,VLOOKUP(CONCATENATE('BMP P Tracking Table'!$U65," ",'BMP P Tracking Table'!$AD65),'Performance Curves'!$C$1:$L$46,_xlfn.SINGLE(MATCH('BMP P Tracking Table'!$AF65,'Performance Curves'!$D$1:$L$1,1))+1,FALSE),'BMP P Tracking Table'!$AG65*'BMP P Tracking Table'!$AH65+VLOOKUP(CONCATENATE('BMP P Tracking Table'!$U65," ",'BMP P Tracking Table'!$AD65),'Performance Curves'!$C$1:$L$46,_xlfn.SINGLE(MATCH('BMP P Tracking Table'!$AF65,'Performance Curves'!$D$1:$L$1,1))+1,FALSE)),"")</f>
        <v/>
      </c>
      <c r="AJ65" s="104" t="str">
        <f>IFERROR('BMP P Tracking Table'!$AI65*'BMP P Tracking Table'!$AE65,"")</f>
        <v/>
      </c>
      <c r="AK65" s="65"/>
      <c r="AL65" s="98" t="s">
        <v>62</v>
      </c>
      <c r="AM65" s="98"/>
      <c r="AN65" s="64">
        <v>1</v>
      </c>
      <c r="AO65" s="102" t="str">
        <f t="shared" si="5"/>
        <v/>
      </c>
      <c r="AP65" s="98"/>
      <c r="AQ65" s="98"/>
      <c r="AR65" s="98"/>
      <c r="AS65" s="98"/>
      <c r="AT65" s="98"/>
      <c r="AU65" s="98"/>
      <c r="AV65" s="98"/>
      <c r="AW65" s="65"/>
      <c r="AX65" s="99"/>
      <c r="AY65" s="99"/>
      <c r="AZ65" s="104" t="str">
        <f>IF('BMP P Tracking Table'!$AL65="Yes",IF('BMP P Tracking Table'!$AM65="No",'BMP P Tracking Table'!$V65*VLOOKUP('BMP P Tracking Table'!$R65,'Loading Rates'!$B$1:$L$24,4,FALSE)+IF('BMP P Tracking Table'!$W65="By HSG",'BMP P Tracking Table'!$X65*VLOOKUP('BMP P Tracking Table'!$R65,'Loading Rates'!$B$1:$L$24,6,FALSE)+'BMP P Tracking Table'!$Y65*VLOOKUP('BMP P Tracking Table'!$R65,'Loading Rates'!$B$1:$L$24,7,FALSE)+'BMP P Tracking Table'!$Z65*VLOOKUP('BMP P Tracking Table'!$R65,'Loading Rates'!$B$1:$L$24,8,FALSE)+'BMP P Tracking Table'!$AA65*VLOOKUP('BMP P Tracking Table'!$R65,'Loading Rates'!$B$1:$L$24,9,FALSE),'BMP P Tracking Table'!$AB65*VLOOKUP('BMP P Tracking Table'!$R65,'Loading Rates'!$B$1:$L$24,10,FALSE)),'BMP P Tracking Table'!$AP65*VLOOKUP('BMP P Tracking Table'!$R65,'Loading Rates'!$B$1:$L$24,4,FALSE)+IF('BMP P Tracking Table'!$AQ65="By HSG",'BMP P Tracking Table'!$AR65*VLOOKUP('BMP P Tracking Table'!$R65,'Loading Rates'!$B$1:$L$24,6,FALSE)+'BMP P Tracking Table'!$AS65*VLOOKUP('BMP P Tracking Table'!$R65,'Loading Rates'!$B$1:$L$24,7,FALSE)+'BMP P Tracking Table'!$AT65*VLOOKUP('BMP P Tracking Table'!$R65,'Loading Rates'!$B$1:$L$24,8,FALSE)+'BMP P Tracking Table'!$AU65*VLOOKUP('BMP P Tracking Table'!$R65,'Loading Rates'!$B$1:$L$24,9,FALSE),'BMP P Tracking Table'!$AV65*VLOOKUP('BMP P Tracking Table'!$R65,'Loading Rates'!$B$1:$L$24,10,FALSE))),"")</f>
        <v/>
      </c>
      <c r="BA65" s="104" t="str">
        <f>IFERROR(IF('BMP P Tracking Table'!$AM65="Yes",MIN(2,IF('BMP P Tracking Table'!$AQ65="Total Pervious",(-(3630*'BMP P Tracking Table'!$AP65+20.691*'BMP P Tracking Table'!$AV65)+SQRT((3630*'BMP P Tracking Table'!$AP65+20.691*'BMP P Tracking Table'!$AV65)^2-(4*(996.798*'BMP P Tracking Table'!$AV65)*-'BMP P Tracking Table'!$AX65)))/(2*(996.798*'BMP P Tracking Table'!$AV65)),IF(SUM('BMP P Tracking Table'!$AR65:$AU65)=0,'BMP P Tracking Table'!$AV65/(-3630*'BMP P Tracking Table'!$AP65),(-(3630*'BMP P Tracking Table'!$AP65+20.691*'BMP P Tracking Table'!$AU65-216.711*'BMP P Tracking Table'!$AT65-83.853*'BMP P Tracking Table'!$AS65-42.834*'BMP P Tracking Table'!$AR65)+SQRT((3630*'BMP P Tracking Table'!$AP65+20.691*'BMP P Tracking Table'!$AU65-216.711*'BMP P Tracking Table'!$AT65-83.853*'BMP P Tracking Table'!$AS65-42.834*'BMP P Tracking Table'!$AR65)^2-(4*(149.919*'BMP P Tracking Table'!$AR65+236.676*'BMP P Tracking Table'!$AS65+726*'BMP P Tracking Table'!$AT65+996.798*'BMP P Tracking Table'!$AU65)*-'BMP P Tracking Table'!$AX65)))/(2*(149.919*'BMP P Tracking Table'!$AR65+236.676*'BMP P Tracking Table'!$AS65+726*'BMP P Tracking Table'!$AT65+996.798*'BMP P Tracking Table'!$AU65))))),MIN(2,IF('BMP P Tracking Table'!$AQ65="Total Pervious",(-(3630*'BMP P Tracking Table'!$V65+20.691*'BMP P Tracking Table'!$AB65)+SQRT((3630*'BMP P Tracking Table'!$V65+20.691*'BMP P Tracking Table'!$AB65)^2-(4*(996.798*'BMP P Tracking Table'!$AB65)*-'BMP P Tracking Table'!$AX65)))/(2*(996.798*'BMP P Tracking Table'!$AB65)),IF(SUM('BMP P Tracking Table'!$X65:$AA65)=0,'BMP P Tracking Table'!$AX65/(-3630*'BMP P Tracking Table'!$V65),(-(3630*'BMP P Tracking Table'!$V65+20.691*'BMP P Tracking Table'!$AA65-216.711*'BMP P Tracking Table'!$Z65-83.853*'BMP P Tracking Table'!$Y65-42.834*'BMP P Tracking Table'!$X65)+SQRT((3630*'BMP P Tracking Table'!$V65+20.691*'BMP P Tracking Table'!$AA65-216.711*'BMP P Tracking Table'!$Z65-83.853*'BMP P Tracking Table'!$Y65-42.834*'BMP P Tracking Table'!$X65)^2-(4*(149.919*'BMP P Tracking Table'!$X65+236.676*'BMP P Tracking Table'!$Y65+726*'BMP P Tracking Table'!$Z65+996.798*'BMP P Tracking Table'!$AA65)*-'BMP P Tracking Table'!$AX65)))/(2*(149.919*'BMP P Tracking Table'!$X65+236.676*'BMP P Tracking Table'!$Y65+726*'BMP P Tracking Table'!$Z65+996.798*'BMP P Tracking Table'!$AA65)))))),"")</f>
        <v/>
      </c>
      <c r="BB65" s="102" t="str">
        <f>IFERROR((VLOOKUP(CONCATENATE('BMP P Tracking Table'!$AW65," ",'BMP P Tracking Table'!$AY65),'Performance Curves'!$C$1:$L$46,_xlfn.SINGLE(MATCH('BMP P Tracking Table'!$BA65,'Performance Curves'!$D$1:$L$1,1))+2,FALSE)-VLOOKUP(CONCATENATE('BMP P Tracking Table'!$AW65," ",'BMP P Tracking Table'!$AY65),'Performance Curves'!$C$1:$L$46,_xlfn.SINGLE(MATCH('BMP P Tracking Table'!$BA65,'Performance Curves'!$D$1:$L$1,1))+1,FALSE)),"")</f>
        <v/>
      </c>
      <c r="BC65" s="102" t="str">
        <f>IFERROR(('BMP P Tracking Table'!$BA65-INDEX('Performance Curves'!$D$1:$L$1,1,MATCH('BMP P Tracking Table'!$BA65,'Performance Curves'!$D$1:$L$1,1)))/(INDEX('Performance Curves'!$D$1:$L$1,1,MATCH('BMP P Tracking Table'!$BA65,'Performance Curves'!$D$1:$L$1,1)+1)-INDEX('Performance Curves'!$D$1:$L$1,1,MATCH('BMP P Tracking Table'!$BA65,'Performance Curves'!$D$1:$L$1,1))),"")</f>
        <v/>
      </c>
      <c r="BD65" s="103" t="str" cm="1">
        <f t="array" ref="BD65">IFERROR(IF('BMP P Tracking Table'!$BA65=2,VLOOKUP(CONCATENATE('BMP P Tracking Table'!$AW65," ",'BMP P Tracking Table'!$AY65),'Performance Curves'!$C$1:$L$44,_xlfn.SINGLE(MATCH('BMP P Tracking Table'!$BA65,'Performance Curves'!$D$1:$L$1,1))+1,FALSE),'BMP P Tracking Table'!$BB65*'BMP P Tracking Table'!$BC65+VLOOKUP(CONCATENATE('BMP P Tracking Table'!$AW65," ",'BMP P Tracking Table'!$AY65),'Performance Curves'!$C$1:$L$44,_xlfn.SINGLE(MATCH('BMP P Tracking Table'!$BA65,'Performance Curves'!$D$1:$L$1,1))+1,FALSE)),"")</f>
        <v/>
      </c>
      <c r="BE65" s="104" t="str">
        <f>IFERROR('BMP P Tracking Table'!$BD65*'BMP P Tracking Table'!$AZ65,"")</f>
        <v/>
      </c>
      <c r="BF65" s="98"/>
      <c r="BG65" s="37">
        <f t="shared" si="6"/>
        <v>0</v>
      </c>
      <c r="BI65" s="36" t="str">
        <f t="shared" si="1"/>
        <v>3579-9010.R</v>
      </c>
      <c r="BJ65" s="36" t="str">
        <f t="shared" si="2"/>
        <v>Old Stage Village S/N 002</v>
      </c>
      <c r="BS65" s="36"/>
    </row>
    <row r="66" spans="1:74">
      <c r="A66" s="36" t="s">
        <v>390</v>
      </c>
      <c r="B66" s="65" t="s">
        <v>390</v>
      </c>
      <c r="C66" s="65" t="s">
        <v>631</v>
      </c>
      <c r="D66" s="65" t="s">
        <v>327</v>
      </c>
      <c r="E66" s="65" t="s">
        <v>9</v>
      </c>
      <c r="F66" s="94"/>
      <c r="G66" s="94"/>
      <c r="H66" s="65" t="s">
        <v>390</v>
      </c>
      <c r="I66" s="65"/>
      <c r="J66" s="65" t="s">
        <v>66</v>
      </c>
      <c r="K66" s="95"/>
      <c r="L66" s="65" t="s">
        <v>111</v>
      </c>
      <c r="M66" s="65"/>
      <c r="N66" s="199">
        <v>34482</v>
      </c>
      <c r="O66" s="65"/>
      <c r="P66" s="65"/>
      <c r="Q66" s="65" t="s">
        <v>119</v>
      </c>
      <c r="R66" s="65" t="s">
        <v>146</v>
      </c>
      <c r="S66" s="65" t="s">
        <v>129</v>
      </c>
      <c r="T66" s="65" t="s">
        <v>62</v>
      </c>
      <c r="U66" s="65" t="s">
        <v>232</v>
      </c>
      <c r="V66" s="65" t="s">
        <v>658</v>
      </c>
      <c r="W66" s="65" t="s">
        <v>219</v>
      </c>
      <c r="X66" s="65"/>
      <c r="Y66" s="65"/>
      <c r="Z66" s="65"/>
      <c r="AA66" s="65"/>
      <c r="AB66" s="65"/>
      <c r="AC66" s="97"/>
      <c r="AD66" s="65"/>
      <c r="AE66" s="104" t="str">
        <f>IFERROR('BMP P Tracking Table'!$V66*VLOOKUP('BMP P Tracking Table'!$R66,'Loading Rates'!$B$1:$L$24,4,FALSE)+IF('BMP P Tracking Table'!$W66="By HSG",'BMP P Tracking Table'!$X66*VLOOKUP('BMP P Tracking Table'!$R66,'Loading Rates'!$B$1:$L$24,6,FALSE)+'BMP P Tracking Table'!$Y66*VLOOKUP('BMP P Tracking Table'!$R66,'Loading Rates'!$B$1:$L$24,7,FALSE)+'BMP P Tracking Table'!$Z66*VLOOKUP('BMP P Tracking Table'!$R66,'Loading Rates'!$B$1:$L$24,8,FALSE)+'BMP P Tracking Table'!$AA66*VLOOKUP('BMP P Tracking Table'!$R66,'Loading Rates'!$B$1:$L$24,9,FALSE),'BMP P Tracking Table'!$AB66*VLOOKUP('BMP P Tracking Table'!$R66,'Loading Rates'!$B$1:$L$24,10,FALSE)),"")</f>
        <v/>
      </c>
      <c r="AF66" s="104" t="str">
        <f>IFERROR(MIN(2,IF('BMP P Tracking Table'!$W66="Total Pervious",(-(3630*'BMP P Tracking Table'!$V66+20.691*'BMP P Tracking Table'!$AB66)+SQRT((3630*'BMP P Tracking Table'!$V66+20.691*'BMP P Tracking Table'!$AB66)^2-(4*(996.798*'BMP P Tracking Table'!$AB66)*-'BMP P Tracking Table'!$AC66)))/(2*(996.798*'BMP P Tracking Table'!$AB66)),IF(SUM('BMP P Tracking Table'!$X66:$AA66)=0,'BMP P Tracking Table'!$AC66/(-3630*'BMP P Tracking Table'!$V66),(-(3630*'BMP P Tracking Table'!$V66+20.691*'BMP P Tracking Table'!$AA66-216.711*'BMP P Tracking Table'!$Z66-83.853*'BMP P Tracking Table'!$Y66-42.834*'BMP P Tracking Table'!$X66)+SQRT((3630*'BMP P Tracking Table'!$V66+20.691*'BMP P Tracking Table'!$AA66-216.711*'BMP P Tracking Table'!$Z66-83.853*'BMP P Tracking Table'!$Y66-42.834*'BMP P Tracking Table'!$X66)^2-(4*(149.919*'BMP P Tracking Table'!$X66+236.676*'BMP P Tracking Table'!$Y66+726*'BMP P Tracking Table'!$Z66+996.798*'BMP P Tracking Table'!$AA66)*-'BMP P Tracking Table'!$AC66)))/(2*(149.919*'BMP P Tracking Table'!$X66+236.676*'BMP P Tracking Table'!$Y66+726*'BMP P Tracking Table'!$Z66+996.798*'BMP P Tracking Table'!$AA66))))),"")</f>
        <v/>
      </c>
      <c r="AG66" s="104" t="str">
        <f>IFERROR((VLOOKUP(CONCATENATE('BMP P Tracking Table'!$U66," ",'BMP P Tracking Table'!$AD66),'Performance Curves'!$C$1:$L$46,_xlfn.SINGLE(MATCH('BMP P Tracking Table'!$AF66,'Performance Curves'!$D$1:$L$1,1))+2,FALSE)-VLOOKUP(CONCATENATE('BMP P Tracking Table'!$U66," ",'BMP P Tracking Table'!$AD66),'Performance Curves'!$C$1:$L$46,_xlfn.SINGLE(MATCH('BMP P Tracking Table'!$AF66,'Performance Curves'!$D$1:$L$1,1))+1,FALSE)),"")</f>
        <v/>
      </c>
      <c r="AH66" s="104" t="str">
        <f>IFERROR(('BMP P Tracking Table'!$AF66-INDEX('Performance Curves'!$D$1:$L$1,1,MATCH('BMP P Tracking Table'!$AF66,'Performance Curves'!$D$1:$L$1,1)))/(INDEX('Performance Curves'!$D$1:$L$1,1,MATCH('BMP P Tracking Table'!$AF66,'Performance Curves'!$D$1:$L$1,1)+1)-INDEX('Performance Curves'!$D$1:$L$1,1,MATCH('BMP P Tracking Table'!$AF66,'Performance Curves'!$D$1:$L$1,1))),"")</f>
        <v/>
      </c>
      <c r="AI66" s="103" t="str">
        <f>IFERROR(IF('BMP P Tracking Table'!$AF66=2,VLOOKUP(CONCATENATE('BMP P Tracking Table'!$U66," ",'BMP P Tracking Table'!$AD66),'Performance Curves'!$C$1:$L$46,_xlfn.SINGLE(MATCH('BMP P Tracking Table'!$AF66,'Performance Curves'!$D$1:$L$1,1))+1,FALSE),'BMP P Tracking Table'!$AG66*'BMP P Tracking Table'!$AH66+VLOOKUP(CONCATENATE('BMP P Tracking Table'!$U66," ",'BMP P Tracking Table'!$AD66),'Performance Curves'!$C$1:$L$46,_xlfn.SINGLE(MATCH('BMP P Tracking Table'!$AF66,'Performance Curves'!$D$1:$L$1,1))+1,FALSE)),"")</f>
        <v/>
      </c>
      <c r="AJ66" s="104" t="str">
        <f>IFERROR('BMP P Tracking Table'!$AI66*'BMP P Tracking Table'!$AE66,"")</f>
        <v/>
      </c>
      <c r="AK66" s="65"/>
      <c r="AL66" s="98" t="s">
        <v>62</v>
      </c>
      <c r="AM66" s="98"/>
      <c r="AN66" s="64">
        <v>1</v>
      </c>
      <c r="AO66" s="102" t="str">
        <f t="shared" si="5"/>
        <v/>
      </c>
      <c r="AP66" s="98"/>
      <c r="AQ66" s="98"/>
      <c r="AR66" s="98"/>
      <c r="AS66" s="98"/>
      <c r="AT66" s="98"/>
      <c r="AU66" s="98"/>
      <c r="AV66" s="98"/>
      <c r="AW66" s="65"/>
      <c r="AX66" s="99"/>
      <c r="AY66" s="99"/>
      <c r="AZ66" s="104" t="str">
        <f>IF('BMP P Tracking Table'!$AL66="Yes",IF('BMP P Tracking Table'!$AM66="No",'BMP P Tracking Table'!$V66*VLOOKUP('BMP P Tracking Table'!$R66,'Loading Rates'!$B$1:$L$24,4,FALSE)+IF('BMP P Tracking Table'!$W66="By HSG",'BMP P Tracking Table'!$X66*VLOOKUP('BMP P Tracking Table'!$R66,'Loading Rates'!$B$1:$L$24,6,FALSE)+'BMP P Tracking Table'!$Y66*VLOOKUP('BMP P Tracking Table'!$R66,'Loading Rates'!$B$1:$L$24,7,FALSE)+'BMP P Tracking Table'!$Z66*VLOOKUP('BMP P Tracking Table'!$R66,'Loading Rates'!$B$1:$L$24,8,FALSE)+'BMP P Tracking Table'!$AA66*VLOOKUP('BMP P Tracking Table'!$R66,'Loading Rates'!$B$1:$L$24,9,FALSE),'BMP P Tracking Table'!$AB66*VLOOKUP('BMP P Tracking Table'!$R66,'Loading Rates'!$B$1:$L$24,10,FALSE)),'BMP P Tracking Table'!$AP66*VLOOKUP('BMP P Tracking Table'!$R66,'Loading Rates'!$B$1:$L$24,4,FALSE)+IF('BMP P Tracking Table'!$AQ66="By HSG",'BMP P Tracking Table'!$AR66*VLOOKUP('BMP P Tracking Table'!$R66,'Loading Rates'!$B$1:$L$24,6,FALSE)+'BMP P Tracking Table'!$AS66*VLOOKUP('BMP P Tracking Table'!$R66,'Loading Rates'!$B$1:$L$24,7,FALSE)+'BMP P Tracking Table'!$AT66*VLOOKUP('BMP P Tracking Table'!$R66,'Loading Rates'!$B$1:$L$24,8,FALSE)+'BMP P Tracking Table'!$AU66*VLOOKUP('BMP P Tracking Table'!$R66,'Loading Rates'!$B$1:$L$24,9,FALSE),'BMP P Tracking Table'!$AV66*VLOOKUP('BMP P Tracking Table'!$R66,'Loading Rates'!$B$1:$L$24,10,FALSE))),"")</f>
        <v/>
      </c>
      <c r="BA66" s="104" t="str">
        <f>IFERROR(IF('BMP P Tracking Table'!$AM66="Yes",MIN(2,IF('BMP P Tracking Table'!$AQ66="Total Pervious",(-(3630*'BMP P Tracking Table'!$AP66+20.691*'BMP P Tracking Table'!$AV66)+SQRT((3630*'BMP P Tracking Table'!$AP66+20.691*'BMP P Tracking Table'!$AV66)^2-(4*(996.798*'BMP P Tracking Table'!$AV66)*-'BMP P Tracking Table'!$AX66)))/(2*(996.798*'BMP P Tracking Table'!$AV66)),IF(SUM('BMP P Tracking Table'!$AR66:$AU66)=0,'BMP P Tracking Table'!$AV66/(-3630*'BMP P Tracking Table'!$AP66),(-(3630*'BMP P Tracking Table'!$AP66+20.691*'BMP P Tracking Table'!$AU66-216.711*'BMP P Tracking Table'!$AT66-83.853*'BMP P Tracking Table'!$AS66-42.834*'BMP P Tracking Table'!$AR66)+SQRT((3630*'BMP P Tracking Table'!$AP66+20.691*'BMP P Tracking Table'!$AU66-216.711*'BMP P Tracking Table'!$AT66-83.853*'BMP P Tracking Table'!$AS66-42.834*'BMP P Tracking Table'!$AR66)^2-(4*(149.919*'BMP P Tracking Table'!$AR66+236.676*'BMP P Tracking Table'!$AS66+726*'BMP P Tracking Table'!$AT66+996.798*'BMP P Tracking Table'!$AU66)*-'BMP P Tracking Table'!$AX66)))/(2*(149.919*'BMP P Tracking Table'!$AR66+236.676*'BMP P Tracking Table'!$AS66+726*'BMP P Tracking Table'!$AT66+996.798*'BMP P Tracking Table'!$AU66))))),MIN(2,IF('BMP P Tracking Table'!$AQ66="Total Pervious",(-(3630*'BMP P Tracking Table'!$V66+20.691*'BMP P Tracking Table'!$AB66)+SQRT((3630*'BMP P Tracking Table'!$V66+20.691*'BMP P Tracking Table'!$AB66)^2-(4*(996.798*'BMP P Tracking Table'!$AB66)*-'BMP P Tracking Table'!$AX66)))/(2*(996.798*'BMP P Tracking Table'!$AB66)),IF(SUM('BMP P Tracking Table'!$X66:$AA66)=0,'BMP P Tracking Table'!$AX66/(-3630*'BMP P Tracking Table'!$V66),(-(3630*'BMP P Tracking Table'!$V66+20.691*'BMP P Tracking Table'!$AA66-216.711*'BMP P Tracking Table'!$Z66-83.853*'BMP P Tracking Table'!$Y66-42.834*'BMP P Tracking Table'!$X66)+SQRT((3630*'BMP P Tracking Table'!$V66+20.691*'BMP P Tracking Table'!$AA66-216.711*'BMP P Tracking Table'!$Z66-83.853*'BMP P Tracking Table'!$Y66-42.834*'BMP P Tracking Table'!$X66)^2-(4*(149.919*'BMP P Tracking Table'!$X66+236.676*'BMP P Tracking Table'!$Y66+726*'BMP P Tracking Table'!$Z66+996.798*'BMP P Tracking Table'!$AA66)*-'BMP P Tracking Table'!$AX66)))/(2*(149.919*'BMP P Tracking Table'!$X66+236.676*'BMP P Tracking Table'!$Y66+726*'BMP P Tracking Table'!$Z66+996.798*'BMP P Tracking Table'!$AA66)))))),"")</f>
        <v/>
      </c>
      <c r="BB66" s="102" t="str">
        <f>IFERROR((VLOOKUP(CONCATENATE('BMP P Tracking Table'!$AW66," ",'BMP P Tracking Table'!$AY66),'Performance Curves'!$C$1:$L$46,_xlfn.SINGLE(MATCH('BMP P Tracking Table'!$BA66,'Performance Curves'!$D$1:$L$1,1))+2,FALSE)-VLOOKUP(CONCATENATE('BMP P Tracking Table'!$AW66," ",'BMP P Tracking Table'!$AY66),'Performance Curves'!$C$1:$L$46,_xlfn.SINGLE(MATCH('BMP P Tracking Table'!$BA66,'Performance Curves'!$D$1:$L$1,1))+1,FALSE)),"")</f>
        <v/>
      </c>
      <c r="BC66" s="102" t="str">
        <f>IFERROR(('BMP P Tracking Table'!$BA66-INDEX('Performance Curves'!$D$1:$L$1,1,MATCH('BMP P Tracking Table'!$BA66,'Performance Curves'!$D$1:$L$1,1)))/(INDEX('Performance Curves'!$D$1:$L$1,1,MATCH('BMP P Tracking Table'!$BA66,'Performance Curves'!$D$1:$L$1,1)+1)-INDEX('Performance Curves'!$D$1:$L$1,1,MATCH('BMP P Tracking Table'!$BA66,'Performance Curves'!$D$1:$L$1,1))),"")</f>
        <v/>
      </c>
      <c r="BD66" s="103" t="str" cm="1">
        <f t="array" ref="BD66">IFERROR(IF('BMP P Tracking Table'!$BA66=2,VLOOKUP(CONCATENATE('BMP P Tracking Table'!$AW66," ",'BMP P Tracking Table'!$AY66),'Performance Curves'!$C$1:$L$44,_xlfn.SINGLE(MATCH('BMP P Tracking Table'!$BA66,'Performance Curves'!$D$1:$L$1,1))+1,FALSE),'BMP P Tracking Table'!$BB66*'BMP P Tracking Table'!$BC66+VLOOKUP(CONCATENATE('BMP P Tracking Table'!$AW66," ",'BMP P Tracking Table'!$AY66),'Performance Curves'!$C$1:$L$44,_xlfn.SINGLE(MATCH('BMP P Tracking Table'!$BA66,'Performance Curves'!$D$1:$L$1,1))+1,FALSE)),"")</f>
        <v/>
      </c>
      <c r="BE66" s="104" t="str">
        <f>IFERROR('BMP P Tracking Table'!$BD66*'BMP P Tracking Table'!$AZ66,"")</f>
        <v/>
      </c>
      <c r="BF66" s="98"/>
      <c r="BG66" s="37">
        <f t="shared" si="6"/>
        <v>0</v>
      </c>
      <c r="BI66" s="36" t="str">
        <f t="shared" si="1"/>
        <v>3579-9010.R</v>
      </c>
      <c r="BJ66" s="36" t="str">
        <f t="shared" si="2"/>
        <v>Old Stage Village S/N 003</v>
      </c>
      <c r="BS66" s="36"/>
    </row>
    <row r="67" spans="1:74">
      <c r="A67" s="36" t="s">
        <v>390</v>
      </c>
      <c r="B67" s="65" t="s">
        <v>390</v>
      </c>
      <c r="C67" s="65" t="s">
        <v>632</v>
      </c>
      <c r="D67" s="65" t="s">
        <v>327</v>
      </c>
      <c r="E67" s="65" t="s">
        <v>9</v>
      </c>
      <c r="F67" s="94"/>
      <c r="G67" s="94"/>
      <c r="H67" s="65" t="s">
        <v>390</v>
      </c>
      <c r="I67" s="65"/>
      <c r="J67" s="65" t="s">
        <v>66</v>
      </c>
      <c r="K67" s="95"/>
      <c r="L67" s="65" t="s">
        <v>111</v>
      </c>
      <c r="M67" s="65"/>
      <c r="N67" s="199">
        <v>34482</v>
      </c>
      <c r="O67" s="65"/>
      <c r="P67" s="65"/>
      <c r="Q67" s="65" t="s">
        <v>119</v>
      </c>
      <c r="R67" s="65" t="s">
        <v>146</v>
      </c>
      <c r="S67" s="65" t="s">
        <v>129</v>
      </c>
      <c r="T67" s="65" t="s">
        <v>62</v>
      </c>
      <c r="U67" s="65" t="s">
        <v>232</v>
      </c>
      <c r="V67" s="65" t="s">
        <v>658</v>
      </c>
      <c r="W67" s="65" t="s">
        <v>219</v>
      </c>
      <c r="X67" s="65"/>
      <c r="Y67" s="65"/>
      <c r="Z67" s="65"/>
      <c r="AA67" s="65"/>
      <c r="AB67" s="65"/>
      <c r="AC67" s="97"/>
      <c r="AD67" s="65"/>
      <c r="AE67" s="104" t="str">
        <f>IFERROR('BMP P Tracking Table'!$V67*VLOOKUP('BMP P Tracking Table'!$R67,'Loading Rates'!$B$1:$L$24,4,FALSE)+IF('BMP P Tracking Table'!$W67="By HSG",'BMP P Tracking Table'!$X67*VLOOKUP('BMP P Tracking Table'!$R67,'Loading Rates'!$B$1:$L$24,6,FALSE)+'BMP P Tracking Table'!$Y67*VLOOKUP('BMP P Tracking Table'!$R67,'Loading Rates'!$B$1:$L$24,7,FALSE)+'BMP P Tracking Table'!$Z67*VLOOKUP('BMP P Tracking Table'!$R67,'Loading Rates'!$B$1:$L$24,8,FALSE)+'BMP P Tracking Table'!$AA67*VLOOKUP('BMP P Tracking Table'!$R67,'Loading Rates'!$B$1:$L$24,9,FALSE),'BMP P Tracking Table'!$AB67*VLOOKUP('BMP P Tracking Table'!$R67,'Loading Rates'!$B$1:$L$24,10,FALSE)),"")</f>
        <v/>
      </c>
      <c r="AF67" s="104" t="str">
        <f>IFERROR(MIN(2,IF('BMP P Tracking Table'!$W67="Total Pervious",(-(3630*'BMP P Tracking Table'!$V67+20.691*'BMP P Tracking Table'!$AB67)+SQRT((3630*'BMP P Tracking Table'!$V67+20.691*'BMP P Tracking Table'!$AB67)^2-(4*(996.798*'BMP P Tracking Table'!$AB67)*-'BMP P Tracking Table'!$AC67)))/(2*(996.798*'BMP P Tracking Table'!$AB67)),IF(SUM('BMP P Tracking Table'!$X67:$AA67)=0,'BMP P Tracking Table'!$AC67/(-3630*'BMP P Tracking Table'!$V67),(-(3630*'BMP P Tracking Table'!$V67+20.691*'BMP P Tracking Table'!$AA67-216.711*'BMP P Tracking Table'!$Z67-83.853*'BMP P Tracking Table'!$Y67-42.834*'BMP P Tracking Table'!$X67)+SQRT((3630*'BMP P Tracking Table'!$V67+20.691*'BMP P Tracking Table'!$AA67-216.711*'BMP P Tracking Table'!$Z67-83.853*'BMP P Tracking Table'!$Y67-42.834*'BMP P Tracking Table'!$X67)^2-(4*(149.919*'BMP P Tracking Table'!$X67+236.676*'BMP P Tracking Table'!$Y67+726*'BMP P Tracking Table'!$Z67+996.798*'BMP P Tracking Table'!$AA67)*-'BMP P Tracking Table'!$AC67)))/(2*(149.919*'BMP P Tracking Table'!$X67+236.676*'BMP P Tracking Table'!$Y67+726*'BMP P Tracking Table'!$Z67+996.798*'BMP P Tracking Table'!$AA67))))),"")</f>
        <v/>
      </c>
      <c r="AG67" s="104" t="str">
        <f>IFERROR((VLOOKUP(CONCATENATE('BMP P Tracking Table'!$U67," ",'BMP P Tracking Table'!$AD67),'Performance Curves'!$C$1:$L$46,_xlfn.SINGLE(MATCH('BMP P Tracking Table'!$AF67,'Performance Curves'!$D$1:$L$1,1))+2,FALSE)-VLOOKUP(CONCATENATE('BMP P Tracking Table'!$U67," ",'BMP P Tracking Table'!$AD67),'Performance Curves'!$C$1:$L$46,_xlfn.SINGLE(MATCH('BMP P Tracking Table'!$AF67,'Performance Curves'!$D$1:$L$1,1))+1,FALSE)),"")</f>
        <v/>
      </c>
      <c r="AH67" s="104" t="str">
        <f>IFERROR(('BMP P Tracking Table'!$AF67-INDEX('Performance Curves'!$D$1:$L$1,1,MATCH('BMP P Tracking Table'!$AF67,'Performance Curves'!$D$1:$L$1,1)))/(INDEX('Performance Curves'!$D$1:$L$1,1,MATCH('BMP P Tracking Table'!$AF67,'Performance Curves'!$D$1:$L$1,1)+1)-INDEX('Performance Curves'!$D$1:$L$1,1,MATCH('BMP P Tracking Table'!$AF67,'Performance Curves'!$D$1:$L$1,1))),"")</f>
        <v/>
      </c>
      <c r="AI67" s="103" t="str">
        <f>IFERROR(IF('BMP P Tracking Table'!$AF67=2,VLOOKUP(CONCATENATE('BMP P Tracking Table'!$U67," ",'BMP P Tracking Table'!$AD67),'Performance Curves'!$C$1:$L$46,_xlfn.SINGLE(MATCH('BMP P Tracking Table'!$AF67,'Performance Curves'!$D$1:$L$1,1))+1,FALSE),'BMP P Tracking Table'!$AG67*'BMP P Tracking Table'!$AH67+VLOOKUP(CONCATENATE('BMP P Tracking Table'!$U67," ",'BMP P Tracking Table'!$AD67),'Performance Curves'!$C$1:$L$46,_xlfn.SINGLE(MATCH('BMP P Tracking Table'!$AF67,'Performance Curves'!$D$1:$L$1,1))+1,FALSE)),"")</f>
        <v/>
      </c>
      <c r="AJ67" s="104" t="str">
        <f>IFERROR('BMP P Tracking Table'!$AI67*'BMP P Tracking Table'!$AE67,"")</f>
        <v/>
      </c>
      <c r="AK67" s="65"/>
      <c r="AL67" s="98" t="s">
        <v>62</v>
      </c>
      <c r="AM67" s="98"/>
      <c r="AN67" s="64">
        <v>1</v>
      </c>
      <c r="AO67" s="102" t="str">
        <f t="shared" si="5"/>
        <v/>
      </c>
      <c r="AP67" s="98"/>
      <c r="AQ67" s="98"/>
      <c r="AR67" s="98"/>
      <c r="AS67" s="98"/>
      <c r="AT67" s="98"/>
      <c r="AU67" s="98"/>
      <c r="AV67" s="98"/>
      <c r="AW67" s="65"/>
      <c r="AX67" s="99"/>
      <c r="AY67" s="99"/>
      <c r="AZ67" s="104" t="str">
        <f>IF('BMP P Tracking Table'!$AL67="Yes",IF('BMP P Tracking Table'!$AM67="No",'BMP P Tracking Table'!$V67*VLOOKUP('BMP P Tracking Table'!$R67,'Loading Rates'!$B$1:$L$24,4,FALSE)+IF('BMP P Tracking Table'!$W67="By HSG",'BMP P Tracking Table'!$X67*VLOOKUP('BMP P Tracking Table'!$R67,'Loading Rates'!$B$1:$L$24,6,FALSE)+'BMP P Tracking Table'!$Y67*VLOOKUP('BMP P Tracking Table'!$R67,'Loading Rates'!$B$1:$L$24,7,FALSE)+'BMP P Tracking Table'!$Z67*VLOOKUP('BMP P Tracking Table'!$R67,'Loading Rates'!$B$1:$L$24,8,FALSE)+'BMP P Tracking Table'!$AA67*VLOOKUP('BMP P Tracking Table'!$R67,'Loading Rates'!$B$1:$L$24,9,FALSE),'BMP P Tracking Table'!$AB67*VLOOKUP('BMP P Tracking Table'!$R67,'Loading Rates'!$B$1:$L$24,10,FALSE)),'BMP P Tracking Table'!$AP67*VLOOKUP('BMP P Tracking Table'!$R67,'Loading Rates'!$B$1:$L$24,4,FALSE)+IF('BMP P Tracking Table'!$AQ67="By HSG",'BMP P Tracking Table'!$AR67*VLOOKUP('BMP P Tracking Table'!$R67,'Loading Rates'!$B$1:$L$24,6,FALSE)+'BMP P Tracking Table'!$AS67*VLOOKUP('BMP P Tracking Table'!$R67,'Loading Rates'!$B$1:$L$24,7,FALSE)+'BMP P Tracking Table'!$AT67*VLOOKUP('BMP P Tracking Table'!$R67,'Loading Rates'!$B$1:$L$24,8,FALSE)+'BMP P Tracking Table'!$AU67*VLOOKUP('BMP P Tracking Table'!$R67,'Loading Rates'!$B$1:$L$24,9,FALSE),'BMP P Tracking Table'!$AV67*VLOOKUP('BMP P Tracking Table'!$R67,'Loading Rates'!$B$1:$L$24,10,FALSE))),"")</f>
        <v/>
      </c>
      <c r="BA67" s="104" t="str">
        <f>IFERROR(IF('BMP P Tracking Table'!$AM67="Yes",MIN(2,IF('BMP P Tracking Table'!$AQ67="Total Pervious",(-(3630*'BMP P Tracking Table'!$AP67+20.691*'BMP P Tracking Table'!$AV67)+SQRT((3630*'BMP P Tracking Table'!$AP67+20.691*'BMP P Tracking Table'!$AV67)^2-(4*(996.798*'BMP P Tracking Table'!$AV67)*-'BMP P Tracking Table'!$AX67)))/(2*(996.798*'BMP P Tracking Table'!$AV67)),IF(SUM('BMP P Tracking Table'!$AR67:$AU67)=0,'BMP P Tracking Table'!$AV67/(-3630*'BMP P Tracking Table'!$AP67),(-(3630*'BMP P Tracking Table'!$AP67+20.691*'BMP P Tracking Table'!$AU67-216.711*'BMP P Tracking Table'!$AT67-83.853*'BMP P Tracking Table'!$AS67-42.834*'BMP P Tracking Table'!$AR67)+SQRT((3630*'BMP P Tracking Table'!$AP67+20.691*'BMP P Tracking Table'!$AU67-216.711*'BMP P Tracking Table'!$AT67-83.853*'BMP P Tracking Table'!$AS67-42.834*'BMP P Tracking Table'!$AR67)^2-(4*(149.919*'BMP P Tracking Table'!$AR67+236.676*'BMP P Tracking Table'!$AS67+726*'BMP P Tracking Table'!$AT67+996.798*'BMP P Tracking Table'!$AU67)*-'BMP P Tracking Table'!$AX67)))/(2*(149.919*'BMP P Tracking Table'!$AR67+236.676*'BMP P Tracking Table'!$AS67+726*'BMP P Tracking Table'!$AT67+996.798*'BMP P Tracking Table'!$AU67))))),MIN(2,IF('BMP P Tracking Table'!$AQ67="Total Pervious",(-(3630*'BMP P Tracking Table'!$V67+20.691*'BMP P Tracking Table'!$AB67)+SQRT((3630*'BMP P Tracking Table'!$V67+20.691*'BMP P Tracking Table'!$AB67)^2-(4*(996.798*'BMP P Tracking Table'!$AB67)*-'BMP P Tracking Table'!$AX67)))/(2*(996.798*'BMP P Tracking Table'!$AB67)),IF(SUM('BMP P Tracking Table'!$X67:$AA67)=0,'BMP P Tracking Table'!$AX67/(-3630*'BMP P Tracking Table'!$V67),(-(3630*'BMP P Tracking Table'!$V67+20.691*'BMP P Tracking Table'!$AA67-216.711*'BMP P Tracking Table'!$Z67-83.853*'BMP P Tracking Table'!$Y67-42.834*'BMP P Tracking Table'!$X67)+SQRT((3630*'BMP P Tracking Table'!$V67+20.691*'BMP P Tracking Table'!$AA67-216.711*'BMP P Tracking Table'!$Z67-83.853*'BMP P Tracking Table'!$Y67-42.834*'BMP P Tracking Table'!$X67)^2-(4*(149.919*'BMP P Tracking Table'!$X67+236.676*'BMP P Tracking Table'!$Y67+726*'BMP P Tracking Table'!$Z67+996.798*'BMP P Tracking Table'!$AA67)*-'BMP P Tracking Table'!$AX67)))/(2*(149.919*'BMP P Tracking Table'!$X67+236.676*'BMP P Tracking Table'!$Y67+726*'BMP P Tracking Table'!$Z67+996.798*'BMP P Tracking Table'!$AA67)))))),"")</f>
        <v/>
      </c>
      <c r="BB67" s="102" t="str">
        <f>IFERROR((VLOOKUP(CONCATENATE('BMP P Tracking Table'!$AW67," ",'BMP P Tracking Table'!$AY67),'Performance Curves'!$C$1:$L$46,_xlfn.SINGLE(MATCH('BMP P Tracking Table'!$BA67,'Performance Curves'!$D$1:$L$1,1))+2,FALSE)-VLOOKUP(CONCATENATE('BMP P Tracking Table'!$AW67," ",'BMP P Tracking Table'!$AY67),'Performance Curves'!$C$1:$L$46,_xlfn.SINGLE(MATCH('BMP P Tracking Table'!$BA67,'Performance Curves'!$D$1:$L$1,1))+1,FALSE)),"")</f>
        <v/>
      </c>
      <c r="BC67" s="102" t="str">
        <f>IFERROR(('BMP P Tracking Table'!$BA67-INDEX('Performance Curves'!$D$1:$L$1,1,MATCH('BMP P Tracking Table'!$BA67,'Performance Curves'!$D$1:$L$1,1)))/(INDEX('Performance Curves'!$D$1:$L$1,1,MATCH('BMP P Tracking Table'!$BA67,'Performance Curves'!$D$1:$L$1,1)+1)-INDEX('Performance Curves'!$D$1:$L$1,1,MATCH('BMP P Tracking Table'!$BA67,'Performance Curves'!$D$1:$L$1,1))),"")</f>
        <v/>
      </c>
      <c r="BD67" s="103" t="str" cm="1">
        <f t="array" ref="BD67">IFERROR(IF('BMP P Tracking Table'!$BA67=2,VLOOKUP(CONCATENATE('BMP P Tracking Table'!$AW67," ",'BMP P Tracking Table'!$AY67),'Performance Curves'!$C$1:$L$44,_xlfn.SINGLE(MATCH('BMP P Tracking Table'!$BA67,'Performance Curves'!$D$1:$L$1,1))+1,FALSE),'BMP P Tracking Table'!$BB67*'BMP P Tracking Table'!$BC67+VLOOKUP(CONCATENATE('BMP P Tracking Table'!$AW67," ",'BMP P Tracking Table'!$AY67),'Performance Curves'!$C$1:$L$44,_xlfn.SINGLE(MATCH('BMP P Tracking Table'!$BA67,'Performance Curves'!$D$1:$L$1,1))+1,FALSE)),"")</f>
        <v/>
      </c>
      <c r="BE67" s="104" t="str">
        <f>IFERROR('BMP P Tracking Table'!$BD67*'BMP P Tracking Table'!$AZ67,"")</f>
        <v/>
      </c>
      <c r="BF67" s="98"/>
      <c r="BG67" s="37">
        <f t="shared" si="6"/>
        <v>0</v>
      </c>
      <c r="BI67" s="36" t="str">
        <f t="shared" si="1"/>
        <v>3579-9010.R</v>
      </c>
      <c r="BJ67" s="36" t="str">
        <f t="shared" si="2"/>
        <v>Old Stage Village S/N 004</v>
      </c>
      <c r="BS67" s="36"/>
    </row>
    <row r="68" spans="1:74">
      <c r="A68" s="36" t="s">
        <v>890</v>
      </c>
      <c r="B68" s="65" t="s">
        <v>890</v>
      </c>
      <c r="C68" s="65" t="s">
        <v>927</v>
      </c>
      <c r="D68" s="65" t="s">
        <v>327</v>
      </c>
      <c r="E68" s="65" t="s">
        <v>9</v>
      </c>
      <c r="F68" s="94"/>
      <c r="G68" s="94"/>
      <c r="H68" s="65" t="s">
        <v>890</v>
      </c>
      <c r="I68" s="65"/>
      <c r="J68" s="65" t="s">
        <v>66</v>
      </c>
      <c r="K68" s="95"/>
      <c r="L68" s="65" t="s">
        <v>111</v>
      </c>
      <c r="M68" s="65"/>
      <c r="N68" s="199">
        <v>38534</v>
      </c>
      <c r="O68" s="65"/>
      <c r="P68" s="65"/>
      <c r="Q68" s="65" t="s">
        <v>119</v>
      </c>
      <c r="R68" s="65" t="s">
        <v>146</v>
      </c>
      <c r="S68" s="65" t="s">
        <v>129</v>
      </c>
      <c r="T68" s="65" t="s">
        <v>66</v>
      </c>
      <c r="U68" s="65" t="s">
        <v>165</v>
      </c>
      <c r="V68" s="65">
        <v>1.1399999999999999</v>
      </c>
      <c r="W68" s="65" t="s">
        <v>219</v>
      </c>
      <c r="X68" s="65"/>
      <c r="Y68" s="65"/>
      <c r="Z68" s="65"/>
      <c r="AA68" s="65"/>
      <c r="AB68" s="65">
        <f>1.99-1.14</f>
        <v>0.85000000000000009</v>
      </c>
      <c r="AC68" s="97">
        <v>12460</v>
      </c>
      <c r="AD68" s="65"/>
      <c r="AE68" s="104">
        <f>IFERROR('BMP P Tracking Table'!$V68*VLOOKUP('BMP P Tracking Table'!$R68,'Loading Rates'!$B$1:$L$24,4,FALSE)+IF('BMP P Tracking Table'!$W68="By HSG",'BMP P Tracking Table'!$X68*VLOOKUP('BMP P Tracking Table'!$R68,'Loading Rates'!$B$1:$L$24,6,FALSE)+'BMP P Tracking Table'!$Y68*VLOOKUP('BMP P Tracking Table'!$R68,'Loading Rates'!$B$1:$L$24,7,FALSE)+'BMP P Tracking Table'!$Z68*VLOOKUP('BMP P Tracking Table'!$R68,'Loading Rates'!$B$1:$L$24,8,FALSE)+'BMP P Tracking Table'!$AA68*VLOOKUP('BMP P Tracking Table'!$R68,'Loading Rates'!$B$1:$L$24,9,FALSE),'BMP P Tracking Table'!$AB68*VLOOKUP('BMP P Tracking Table'!$R68,'Loading Rates'!$B$1:$L$24,10,FALSE)),"")</f>
        <v>1.46973</v>
      </c>
      <c r="AF68" s="104">
        <f>IFERROR(MIN(2,IF('BMP P Tracking Table'!$W68="Total Pervious",(-(3630*'BMP P Tracking Table'!$V68+20.691*'BMP P Tracking Table'!$AB68)+SQRT((3630*'BMP P Tracking Table'!$V68+20.691*'BMP P Tracking Table'!$AB68)^2-(4*(996.798*'BMP P Tracking Table'!$AB68)*-'BMP P Tracking Table'!$AC68)))/(2*(996.798*'BMP P Tracking Table'!$AB68)),IF(SUM('BMP P Tracking Table'!$X68:$AA68)=0,'BMP P Tracking Table'!$AC68/(-3630*'BMP P Tracking Table'!$V68),(-(3630*'BMP P Tracking Table'!$V68+20.691*'BMP P Tracking Table'!$AA68-216.711*'BMP P Tracking Table'!$Z68-83.853*'BMP P Tracking Table'!$Y68-42.834*'BMP P Tracking Table'!$X68)+SQRT((3630*'BMP P Tracking Table'!$V68+20.691*'BMP P Tracking Table'!$AA68-216.711*'BMP P Tracking Table'!$Z68-83.853*'BMP P Tracking Table'!$Y68-42.834*'BMP P Tracking Table'!$X68)^2-(4*(149.919*'BMP P Tracking Table'!$X68+236.676*'BMP P Tracking Table'!$Y68+726*'BMP P Tracking Table'!$Z68+996.798*'BMP P Tracking Table'!$AA68)*-'BMP P Tracking Table'!$AC68)))/(2*(149.919*'BMP P Tracking Table'!$X68+236.676*'BMP P Tracking Table'!$Y68+726*'BMP P Tracking Table'!$Z68+996.798*'BMP P Tracking Table'!$AA68))))),"")</f>
        <v>2</v>
      </c>
      <c r="AG68" s="104" t="str">
        <f>IFERROR((VLOOKUP(CONCATENATE('BMP P Tracking Table'!$U68," ",'BMP P Tracking Table'!$AD68),'Performance Curves'!$C$1:$L$46,_xlfn.SINGLE(MATCH('BMP P Tracking Table'!$AF68,'Performance Curves'!$D$1:$L$1,1))+2,FALSE)-VLOOKUP(CONCATENATE('BMP P Tracking Table'!$U68," ",'BMP P Tracking Table'!$AD68),'Performance Curves'!$C$1:$L$46,_xlfn.SINGLE(MATCH('BMP P Tracking Table'!$AF68,'Performance Curves'!$D$1:$L$1,1))+1,FALSE)),"")</f>
        <v/>
      </c>
      <c r="AH68" s="104" t="str">
        <f>IFERROR(('BMP P Tracking Table'!$AF68-INDEX('Performance Curves'!$D$1:$L$1,1,MATCH('BMP P Tracking Table'!$AF68,'Performance Curves'!$D$1:$L$1,1)))/(INDEX('Performance Curves'!$D$1:$L$1,1,MATCH('BMP P Tracking Table'!$AF68,'Performance Curves'!$D$1:$L$1,1)+1)-INDEX('Performance Curves'!$D$1:$L$1,1,MATCH('BMP P Tracking Table'!$AF68,'Performance Curves'!$D$1:$L$1,1))),"")</f>
        <v/>
      </c>
      <c r="AI68" s="103">
        <f>IFERROR(IF('BMP P Tracking Table'!$AF68=2,VLOOKUP(CONCATENATE('BMP P Tracking Table'!$U68," ",'BMP P Tracking Table'!$AD68),'Performance Curves'!$C$1:$L$46,_xlfn.SINGLE(MATCH('BMP P Tracking Table'!$AF68,'Performance Curves'!$D$1:$L$1,1))+1,FALSE),'BMP P Tracking Table'!$AG68*'BMP P Tracking Table'!$AH68+VLOOKUP(CONCATENATE('BMP P Tracking Table'!$U68," ",'BMP P Tracking Table'!$AD68),'Performance Curves'!$C$1:$L$46,_xlfn.SINGLE(MATCH('BMP P Tracking Table'!$AF68,'Performance Curves'!$D$1:$L$1,1))+1,FALSE)),"")</f>
        <v>0.63</v>
      </c>
      <c r="AJ68" s="104">
        <f>IFERROR('BMP P Tracking Table'!$AI68*'BMP P Tracking Table'!$AE68,"")</f>
        <v>0.92592989999999997</v>
      </c>
      <c r="AK68" s="65"/>
      <c r="AL68" s="98" t="s">
        <v>62</v>
      </c>
      <c r="AM68" s="98"/>
      <c r="AN68" s="64">
        <v>1</v>
      </c>
      <c r="AO68" s="102">
        <f t="shared" si="5"/>
        <v>0.92592989999999997</v>
      </c>
      <c r="AP68" s="98"/>
      <c r="AQ68" s="98"/>
      <c r="AR68" s="98"/>
      <c r="AS68" s="98"/>
      <c r="AT68" s="98"/>
      <c r="AU68" s="98"/>
      <c r="AV68" s="98"/>
      <c r="AW68" s="65"/>
      <c r="AX68" s="99"/>
      <c r="AY68" s="99"/>
      <c r="AZ68" s="104" t="str">
        <f>IF('BMP P Tracking Table'!$AL68="Yes",IF('BMP P Tracking Table'!$AM68="No",'BMP P Tracking Table'!$V68*VLOOKUP('BMP P Tracking Table'!$R68,'Loading Rates'!$B$1:$L$24,4,FALSE)+IF('BMP P Tracking Table'!$W68="By HSG",'BMP P Tracking Table'!$X68*VLOOKUP('BMP P Tracking Table'!$R68,'Loading Rates'!$B$1:$L$24,6,FALSE)+'BMP P Tracking Table'!$Y68*VLOOKUP('BMP P Tracking Table'!$R68,'Loading Rates'!$B$1:$L$24,7,FALSE)+'BMP P Tracking Table'!$Z68*VLOOKUP('BMP P Tracking Table'!$R68,'Loading Rates'!$B$1:$L$24,8,FALSE)+'BMP P Tracking Table'!$AA68*VLOOKUP('BMP P Tracking Table'!$R68,'Loading Rates'!$B$1:$L$24,9,FALSE),'BMP P Tracking Table'!$AB68*VLOOKUP('BMP P Tracking Table'!$R68,'Loading Rates'!$B$1:$L$24,10,FALSE)),'BMP P Tracking Table'!$AP68*VLOOKUP('BMP P Tracking Table'!$R68,'Loading Rates'!$B$1:$L$24,4,FALSE)+IF('BMP P Tracking Table'!$AQ68="By HSG",'BMP P Tracking Table'!$AR68*VLOOKUP('BMP P Tracking Table'!$R68,'Loading Rates'!$B$1:$L$24,6,FALSE)+'BMP P Tracking Table'!$AS68*VLOOKUP('BMP P Tracking Table'!$R68,'Loading Rates'!$B$1:$L$24,7,FALSE)+'BMP P Tracking Table'!$AT68*VLOOKUP('BMP P Tracking Table'!$R68,'Loading Rates'!$B$1:$L$24,8,FALSE)+'BMP P Tracking Table'!$AU68*VLOOKUP('BMP P Tracking Table'!$R68,'Loading Rates'!$B$1:$L$24,9,FALSE),'BMP P Tracking Table'!$AV68*VLOOKUP('BMP P Tracking Table'!$R68,'Loading Rates'!$B$1:$L$24,10,FALSE))),"")</f>
        <v/>
      </c>
      <c r="BA68" s="104">
        <f>IFERROR(IF('BMP P Tracking Table'!$AM68="Yes",MIN(2,IF('BMP P Tracking Table'!$AQ68="Total Pervious",(-(3630*'BMP P Tracking Table'!$AP68+20.691*'BMP P Tracking Table'!$AV68)+SQRT((3630*'BMP P Tracking Table'!$AP68+20.691*'BMP P Tracking Table'!$AV68)^2-(4*(996.798*'BMP P Tracking Table'!$AV68)*-'BMP P Tracking Table'!$AX68)))/(2*(996.798*'BMP P Tracking Table'!$AV68)),IF(SUM('BMP P Tracking Table'!$AR68:$AU68)=0,'BMP P Tracking Table'!$AV68/(-3630*'BMP P Tracking Table'!$AP68),(-(3630*'BMP P Tracking Table'!$AP68+20.691*'BMP P Tracking Table'!$AU68-216.711*'BMP P Tracking Table'!$AT68-83.853*'BMP P Tracking Table'!$AS68-42.834*'BMP P Tracking Table'!$AR68)+SQRT((3630*'BMP P Tracking Table'!$AP68+20.691*'BMP P Tracking Table'!$AU68-216.711*'BMP P Tracking Table'!$AT68-83.853*'BMP P Tracking Table'!$AS68-42.834*'BMP P Tracking Table'!$AR68)^2-(4*(149.919*'BMP P Tracking Table'!$AR68+236.676*'BMP P Tracking Table'!$AS68+726*'BMP P Tracking Table'!$AT68+996.798*'BMP P Tracking Table'!$AU68)*-'BMP P Tracking Table'!$AX68)))/(2*(149.919*'BMP P Tracking Table'!$AR68+236.676*'BMP P Tracking Table'!$AS68+726*'BMP P Tracking Table'!$AT68+996.798*'BMP P Tracking Table'!$AU68))))),MIN(2,IF('BMP P Tracking Table'!$AQ68="Total Pervious",(-(3630*'BMP P Tracking Table'!$V68+20.691*'BMP P Tracking Table'!$AB68)+SQRT((3630*'BMP P Tracking Table'!$V68+20.691*'BMP P Tracking Table'!$AB68)^2-(4*(996.798*'BMP P Tracking Table'!$AB68)*-'BMP P Tracking Table'!$AX68)))/(2*(996.798*'BMP P Tracking Table'!$AB68)),IF(SUM('BMP P Tracking Table'!$X68:$AA68)=0,'BMP P Tracking Table'!$AX68/(-3630*'BMP P Tracking Table'!$V68),(-(3630*'BMP P Tracking Table'!$V68+20.691*'BMP P Tracking Table'!$AA68-216.711*'BMP P Tracking Table'!$Z68-83.853*'BMP P Tracking Table'!$Y68-42.834*'BMP P Tracking Table'!$X68)+SQRT((3630*'BMP P Tracking Table'!$V68+20.691*'BMP P Tracking Table'!$AA68-216.711*'BMP P Tracking Table'!$Z68-83.853*'BMP P Tracking Table'!$Y68-42.834*'BMP P Tracking Table'!$X68)^2-(4*(149.919*'BMP P Tracking Table'!$X68+236.676*'BMP P Tracking Table'!$Y68+726*'BMP P Tracking Table'!$Z68+996.798*'BMP P Tracking Table'!$AA68)*-'BMP P Tracking Table'!$AX68)))/(2*(149.919*'BMP P Tracking Table'!$X68+236.676*'BMP P Tracking Table'!$Y68+726*'BMP P Tracking Table'!$Z68+996.798*'BMP P Tracking Table'!$AA68)))))),"")</f>
        <v>0</v>
      </c>
      <c r="BB68" s="102" t="str">
        <f>IFERROR((VLOOKUP(CONCATENATE('BMP P Tracking Table'!$AW68," ",'BMP P Tracking Table'!$AY68),'Performance Curves'!$C$1:$L$46,_xlfn.SINGLE(MATCH('BMP P Tracking Table'!$BA68,'Performance Curves'!$D$1:$L$1,1))+2,FALSE)-VLOOKUP(CONCATENATE('BMP P Tracking Table'!$AW68," ",'BMP P Tracking Table'!$AY68),'Performance Curves'!$C$1:$L$46,_xlfn.SINGLE(MATCH('BMP P Tracking Table'!$BA68,'Performance Curves'!$D$1:$L$1,1))+1,FALSE)),"")</f>
        <v/>
      </c>
      <c r="BC68" s="102">
        <f>IFERROR(('BMP P Tracking Table'!$BA68-INDEX('Performance Curves'!$D$1:$L$1,1,MATCH('BMP P Tracking Table'!$BA68,'Performance Curves'!$D$1:$L$1,1)))/(INDEX('Performance Curves'!$D$1:$L$1,1,MATCH('BMP P Tracking Table'!$BA68,'Performance Curves'!$D$1:$L$1,1)+1)-INDEX('Performance Curves'!$D$1:$L$1,1,MATCH('BMP P Tracking Table'!$BA68,'Performance Curves'!$D$1:$L$1,1))),"")</f>
        <v>0</v>
      </c>
      <c r="BD68" s="103" t="str" cm="1">
        <f t="array" ref="BD68">IFERROR(IF('BMP P Tracking Table'!$BA68=2,VLOOKUP(CONCATENATE('BMP P Tracking Table'!$AW68," ",'BMP P Tracking Table'!$AY68),'Performance Curves'!$C$1:$L$44,_xlfn.SINGLE(MATCH('BMP P Tracking Table'!$BA68,'Performance Curves'!$D$1:$L$1,1))+1,FALSE),'BMP P Tracking Table'!$BB68*'BMP P Tracking Table'!$BC68+VLOOKUP(CONCATENATE('BMP P Tracking Table'!$AW68," ",'BMP P Tracking Table'!$AY68),'Performance Curves'!$C$1:$L$44,_xlfn.SINGLE(MATCH('BMP P Tracking Table'!$BA68,'Performance Curves'!$D$1:$L$1,1))+1,FALSE)),"")</f>
        <v/>
      </c>
      <c r="BE68" s="104" t="str">
        <f>IFERROR('BMP P Tracking Table'!$BD68*'BMP P Tracking Table'!$AZ68,"")</f>
        <v/>
      </c>
      <c r="BF68" s="98"/>
      <c r="BG68" s="37">
        <f t="shared" si="6"/>
        <v>0</v>
      </c>
      <c r="BI68" s="36" t="str">
        <f t="shared" ref="BI68:BI131" si="7">B68</f>
        <v>3585-9010.T</v>
      </c>
      <c r="BJ68" s="36" t="str">
        <f t="shared" ref="BJ68:BJ131" si="8">C68</f>
        <v>Saxon Hill ROW S/N 001 (Industrial Park)</v>
      </c>
      <c r="BS68" s="36"/>
    </row>
    <row r="69" spans="1:74">
      <c r="A69" s="36" t="s">
        <v>402</v>
      </c>
      <c r="B69" s="65" t="s">
        <v>402</v>
      </c>
      <c r="C69" s="65" t="s">
        <v>633</v>
      </c>
      <c r="D69" s="65" t="s">
        <v>327</v>
      </c>
      <c r="E69" s="65" t="s">
        <v>9</v>
      </c>
      <c r="F69" s="94"/>
      <c r="G69" s="94"/>
      <c r="H69" s="65" t="s">
        <v>402</v>
      </c>
      <c r="I69" s="65"/>
      <c r="J69" s="65" t="s">
        <v>66</v>
      </c>
      <c r="K69" s="95"/>
      <c r="L69" s="65" t="s">
        <v>111</v>
      </c>
      <c r="M69" s="65"/>
      <c r="N69" s="199" t="s">
        <v>644</v>
      </c>
      <c r="O69" s="65"/>
      <c r="P69" s="65"/>
      <c r="Q69" s="65" t="s">
        <v>119</v>
      </c>
      <c r="R69" s="65" t="s">
        <v>146</v>
      </c>
      <c r="S69" s="65" t="s">
        <v>129</v>
      </c>
      <c r="T69" s="65" t="s">
        <v>62</v>
      </c>
      <c r="U69" s="65" t="s">
        <v>215</v>
      </c>
      <c r="V69" s="65">
        <v>3.03</v>
      </c>
      <c r="W69" s="65" t="s">
        <v>219</v>
      </c>
      <c r="X69" s="65"/>
      <c r="Y69" s="65"/>
      <c r="Z69" s="65"/>
      <c r="AA69" s="65"/>
      <c r="AB69" s="65">
        <v>3.91</v>
      </c>
      <c r="AC69" s="97">
        <v>8010</v>
      </c>
      <c r="AD69" s="65"/>
      <c r="AE69" s="104">
        <f>IFERROR('BMP P Tracking Table'!$V69*VLOOKUP('BMP P Tracking Table'!$R69,'Loading Rates'!$B$1:$L$24,4,FALSE)+IF('BMP P Tracking Table'!$W69="By HSG",'BMP P Tracking Table'!$X69*VLOOKUP('BMP P Tracking Table'!$R69,'Loading Rates'!$B$1:$L$24,6,FALSE)+'BMP P Tracking Table'!$Y69*VLOOKUP('BMP P Tracking Table'!$R69,'Loading Rates'!$B$1:$L$24,7,FALSE)+'BMP P Tracking Table'!$Z69*VLOOKUP('BMP P Tracking Table'!$R69,'Loading Rates'!$B$1:$L$24,8,FALSE)+'BMP P Tracking Table'!$AA69*VLOOKUP('BMP P Tracking Table'!$R69,'Loading Rates'!$B$1:$L$24,9,FALSE),'BMP P Tracking Table'!$AB69*VLOOKUP('BMP P Tracking Table'!$R69,'Loading Rates'!$B$1:$L$24,10,FALSE)),"")</f>
        <v>4.2877200000000002</v>
      </c>
      <c r="AF69" s="104">
        <f>IFERROR(MIN(2,IF('BMP P Tracking Table'!$W69="Total Pervious",(-(3630*'BMP P Tracking Table'!$V69+20.691*'BMP P Tracking Table'!$AB69)+SQRT((3630*'BMP P Tracking Table'!$V69+20.691*'BMP P Tracking Table'!$AB69)^2-(4*(996.798*'BMP P Tracking Table'!$AB69)*-'BMP P Tracking Table'!$AC69)))/(2*(996.798*'BMP P Tracking Table'!$AB69)),IF(SUM('BMP P Tracking Table'!$X69:$AA69)=0,'BMP P Tracking Table'!$AC69/(-3630*'BMP P Tracking Table'!$V69),(-(3630*'BMP P Tracking Table'!$V69+20.691*'BMP P Tracking Table'!$AA69-216.711*'BMP P Tracking Table'!$Z69-83.853*'BMP P Tracking Table'!$Y69-42.834*'BMP P Tracking Table'!$X69)+SQRT((3630*'BMP P Tracking Table'!$V69+20.691*'BMP P Tracking Table'!$AA69-216.711*'BMP P Tracking Table'!$Z69-83.853*'BMP P Tracking Table'!$Y69-42.834*'BMP P Tracking Table'!$X69)^2-(4*(149.919*'BMP P Tracking Table'!$X69+236.676*'BMP P Tracking Table'!$Y69+726*'BMP P Tracking Table'!$Z69+996.798*'BMP P Tracking Table'!$AA69)*-'BMP P Tracking Table'!$AC69)))/(2*(149.919*'BMP P Tracking Table'!$X69+236.676*'BMP P Tracking Table'!$Y69+726*'BMP P Tracking Table'!$Z69+996.798*'BMP P Tracking Table'!$AA69))))),"")</f>
        <v>0.59739792362392452</v>
      </c>
      <c r="AG69" s="104">
        <f>IFERROR((VLOOKUP(CONCATENATE('BMP P Tracking Table'!$U69," ",'BMP P Tracking Table'!$AD69),'Performance Curves'!$C$1:$L$46,_xlfn.SINGLE(MATCH('BMP P Tracking Table'!$AF69,'Performance Curves'!$D$1:$L$1,1))+2,FALSE)-VLOOKUP(CONCATENATE('BMP P Tracking Table'!$U69," ",'BMP P Tracking Table'!$AD69),'Performance Curves'!$C$1:$L$46,_xlfn.SINGLE(MATCH('BMP P Tracking Table'!$AF69,'Performance Curves'!$D$1:$L$1,1))+1,FALSE)),"")</f>
        <v>9.999999999999995E-3</v>
      </c>
      <c r="AH69" s="104">
        <f>IFERROR(('BMP P Tracking Table'!$AF69-INDEX('Performance Curves'!$D$1:$L$1,1,MATCH('BMP P Tracking Table'!$AF69,'Performance Curves'!$D$1:$L$1,1)))/(INDEX('Performance Curves'!$D$1:$L$1,1,MATCH('BMP P Tracking Table'!$AF69,'Performance Curves'!$D$1:$L$1,1)+1)-INDEX('Performance Curves'!$D$1:$L$1,1,MATCH('BMP P Tracking Table'!$AF69,'Performance Curves'!$D$1:$L$1,1))),"")</f>
        <v>0.98698961811962271</v>
      </c>
      <c r="AI69" s="103">
        <f>IFERROR(IF('BMP P Tracking Table'!$AF69=2,VLOOKUP(CONCATENATE('BMP P Tracking Table'!$U69," ",'BMP P Tracking Table'!$AD69),'Performance Curves'!$C$1:$L$46,_xlfn.SINGLE(MATCH('BMP P Tracking Table'!$AF69,'Performance Curves'!$D$1:$L$1,1))+1,FALSE),'BMP P Tracking Table'!$AG69*'BMP P Tracking Table'!$AH69+VLOOKUP(CONCATENATE('BMP P Tracking Table'!$U69," ",'BMP P Tracking Table'!$AD69),'Performance Curves'!$C$1:$L$46,_xlfn.SINGLE(MATCH('BMP P Tracking Table'!$AF69,'Performance Curves'!$D$1:$L$1,1))+1,FALSE)),"")</f>
        <v>8.9869896181196229E-2</v>
      </c>
      <c r="AJ69" s="104">
        <f>IFERROR('BMP P Tracking Table'!$AI69*'BMP P Tracking Table'!$AE69,"")</f>
        <v>0.38533695125403872</v>
      </c>
      <c r="AK69" s="65"/>
      <c r="AL69" s="98" t="s">
        <v>62</v>
      </c>
      <c r="AM69" s="98"/>
      <c r="AN69" s="64">
        <v>1</v>
      </c>
      <c r="AO69" s="102">
        <f t="shared" si="5"/>
        <v>0.38533695125403872</v>
      </c>
      <c r="AP69" s="98"/>
      <c r="AQ69" s="98"/>
      <c r="AR69" s="98"/>
      <c r="AS69" s="98"/>
      <c r="AT69" s="98"/>
      <c r="AU69" s="98"/>
      <c r="AV69" s="98"/>
      <c r="AW69" s="65"/>
      <c r="AX69" s="99"/>
      <c r="AY69" s="99"/>
      <c r="AZ69" s="104" t="str">
        <f>IF('BMP P Tracking Table'!$AL69="Yes",IF('BMP P Tracking Table'!$AM69="No",'BMP P Tracking Table'!$V69*VLOOKUP('BMP P Tracking Table'!$R69,'Loading Rates'!$B$1:$L$24,4,FALSE)+IF('BMP P Tracking Table'!$W69="By HSG",'BMP P Tracking Table'!$X69*VLOOKUP('BMP P Tracking Table'!$R69,'Loading Rates'!$B$1:$L$24,6,FALSE)+'BMP P Tracking Table'!$Y69*VLOOKUP('BMP P Tracking Table'!$R69,'Loading Rates'!$B$1:$L$24,7,FALSE)+'BMP P Tracking Table'!$Z69*VLOOKUP('BMP P Tracking Table'!$R69,'Loading Rates'!$B$1:$L$24,8,FALSE)+'BMP P Tracking Table'!$AA69*VLOOKUP('BMP P Tracking Table'!$R69,'Loading Rates'!$B$1:$L$24,9,FALSE),'BMP P Tracking Table'!$AB69*VLOOKUP('BMP P Tracking Table'!$R69,'Loading Rates'!$B$1:$L$24,10,FALSE)),'BMP P Tracking Table'!$AP69*VLOOKUP('BMP P Tracking Table'!$R69,'Loading Rates'!$B$1:$L$24,4,FALSE)+IF('BMP P Tracking Table'!$AQ69="By HSG",'BMP P Tracking Table'!$AR69*VLOOKUP('BMP P Tracking Table'!$R69,'Loading Rates'!$B$1:$L$24,6,FALSE)+'BMP P Tracking Table'!$AS69*VLOOKUP('BMP P Tracking Table'!$R69,'Loading Rates'!$B$1:$L$24,7,FALSE)+'BMP P Tracking Table'!$AT69*VLOOKUP('BMP P Tracking Table'!$R69,'Loading Rates'!$B$1:$L$24,8,FALSE)+'BMP P Tracking Table'!$AU69*VLOOKUP('BMP P Tracking Table'!$R69,'Loading Rates'!$B$1:$L$24,9,FALSE),'BMP P Tracking Table'!$AV69*VLOOKUP('BMP P Tracking Table'!$R69,'Loading Rates'!$B$1:$L$24,10,FALSE))),"")</f>
        <v/>
      </c>
      <c r="BA69" s="104">
        <f>IFERROR(IF('BMP P Tracking Table'!$AM69="Yes",MIN(2,IF('BMP P Tracking Table'!$AQ69="Total Pervious",(-(3630*'BMP P Tracking Table'!$AP69+20.691*'BMP P Tracking Table'!$AV69)+SQRT((3630*'BMP P Tracking Table'!$AP69+20.691*'BMP P Tracking Table'!$AV69)^2-(4*(996.798*'BMP P Tracking Table'!$AV69)*-'BMP P Tracking Table'!$AX69)))/(2*(996.798*'BMP P Tracking Table'!$AV69)),IF(SUM('BMP P Tracking Table'!$AR69:$AU69)=0,'BMP P Tracking Table'!$AV69/(-3630*'BMP P Tracking Table'!$AP69),(-(3630*'BMP P Tracking Table'!$AP69+20.691*'BMP P Tracking Table'!$AU69-216.711*'BMP P Tracking Table'!$AT69-83.853*'BMP P Tracking Table'!$AS69-42.834*'BMP P Tracking Table'!$AR69)+SQRT((3630*'BMP P Tracking Table'!$AP69+20.691*'BMP P Tracking Table'!$AU69-216.711*'BMP P Tracking Table'!$AT69-83.853*'BMP P Tracking Table'!$AS69-42.834*'BMP P Tracking Table'!$AR69)^2-(4*(149.919*'BMP P Tracking Table'!$AR69+236.676*'BMP P Tracking Table'!$AS69+726*'BMP P Tracking Table'!$AT69+996.798*'BMP P Tracking Table'!$AU69)*-'BMP P Tracking Table'!$AX69)))/(2*(149.919*'BMP P Tracking Table'!$AR69+236.676*'BMP P Tracking Table'!$AS69+726*'BMP P Tracking Table'!$AT69+996.798*'BMP P Tracking Table'!$AU69))))),MIN(2,IF('BMP P Tracking Table'!$AQ69="Total Pervious",(-(3630*'BMP P Tracking Table'!$V69+20.691*'BMP P Tracking Table'!$AB69)+SQRT((3630*'BMP P Tracking Table'!$V69+20.691*'BMP P Tracking Table'!$AB69)^2-(4*(996.798*'BMP P Tracking Table'!$AB69)*-'BMP P Tracking Table'!$AX69)))/(2*(996.798*'BMP P Tracking Table'!$AB69)),IF(SUM('BMP P Tracking Table'!$X69:$AA69)=0,'BMP P Tracking Table'!$AX69/(-3630*'BMP P Tracking Table'!$V69),(-(3630*'BMP P Tracking Table'!$V69+20.691*'BMP P Tracking Table'!$AA69-216.711*'BMP P Tracking Table'!$Z69-83.853*'BMP P Tracking Table'!$Y69-42.834*'BMP P Tracking Table'!$X69)+SQRT((3630*'BMP P Tracking Table'!$V69+20.691*'BMP P Tracking Table'!$AA69-216.711*'BMP P Tracking Table'!$Z69-83.853*'BMP P Tracking Table'!$Y69-42.834*'BMP P Tracking Table'!$X69)^2-(4*(149.919*'BMP P Tracking Table'!$X69+236.676*'BMP P Tracking Table'!$Y69+726*'BMP P Tracking Table'!$Z69+996.798*'BMP P Tracking Table'!$AA69)*-'BMP P Tracking Table'!$AX69)))/(2*(149.919*'BMP P Tracking Table'!$X69+236.676*'BMP P Tracking Table'!$Y69+726*'BMP P Tracking Table'!$Z69+996.798*'BMP P Tracking Table'!$AA69)))))),"")</f>
        <v>0</v>
      </c>
      <c r="BB69" s="102" t="str">
        <f>IFERROR((VLOOKUP(CONCATENATE('BMP P Tracking Table'!$AW69," ",'BMP P Tracking Table'!$AY69),'Performance Curves'!$C$1:$L$46,_xlfn.SINGLE(MATCH('BMP P Tracking Table'!$BA69,'Performance Curves'!$D$1:$L$1,1))+2,FALSE)-VLOOKUP(CONCATENATE('BMP P Tracking Table'!$AW69," ",'BMP P Tracking Table'!$AY69),'Performance Curves'!$C$1:$L$46,_xlfn.SINGLE(MATCH('BMP P Tracking Table'!$BA69,'Performance Curves'!$D$1:$L$1,1))+1,FALSE)),"")</f>
        <v/>
      </c>
      <c r="BC69" s="102">
        <f>IFERROR(('BMP P Tracking Table'!$BA69-INDEX('Performance Curves'!$D$1:$L$1,1,MATCH('BMP P Tracking Table'!$BA69,'Performance Curves'!$D$1:$L$1,1)))/(INDEX('Performance Curves'!$D$1:$L$1,1,MATCH('BMP P Tracking Table'!$BA69,'Performance Curves'!$D$1:$L$1,1)+1)-INDEX('Performance Curves'!$D$1:$L$1,1,MATCH('BMP P Tracking Table'!$BA69,'Performance Curves'!$D$1:$L$1,1))),"")</f>
        <v>0</v>
      </c>
      <c r="BD69" s="103" t="str" cm="1">
        <f t="array" ref="BD69">IFERROR(IF('BMP P Tracking Table'!$BA69=2,VLOOKUP(CONCATENATE('BMP P Tracking Table'!$AW69," ",'BMP P Tracking Table'!$AY69),'Performance Curves'!$C$1:$L$44,_xlfn.SINGLE(MATCH('BMP P Tracking Table'!$BA69,'Performance Curves'!$D$1:$L$1,1))+1,FALSE),'BMP P Tracking Table'!$BB69*'BMP P Tracking Table'!$BC69+VLOOKUP(CONCATENATE('BMP P Tracking Table'!$AW69," ",'BMP P Tracking Table'!$AY69),'Performance Curves'!$C$1:$L$44,_xlfn.SINGLE(MATCH('BMP P Tracking Table'!$BA69,'Performance Curves'!$D$1:$L$1,1))+1,FALSE)),"")</f>
        <v/>
      </c>
      <c r="BE69" s="104" t="str">
        <f>IFERROR('BMP P Tracking Table'!$BD69*'BMP P Tracking Table'!$AZ69,"")</f>
        <v/>
      </c>
      <c r="BF69" s="98"/>
      <c r="BG69" s="37">
        <f t="shared" si="6"/>
        <v>0</v>
      </c>
      <c r="BI69" s="36" t="str">
        <f t="shared" si="7"/>
        <v>4367-9010.R</v>
      </c>
      <c r="BJ69" s="36" t="str">
        <f t="shared" si="8"/>
        <v>Autumn Knoll S/N 001</v>
      </c>
      <c r="BS69" s="36"/>
    </row>
    <row r="70" spans="1:74">
      <c r="A70" s="36" t="s">
        <v>402</v>
      </c>
      <c r="B70" s="65" t="s">
        <v>402</v>
      </c>
      <c r="C70" s="65" t="s">
        <v>634</v>
      </c>
      <c r="D70" s="65" t="s">
        <v>327</v>
      </c>
      <c r="E70" s="65" t="s">
        <v>9</v>
      </c>
      <c r="F70" s="94"/>
      <c r="G70" s="94"/>
      <c r="H70" s="65" t="s">
        <v>402</v>
      </c>
      <c r="I70" s="65"/>
      <c r="J70" s="65" t="s">
        <v>66</v>
      </c>
      <c r="K70" s="95"/>
      <c r="L70" s="65" t="s">
        <v>111</v>
      </c>
      <c r="M70" s="65"/>
      <c r="N70" s="199" t="s">
        <v>644</v>
      </c>
      <c r="O70" s="65"/>
      <c r="P70" s="65"/>
      <c r="Q70" s="65" t="s">
        <v>119</v>
      </c>
      <c r="R70" s="65" t="s">
        <v>146</v>
      </c>
      <c r="S70" s="65" t="s">
        <v>129</v>
      </c>
      <c r="T70" s="65" t="s">
        <v>62</v>
      </c>
      <c r="U70" s="65" t="s">
        <v>232</v>
      </c>
      <c r="V70" s="65">
        <v>1.1599999999999999</v>
      </c>
      <c r="W70" s="65" t="s">
        <v>219</v>
      </c>
      <c r="X70" s="65"/>
      <c r="Y70" s="65"/>
      <c r="Z70" s="65"/>
      <c r="AA70" s="65"/>
      <c r="AB70" s="65">
        <v>9.44</v>
      </c>
      <c r="AC70" s="97"/>
      <c r="AD70" s="65"/>
      <c r="AE70" s="104">
        <f>IFERROR('BMP P Tracking Table'!$V70*VLOOKUP('BMP P Tracking Table'!$R70,'Loading Rates'!$B$1:$L$24,4,FALSE)+IF('BMP P Tracking Table'!$W70="By HSG",'BMP P Tracking Table'!$X70*VLOOKUP('BMP P Tracking Table'!$R70,'Loading Rates'!$B$1:$L$24,6,FALSE)+'BMP P Tracking Table'!$Y70*VLOOKUP('BMP P Tracking Table'!$R70,'Loading Rates'!$B$1:$L$24,7,FALSE)+'BMP P Tracking Table'!$Z70*VLOOKUP('BMP P Tracking Table'!$R70,'Loading Rates'!$B$1:$L$24,8,FALSE)+'BMP P Tracking Table'!$AA70*VLOOKUP('BMP P Tracking Table'!$R70,'Loading Rates'!$B$1:$L$24,9,FALSE),'BMP P Tracking Table'!$AB70*VLOOKUP('BMP P Tracking Table'!$R70,'Loading Rates'!$B$1:$L$24,10,FALSE)),"")</f>
        <v>3.4763599999999997</v>
      </c>
      <c r="AF70" s="104">
        <f>IFERROR(MIN(2,IF('BMP P Tracking Table'!$W70="Total Pervious",(-(3630*'BMP P Tracking Table'!$V70+20.691*'BMP P Tracking Table'!$AB70)+SQRT((3630*'BMP P Tracking Table'!$V70+20.691*'BMP P Tracking Table'!$AB70)^2-(4*(996.798*'BMP P Tracking Table'!$AB70)*-'BMP P Tracking Table'!$AC70)))/(2*(996.798*'BMP P Tracking Table'!$AB70)),IF(SUM('BMP P Tracking Table'!$X70:$AA70)=0,'BMP P Tracking Table'!$AC70/(-3630*'BMP P Tracking Table'!$V70),(-(3630*'BMP P Tracking Table'!$V70+20.691*'BMP P Tracking Table'!$AA70-216.711*'BMP P Tracking Table'!$Z70-83.853*'BMP P Tracking Table'!$Y70-42.834*'BMP P Tracking Table'!$X70)+SQRT((3630*'BMP P Tracking Table'!$V70+20.691*'BMP P Tracking Table'!$AA70-216.711*'BMP P Tracking Table'!$Z70-83.853*'BMP P Tracking Table'!$Y70-42.834*'BMP P Tracking Table'!$X70)^2-(4*(149.919*'BMP P Tracking Table'!$X70+236.676*'BMP P Tracking Table'!$Y70+726*'BMP P Tracking Table'!$Z70+996.798*'BMP P Tracking Table'!$AA70)*-'BMP P Tracking Table'!$AC70)))/(2*(149.919*'BMP P Tracking Table'!$X70+236.676*'BMP P Tracking Table'!$Y70+726*'BMP P Tracking Table'!$Z70+996.798*'BMP P Tracking Table'!$AA70))))),"")</f>
        <v>0</v>
      </c>
      <c r="AG70" s="104">
        <f>IFERROR((VLOOKUP(CONCATENATE('BMP P Tracking Table'!$U70," ",'BMP P Tracking Table'!$AD70),'Performance Curves'!$C$1:$L$46,_xlfn.SINGLE(MATCH('BMP P Tracking Table'!$AF70,'Performance Curves'!$D$1:$L$1,1))+2,FALSE)-VLOOKUP(CONCATENATE('BMP P Tracking Table'!$U70," ",'BMP P Tracking Table'!$AD70),'Performance Curves'!$C$1:$L$46,_xlfn.SINGLE(MATCH('BMP P Tracking Table'!$AF70,'Performance Curves'!$D$1:$L$1,1))+1,FALSE)),"")</f>
        <v>0.02</v>
      </c>
      <c r="AH70" s="104">
        <f>IFERROR(('BMP P Tracking Table'!$AF70-INDEX('Performance Curves'!$D$1:$L$1,1,MATCH('BMP P Tracking Table'!$AF70,'Performance Curves'!$D$1:$L$1,1)))/(INDEX('Performance Curves'!$D$1:$L$1,1,MATCH('BMP P Tracking Table'!$AF70,'Performance Curves'!$D$1:$L$1,1)+1)-INDEX('Performance Curves'!$D$1:$L$1,1,MATCH('BMP P Tracking Table'!$AF70,'Performance Curves'!$D$1:$L$1,1))),"")</f>
        <v>0</v>
      </c>
      <c r="AI70" s="103">
        <f>IFERROR(IF('BMP P Tracking Table'!$AF70=2,VLOOKUP(CONCATENATE('BMP P Tracking Table'!$U70," ",'BMP P Tracking Table'!$AD70),'Performance Curves'!$C$1:$L$46,_xlfn.SINGLE(MATCH('BMP P Tracking Table'!$AF70,'Performance Curves'!$D$1:$L$1,1))+1,FALSE),'BMP P Tracking Table'!$AG70*'BMP P Tracking Table'!$AH70+VLOOKUP(CONCATENATE('BMP P Tracking Table'!$U70," ",'BMP P Tracking Table'!$AD70),'Performance Curves'!$C$1:$L$46,_xlfn.SINGLE(MATCH('BMP P Tracking Table'!$AF70,'Performance Curves'!$D$1:$L$1,1))+1,FALSE)),"")</f>
        <v>0</v>
      </c>
      <c r="AJ70" s="104">
        <f>IFERROR('BMP P Tracking Table'!$AI70*'BMP P Tracking Table'!$AE70,"")</f>
        <v>0</v>
      </c>
      <c r="AK70" s="65"/>
      <c r="AL70" s="98" t="s">
        <v>62</v>
      </c>
      <c r="AM70" s="98"/>
      <c r="AN70" s="64">
        <v>1</v>
      </c>
      <c r="AO70" s="102">
        <f t="shared" si="5"/>
        <v>0</v>
      </c>
      <c r="AP70" s="98"/>
      <c r="AQ70" s="98"/>
      <c r="AR70" s="98"/>
      <c r="AS70" s="98"/>
      <c r="AT70" s="98"/>
      <c r="AU70" s="98"/>
      <c r="AV70" s="98"/>
      <c r="AW70" s="65"/>
      <c r="AX70" s="99"/>
      <c r="AY70" s="99"/>
      <c r="AZ70" s="104" t="str">
        <f>IF('BMP P Tracking Table'!$AL70="Yes",IF('BMP P Tracking Table'!$AM70="No",'BMP P Tracking Table'!$V70*VLOOKUP('BMP P Tracking Table'!$R70,'Loading Rates'!$B$1:$L$24,4,FALSE)+IF('BMP P Tracking Table'!$W70="By HSG",'BMP P Tracking Table'!$X70*VLOOKUP('BMP P Tracking Table'!$R70,'Loading Rates'!$B$1:$L$24,6,FALSE)+'BMP P Tracking Table'!$Y70*VLOOKUP('BMP P Tracking Table'!$R70,'Loading Rates'!$B$1:$L$24,7,FALSE)+'BMP P Tracking Table'!$Z70*VLOOKUP('BMP P Tracking Table'!$R70,'Loading Rates'!$B$1:$L$24,8,FALSE)+'BMP P Tracking Table'!$AA70*VLOOKUP('BMP P Tracking Table'!$R70,'Loading Rates'!$B$1:$L$24,9,FALSE),'BMP P Tracking Table'!$AB70*VLOOKUP('BMP P Tracking Table'!$R70,'Loading Rates'!$B$1:$L$24,10,FALSE)),'BMP P Tracking Table'!$AP70*VLOOKUP('BMP P Tracking Table'!$R70,'Loading Rates'!$B$1:$L$24,4,FALSE)+IF('BMP P Tracking Table'!$AQ70="By HSG",'BMP P Tracking Table'!$AR70*VLOOKUP('BMP P Tracking Table'!$R70,'Loading Rates'!$B$1:$L$24,6,FALSE)+'BMP P Tracking Table'!$AS70*VLOOKUP('BMP P Tracking Table'!$R70,'Loading Rates'!$B$1:$L$24,7,FALSE)+'BMP P Tracking Table'!$AT70*VLOOKUP('BMP P Tracking Table'!$R70,'Loading Rates'!$B$1:$L$24,8,FALSE)+'BMP P Tracking Table'!$AU70*VLOOKUP('BMP P Tracking Table'!$R70,'Loading Rates'!$B$1:$L$24,9,FALSE),'BMP P Tracking Table'!$AV70*VLOOKUP('BMP P Tracking Table'!$R70,'Loading Rates'!$B$1:$L$24,10,FALSE))),"")</f>
        <v/>
      </c>
      <c r="BA70" s="104">
        <f>IFERROR(IF('BMP P Tracking Table'!$AM70="Yes",MIN(2,IF('BMP P Tracking Table'!$AQ70="Total Pervious",(-(3630*'BMP P Tracking Table'!$AP70+20.691*'BMP P Tracking Table'!$AV70)+SQRT((3630*'BMP P Tracking Table'!$AP70+20.691*'BMP P Tracking Table'!$AV70)^2-(4*(996.798*'BMP P Tracking Table'!$AV70)*-'BMP P Tracking Table'!$AX70)))/(2*(996.798*'BMP P Tracking Table'!$AV70)),IF(SUM('BMP P Tracking Table'!$AR70:$AU70)=0,'BMP P Tracking Table'!$AV70/(-3630*'BMP P Tracking Table'!$AP70),(-(3630*'BMP P Tracking Table'!$AP70+20.691*'BMP P Tracking Table'!$AU70-216.711*'BMP P Tracking Table'!$AT70-83.853*'BMP P Tracking Table'!$AS70-42.834*'BMP P Tracking Table'!$AR70)+SQRT((3630*'BMP P Tracking Table'!$AP70+20.691*'BMP P Tracking Table'!$AU70-216.711*'BMP P Tracking Table'!$AT70-83.853*'BMP P Tracking Table'!$AS70-42.834*'BMP P Tracking Table'!$AR70)^2-(4*(149.919*'BMP P Tracking Table'!$AR70+236.676*'BMP P Tracking Table'!$AS70+726*'BMP P Tracking Table'!$AT70+996.798*'BMP P Tracking Table'!$AU70)*-'BMP P Tracking Table'!$AX70)))/(2*(149.919*'BMP P Tracking Table'!$AR70+236.676*'BMP P Tracking Table'!$AS70+726*'BMP P Tracking Table'!$AT70+996.798*'BMP P Tracking Table'!$AU70))))),MIN(2,IF('BMP P Tracking Table'!$AQ70="Total Pervious",(-(3630*'BMP P Tracking Table'!$V70+20.691*'BMP P Tracking Table'!$AB70)+SQRT((3630*'BMP P Tracking Table'!$V70+20.691*'BMP P Tracking Table'!$AB70)^2-(4*(996.798*'BMP P Tracking Table'!$AB70)*-'BMP P Tracking Table'!$AX70)))/(2*(996.798*'BMP P Tracking Table'!$AB70)),IF(SUM('BMP P Tracking Table'!$X70:$AA70)=0,'BMP P Tracking Table'!$AX70/(-3630*'BMP P Tracking Table'!$V70),(-(3630*'BMP P Tracking Table'!$V70+20.691*'BMP P Tracking Table'!$AA70-216.711*'BMP P Tracking Table'!$Z70-83.853*'BMP P Tracking Table'!$Y70-42.834*'BMP P Tracking Table'!$X70)+SQRT((3630*'BMP P Tracking Table'!$V70+20.691*'BMP P Tracking Table'!$AA70-216.711*'BMP P Tracking Table'!$Z70-83.853*'BMP P Tracking Table'!$Y70-42.834*'BMP P Tracking Table'!$X70)^2-(4*(149.919*'BMP P Tracking Table'!$X70+236.676*'BMP P Tracking Table'!$Y70+726*'BMP P Tracking Table'!$Z70+996.798*'BMP P Tracking Table'!$AA70)*-'BMP P Tracking Table'!$AX70)))/(2*(149.919*'BMP P Tracking Table'!$X70+236.676*'BMP P Tracking Table'!$Y70+726*'BMP P Tracking Table'!$Z70+996.798*'BMP P Tracking Table'!$AA70)))))),"")</f>
        <v>0</v>
      </c>
      <c r="BB70" s="102" t="str">
        <f>IFERROR((VLOOKUP(CONCATENATE('BMP P Tracking Table'!$AW70," ",'BMP P Tracking Table'!$AY70),'Performance Curves'!$C$1:$L$46,_xlfn.SINGLE(MATCH('BMP P Tracking Table'!$BA70,'Performance Curves'!$D$1:$L$1,1))+2,FALSE)-VLOOKUP(CONCATENATE('BMP P Tracking Table'!$AW70," ",'BMP P Tracking Table'!$AY70),'Performance Curves'!$C$1:$L$46,_xlfn.SINGLE(MATCH('BMP P Tracking Table'!$BA70,'Performance Curves'!$D$1:$L$1,1))+1,FALSE)),"")</f>
        <v/>
      </c>
      <c r="BC70" s="102">
        <f>IFERROR(('BMP P Tracking Table'!$BA70-INDEX('Performance Curves'!$D$1:$L$1,1,MATCH('BMP P Tracking Table'!$BA70,'Performance Curves'!$D$1:$L$1,1)))/(INDEX('Performance Curves'!$D$1:$L$1,1,MATCH('BMP P Tracking Table'!$BA70,'Performance Curves'!$D$1:$L$1,1)+1)-INDEX('Performance Curves'!$D$1:$L$1,1,MATCH('BMP P Tracking Table'!$BA70,'Performance Curves'!$D$1:$L$1,1))),"")</f>
        <v>0</v>
      </c>
      <c r="BD70" s="103" t="str" cm="1">
        <f t="array" ref="BD70">IFERROR(IF('BMP P Tracking Table'!$BA70=2,VLOOKUP(CONCATENATE('BMP P Tracking Table'!$AW70," ",'BMP P Tracking Table'!$AY70),'Performance Curves'!$C$1:$L$44,_xlfn.SINGLE(MATCH('BMP P Tracking Table'!$BA70,'Performance Curves'!$D$1:$L$1,1))+1,FALSE),'BMP P Tracking Table'!$BB70*'BMP P Tracking Table'!$BC70+VLOOKUP(CONCATENATE('BMP P Tracking Table'!$AW70," ",'BMP P Tracking Table'!$AY70),'Performance Curves'!$C$1:$L$44,_xlfn.SINGLE(MATCH('BMP P Tracking Table'!$BA70,'Performance Curves'!$D$1:$L$1,1))+1,FALSE)),"")</f>
        <v/>
      </c>
      <c r="BE70" s="104" t="str">
        <f>IFERROR('BMP P Tracking Table'!$BD70*'BMP P Tracking Table'!$AZ70,"")</f>
        <v/>
      </c>
      <c r="BF70" s="98"/>
      <c r="BG70" s="37">
        <f t="shared" si="6"/>
        <v>0</v>
      </c>
      <c r="BI70" s="36" t="str">
        <f t="shared" si="7"/>
        <v>4367-9010.R</v>
      </c>
      <c r="BJ70" s="36" t="str">
        <f t="shared" si="8"/>
        <v>Autumn Knoll S/N 003</v>
      </c>
      <c r="BS70" s="36"/>
    </row>
    <row r="71" spans="1:74">
      <c r="A71" s="36" t="s">
        <v>635</v>
      </c>
      <c r="B71" s="65" t="s">
        <v>635</v>
      </c>
      <c r="C71" s="65" t="s">
        <v>636</v>
      </c>
      <c r="D71" s="65" t="s">
        <v>325</v>
      </c>
      <c r="E71" s="65" t="s">
        <v>10</v>
      </c>
      <c r="F71" s="94"/>
      <c r="G71" s="94"/>
      <c r="H71" s="65" t="s">
        <v>635</v>
      </c>
      <c r="I71" s="65"/>
      <c r="J71" s="65" t="s">
        <v>66</v>
      </c>
      <c r="K71" s="95"/>
      <c r="L71" s="65" t="s">
        <v>111</v>
      </c>
      <c r="M71" s="65"/>
      <c r="N71" s="199">
        <v>42516</v>
      </c>
      <c r="O71" s="65"/>
      <c r="P71" s="65"/>
      <c r="Q71" s="65" t="s">
        <v>37</v>
      </c>
      <c r="R71" s="65" t="s">
        <v>150</v>
      </c>
      <c r="S71" s="65" t="s">
        <v>132</v>
      </c>
      <c r="T71" s="65" t="s">
        <v>66</v>
      </c>
      <c r="U71" s="65" t="s">
        <v>48</v>
      </c>
      <c r="V71" s="65">
        <v>0.48</v>
      </c>
      <c r="W71" s="65" t="s">
        <v>219</v>
      </c>
      <c r="X71" s="65"/>
      <c r="Y71" s="65"/>
      <c r="Z71" s="65"/>
      <c r="AA71" s="65"/>
      <c r="AB71" s="65">
        <f>1.5-V71</f>
        <v>1.02</v>
      </c>
      <c r="AC71" s="97">
        <v>3528</v>
      </c>
      <c r="AD71" s="65"/>
      <c r="AE71" s="104">
        <f>IFERROR('BMP P Tracking Table'!$V71*VLOOKUP('BMP P Tracking Table'!$R71,'Loading Rates'!$B$1:$L$24,4,FALSE)+IF('BMP P Tracking Table'!$W71="By HSG",'BMP P Tracking Table'!$X71*VLOOKUP('BMP P Tracking Table'!$R71,'Loading Rates'!$B$1:$L$24,6,FALSE)+'BMP P Tracking Table'!$Y71*VLOOKUP('BMP P Tracking Table'!$R71,'Loading Rates'!$B$1:$L$24,7,FALSE)+'BMP P Tracking Table'!$Z71*VLOOKUP('BMP P Tracking Table'!$R71,'Loading Rates'!$B$1:$L$24,8,FALSE)+'BMP P Tracking Table'!$AA71*VLOOKUP('BMP P Tracking Table'!$R71,'Loading Rates'!$B$1:$L$24,9,FALSE),'BMP P Tracking Table'!$AB71*VLOOKUP('BMP P Tracking Table'!$R71,'Loading Rates'!$B$1:$L$24,10,FALSE)),"")</f>
        <v>0.40823999999999994</v>
      </c>
      <c r="AF71" s="104">
        <f>IFERROR(MIN(2,IF('BMP P Tracking Table'!$W71="Total Pervious",(-(3630*'BMP P Tracking Table'!$V71+20.691*'BMP P Tracking Table'!$AB71)+SQRT((3630*'BMP P Tracking Table'!$V71+20.691*'BMP P Tracking Table'!$AB71)^2-(4*(996.798*'BMP P Tracking Table'!$AB71)*-'BMP P Tracking Table'!$AC71)))/(2*(996.798*'BMP P Tracking Table'!$AB71)),IF(SUM('BMP P Tracking Table'!$X71:$AA71)=0,'BMP P Tracking Table'!$AC71/(-3630*'BMP P Tracking Table'!$V71),(-(3630*'BMP P Tracking Table'!$V71+20.691*'BMP P Tracking Table'!$AA71-216.711*'BMP P Tracking Table'!$Z71-83.853*'BMP P Tracking Table'!$Y71-42.834*'BMP P Tracking Table'!$X71)+SQRT((3630*'BMP P Tracking Table'!$V71+20.691*'BMP P Tracking Table'!$AA71-216.711*'BMP P Tracking Table'!$Z71-83.853*'BMP P Tracking Table'!$Y71-42.834*'BMP P Tracking Table'!$X71)^2-(4*(149.919*'BMP P Tracking Table'!$X71+236.676*'BMP P Tracking Table'!$Y71+726*'BMP P Tracking Table'!$Z71+996.798*'BMP P Tracking Table'!$AA71)*-'BMP P Tracking Table'!$AC71)))/(2*(149.919*'BMP P Tracking Table'!$X71+236.676*'BMP P Tracking Table'!$Y71+726*'BMP P Tracking Table'!$Z71+996.798*'BMP P Tracking Table'!$AA71))))),"")</f>
        <v>1.1875201705488985</v>
      </c>
      <c r="AG71" s="104">
        <f>IFERROR((VLOOKUP(CONCATENATE('BMP P Tracking Table'!$U71," ",'BMP P Tracking Table'!$AD71),'Performance Curves'!$C$1:$L$46,_xlfn.SINGLE(MATCH('BMP P Tracking Table'!$AF71,'Performance Curves'!$D$1:$L$1,1))+2,FALSE)-VLOOKUP(CONCATENATE('BMP P Tracking Table'!$U71," ",'BMP P Tracking Table'!$AD71),'Performance Curves'!$C$1:$L$46,_xlfn.SINGLE(MATCH('BMP P Tracking Table'!$AF71,'Performance Curves'!$D$1:$L$1,1))+1,FALSE)),"")</f>
        <v>4.9999999999999933E-2</v>
      </c>
      <c r="AH71" s="104">
        <f>IFERROR(('BMP P Tracking Table'!$AF71-INDEX('Performance Curves'!$D$1:$L$1,1,MATCH('BMP P Tracking Table'!$AF71,'Performance Curves'!$D$1:$L$1,1)))/(INDEX('Performance Curves'!$D$1:$L$1,1,MATCH('BMP P Tracking Table'!$AF71,'Performance Curves'!$D$1:$L$1,1)+1)-INDEX('Performance Curves'!$D$1:$L$1,1,MATCH('BMP P Tracking Table'!$AF71,'Performance Curves'!$D$1:$L$1,1))),"")</f>
        <v>0.37504034109779694</v>
      </c>
      <c r="AI71" s="103">
        <f>IFERROR(IF('BMP P Tracking Table'!$AF71=2,VLOOKUP(CONCATENATE('BMP P Tracking Table'!$U71," ",'BMP P Tracking Table'!$AD71),'Performance Curves'!$C$1:$L$46,_xlfn.SINGLE(MATCH('BMP P Tracking Table'!$AF71,'Performance Curves'!$D$1:$L$1,1))+1,FALSE),'BMP P Tracking Table'!$AG71*'BMP P Tracking Table'!$AH71+VLOOKUP(CONCATENATE('BMP P Tracking Table'!$U71," ",'BMP P Tracking Table'!$AD71),'Performance Curves'!$C$1:$L$46,_xlfn.SINGLE(MATCH('BMP P Tracking Table'!$AF71,'Performance Curves'!$D$1:$L$1,1))+1,FALSE)),"")</f>
        <v>0.54875201705488985</v>
      </c>
      <c r="AJ71" s="104">
        <f>IFERROR('BMP P Tracking Table'!$AI71*'BMP P Tracking Table'!$AE71,"")</f>
        <v>0.22402252344248819</v>
      </c>
      <c r="AK71" s="65"/>
      <c r="AL71" s="98" t="s">
        <v>62</v>
      </c>
      <c r="AM71" s="98"/>
      <c r="AN71" s="64">
        <v>1</v>
      </c>
      <c r="AO71" s="102">
        <f t="shared" si="5"/>
        <v>0.22402252344248819</v>
      </c>
      <c r="AP71" s="98"/>
      <c r="AQ71" s="98"/>
      <c r="AR71" s="98"/>
      <c r="AS71" s="98"/>
      <c r="AT71" s="98"/>
      <c r="AU71" s="98"/>
      <c r="AV71" s="98"/>
      <c r="AW71" s="65"/>
      <c r="AX71" s="99"/>
      <c r="AY71" s="99"/>
      <c r="AZ71" s="104" t="str">
        <f>IF('BMP P Tracking Table'!$AL71="Yes",IF('BMP P Tracking Table'!$AM71="No",'BMP P Tracking Table'!$V71*VLOOKUP('BMP P Tracking Table'!$R71,'Loading Rates'!$B$1:$L$24,4,FALSE)+IF('BMP P Tracking Table'!$W71="By HSG",'BMP P Tracking Table'!$X71*VLOOKUP('BMP P Tracking Table'!$R71,'Loading Rates'!$B$1:$L$24,6,FALSE)+'BMP P Tracking Table'!$Y71*VLOOKUP('BMP P Tracking Table'!$R71,'Loading Rates'!$B$1:$L$24,7,FALSE)+'BMP P Tracking Table'!$Z71*VLOOKUP('BMP P Tracking Table'!$R71,'Loading Rates'!$B$1:$L$24,8,FALSE)+'BMP P Tracking Table'!$AA71*VLOOKUP('BMP P Tracking Table'!$R71,'Loading Rates'!$B$1:$L$24,9,FALSE),'BMP P Tracking Table'!$AB71*VLOOKUP('BMP P Tracking Table'!$R71,'Loading Rates'!$B$1:$L$24,10,FALSE)),'BMP P Tracking Table'!$AP71*VLOOKUP('BMP P Tracking Table'!$R71,'Loading Rates'!$B$1:$L$24,4,FALSE)+IF('BMP P Tracking Table'!$AQ71="By HSG",'BMP P Tracking Table'!$AR71*VLOOKUP('BMP P Tracking Table'!$R71,'Loading Rates'!$B$1:$L$24,6,FALSE)+'BMP P Tracking Table'!$AS71*VLOOKUP('BMP P Tracking Table'!$R71,'Loading Rates'!$B$1:$L$24,7,FALSE)+'BMP P Tracking Table'!$AT71*VLOOKUP('BMP P Tracking Table'!$R71,'Loading Rates'!$B$1:$L$24,8,FALSE)+'BMP P Tracking Table'!$AU71*VLOOKUP('BMP P Tracking Table'!$R71,'Loading Rates'!$B$1:$L$24,9,FALSE),'BMP P Tracking Table'!$AV71*VLOOKUP('BMP P Tracking Table'!$R71,'Loading Rates'!$B$1:$L$24,10,FALSE))),"")</f>
        <v/>
      </c>
      <c r="BA71" s="104">
        <f>IFERROR(IF('BMP P Tracking Table'!$AM71="Yes",MIN(2,IF('BMP P Tracking Table'!$AQ71="Total Pervious",(-(3630*'BMP P Tracking Table'!$AP71+20.691*'BMP P Tracking Table'!$AV71)+SQRT((3630*'BMP P Tracking Table'!$AP71+20.691*'BMP P Tracking Table'!$AV71)^2-(4*(996.798*'BMP P Tracking Table'!$AV71)*-'BMP P Tracking Table'!$AX71)))/(2*(996.798*'BMP P Tracking Table'!$AV71)),IF(SUM('BMP P Tracking Table'!$AR71:$AU71)=0,'BMP P Tracking Table'!$AV71/(-3630*'BMP P Tracking Table'!$AP71),(-(3630*'BMP P Tracking Table'!$AP71+20.691*'BMP P Tracking Table'!$AU71-216.711*'BMP P Tracking Table'!$AT71-83.853*'BMP P Tracking Table'!$AS71-42.834*'BMP P Tracking Table'!$AR71)+SQRT((3630*'BMP P Tracking Table'!$AP71+20.691*'BMP P Tracking Table'!$AU71-216.711*'BMP P Tracking Table'!$AT71-83.853*'BMP P Tracking Table'!$AS71-42.834*'BMP P Tracking Table'!$AR71)^2-(4*(149.919*'BMP P Tracking Table'!$AR71+236.676*'BMP P Tracking Table'!$AS71+726*'BMP P Tracking Table'!$AT71+996.798*'BMP P Tracking Table'!$AU71)*-'BMP P Tracking Table'!$AX71)))/(2*(149.919*'BMP P Tracking Table'!$AR71+236.676*'BMP P Tracking Table'!$AS71+726*'BMP P Tracking Table'!$AT71+996.798*'BMP P Tracking Table'!$AU71))))),MIN(2,IF('BMP P Tracking Table'!$AQ71="Total Pervious",(-(3630*'BMP P Tracking Table'!$V71+20.691*'BMP P Tracking Table'!$AB71)+SQRT((3630*'BMP P Tracking Table'!$V71+20.691*'BMP P Tracking Table'!$AB71)^2-(4*(996.798*'BMP P Tracking Table'!$AB71)*-'BMP P Tracking Table'!$AX71)))/(2*(996.798*'BMP P Tracking Table'!$AB71)),IF(SUM('BMP P Tracking Table'!$X71:$AA71)=0,'BMP P Tracking Table'!$AX71/(-3630*'BMP P Tracking Table'!$V71),(-(3630*'BMP P Tracking Table'!$V71+20.691*'BMP P Tracking Table'!$AA71-216.711*'BMP P Tracking Table'!$Z71-83.853*'BMP P Tracking Table'!$Y71-42.834*'BMP P Tracking Table'!$X71)+SQRT((3630*'BMP P Tracking Table'!$V71+20.691*'BMP P Tracking Table'!$AA71-216.711*'BMP P Tracking Table'!$Z71-83.853*'BMP P Tracking Table'!$Y71-42.834*'BMP P Tracking Table'!$X71)^2-(4*(149.919*'BMP P Tracking Table'!$X71+236.676*'BMP P Tracking Table'!$Y71+726*'BMP P Tracking Table'!$Z71+996.798*'BMP P Tracking Table'!$AA71)*-'BMP P Tracking Table'!$AX71)))/(2*(149.919*'BMP P Tracking Table'!$X71+236.676*'BMP P Tracking Table'!$Y71+726*'BMP P Tracking Table'!$Z71+996.798*'BMP P Tracking Table'!$AA71)))))),"")</f>
        <v>0</v>
      </c>
      <c r="BB71" s="102" t="str">
        <f>IFERROR((VLOOKUP(CONCATENATE('BMP P Tracking Table'!$AW71," ",'BMP P Tracking Table'!$AY71),'Performance Curves'!$C$1:$L$46,_xlfn.SINGLE(MATCH('BMP P Tracking Table'!$BA71,'Performance Curves'!$D$1:$L$1,1))+2,FALSE)-VLOOKUP(CONCATENATE('BMP P Tracking Table'!$AW71," ",'BMP P Tracking Table'!$AY71),'Performance Curves'!$C$1:$L$46,_xlfn.SINGLE(MATCH('BMP P Tracking Table'!$BA71,'Performance Curves'!$D$1:$L$1,1))+1,FALSE)),"")</f>
        <v/>
      </c>
      <c r="BC71" s="102">
        <f>IFERROR(('BMP P Tracking Table'!$BA71-INDEX('Performance Curves'!$D$1:$L$1,1,MATCH('BMP P Tracking Table'!$BA71,'Performance Curves'!$D$1:$L$1,1)))/(INDEX('Performance Curves'!$D$1:$L$1,1,MATCH('BMP P Tracking Table'!$BA71,'Performance Curves'!$D$1:$L$1,1)+1)-INDEX('Performance Curves'!$D$1:$L$1,1,MATCH('BMP P Tracking Table'!$BA71,'Performance Curves'!$D$1:$L$1,1))),"")</f>
        <v>0</v>
      </c>
      <c r="BD71" s="103" t="str" cm="1">
        <f t="array" ref="BD71">IFERROR(IF('BMP P Tracking Table'!$BA71=2,VLOOKUP(CONCATENATE('BMP P Tracking Table'!$AW71," ",'BMP P Tracking Table'!$AY71),'Performance Curves'!$C$1:$L$44,_xlfn.SINGLE(MATCH('BMP P Tracking Table'!$BA71,'Performance Curves'!$D$1:$L$1,1))+1,FALSE),'BMP P Tracking Table'!$BB71*'BMP P Tracking Table'!$BC71+VLOOKUP(CONCATENATE('BMP P Tracking Table'!$AW71," ",'BMP P Tracking Table'!$AY71),'Performance Curves'!$C$1:$L$44,_xlfn.SINGLE(MATCH('BMP P Tracking Table'!$BA71,'Performance Curves'!$D$1:$L$1,1))+1,FALSE)),"")</f>
        <v/>
      </c>
      <c r="BE71" s="104" t="str">
        <f>IFERROR('BMP P Tracking Table'!$BD71*'BMP P Tracking Table'!$AZ71,"")</f>
        <v/>
      </c>
      <c r="BF71" s="98"/>
      <c r="BG71" s="37">
        <f t="shared" si="6"/>
        <v>0</v>
      </c>
      <c r="BI71" s="36" t="str">
        <f t="shared" si="7"/>
        <v>6006-9020.1</v>
      </c>
      <c r="BJ71" s="36" t="str">
        <f t="shared" si="8"/>
        <v>Taft Street S/N 001</v>
      </c>
      <c r="BS71" s="36"/>
    </row>
    <row r="72" spans="1:74">
      <c r="A72" s="36" t="s">
        <v>635</v>
      </c>
      <c r="B72" s="65" t="s">
        <v>635</v>
      </c>
      <c r="C72" s="65" t="s">
        <v>637</v>
      </c>
      <c r="D72" s="65" t="s">
        <v>325</v>
      </c>
      <c r="E72" s="65" t="s">
        <v>10</v>
      </c>
      <c r="F72" s="94"/>
      <c r="G72" s="94"/>
      <c r="H72" s="65" t="s">
        <v>635</v>
      </c>
      <c r="I72" s="65"/>
      <c r="J72" s="65" t="s">
        <v>66</v>
      </c>
      <c r="K72" s="95"/>
      <c r="L72" s="65" t="s">
        <v>111</v>
      </c>
      <c r="M72" s="65"/>
      <c r="N72" s="199">
        <v>42516</v>
      </c>
      <c r="O72" s="65"/>
      <c r="P72" s="65"/>
      <c r="Q72" s="65" t="s">
        <v>37</v>
      </c>
      <c r="R72" s="65" t="s">
        <v>150</v>
      </c>
      <c r="S72" s="65" t="s">
        <v>132</v>
      </c>
      <c r="T72" s="65" t="s">
        <v>66</v>
      </c>
      <c r="U72" s="65" t="s">
        <v>48</v>
      </c>
      <c r="V72" s="65">
        <v>0.54</v>
      </c>
      <c r="W72" s="65" t="s">
        <v>219</v>
      </c>
      <c r="X72" s="65"/>
      <c r="Y72" s="65"/>
      <c r="Z72" s="65"/>
      <c r="AA72" s="65"/>
      <c r="AB72" s="65">
        <f>1.5-V72</f>
        <v>0.96</v>
      </c>
      <c r="AC72" s="97">
        <v>2090</v>
      </c>
      <c r="AD72" s="65"/>
      <c r="AE72" s="104">
        <f>IFERROR('BMP P Tracking Table'!$V72*VLOOKUP('BMP P Tracking Table'!$R72,'Loading Rates'!$B$1:$L$24,4,FALSE)+IF('BMP P Tracking Table'!$W72="By HSG",'BMP P Tracking Table'!$X72*VLOOKUP('BMP P Tracking Table'!$R72,'Loading Rates'!$B$1:$L$24,6,FALSE)+'BMP P Tracking Table'!$Y72*VLOOKUP('BMP P Tracking Table'!$R72,'Loading Rates'!$B$1:$L$24,7,FALSE)+'BMP P Tracking Table'!$Z72*VLOOKUP('BMP P Tracking Table'!$R72,'Loading Rates'!$B$1:$L$24,8,FALSE)+'BMP P Tracking Table'!$AA72*VLOOKUP('BMP P Tracking Table'!$R72,'Loading Rates'!$B$1:$L$24,9,FALSE),'BMP P Tracking Table'!$AB72*VLOOKUP('BMP P Tracking Table'!$R72,'Loading Rates'!$B$1:$L$24,10,FALSE)),"")</f>
        <v>0.45701999999999998</v>
      </c>
      <c r="AF72" s="104">
        <f>IFERROR(MIN(2,IF('BMP P Tracking Table'!$W72="Total Pervious",(-(3630*'BMP P Tracking Table'!$V72+20.691*'BMP P Tracking Table'!$AB72)+SQRT((3630*'BMP P Tracking Table'!$V72+20.691*'BMP P Tracking Table'!$AB72)^2-(4*(996.798*'BMP P Tracking Table'!$AB72)*-'BMP P Tracking Table'!$AC72)))/(2*(996.798*'BMP P Tracking Table'!$AB72)),IF(SUM('BMP P Tracking Table'!$X72:$AA72)=0,'BMP P Tracking Table'!$AC72/(-3630*'BMP P Tracking Table'!$V72),(-(3630*'BMP P Tracking Table'!$V72+20.691*'BMP P Tracking Table'!$AA72-216.711*'BMP P Tracking Table'!$Z72-83.853*'BMP P Tracking Table'!$Y72-42.834*'BMP P Tracking Table'!$X72)+SQRT((3630*'BMP P Tracking Table'!$V72+20.691*'BMP P Tracking Table'!$AA72-216.711*'BMP P Tracking Table'!$Z72-83.853*'BMP P Tracking Table'!$Y72-42.834*'BMP P Tracking Table'!$X72)^2-(4*(149.919*'BMP P Tracking Table'!$X72+236.676*'BMP P Tracking Table'!$Y72+726*'BMP P Tracking Table'!$Z72+996.798*'BMP P Tracking Table'!$AA72)*-'BMP P Tracking Table'!$AC72)))/(2*(149.919*'BMP P Tracking Table'!$X72+236.676*'BMP P Tracking Table'!$Y72+726*'BMP P Tracking Table'!$Z72+996.798*'BMP P Tracking Table'!$AA72))))),"")</f>
        <v>0.76941785124803952</v>
      </c>
      <c r="AG72" s="104">
        <f>IFERROR((VLOOKUP(CONCATENATE('BMP P Tracking Table'!$U72," ",'BMP P Tracking Table'!$AD72),'Performance Curves'!$C$1:$L$46,_xlfn.SINGLE(MATCH('BMP P Tracking Table'!$AF72,'Performance Curves'!$D$1:$L$1,1))+2,FALSE)-VLOOKUP(CONCATENATE('BMP P Tracking Table'!$U72," ",'BMP P Tracking Table'!$AD72),'Performance Curves'!$C$1:$L$46,_xlfn.SINGLE(MATCH('BMP P Tracking Table'!$AF72,'Performance Curves'!$D$1:$L$1,1))+1,FALSE)),"")</f>
        <v>3.999999999999998E-2</v>
      </c>
      <c r="AH72" s="104">
        <f>IFERROR(('BMP P Tracking Table'!$AF72-INDEX('Performance Curves'!$D$1:$L$1,1,MATCH('BMP P Tracking Table'!$AF72,'Performance Curves'!$D$1:$L$1,1)))/(INDEX('Performance Curves'!$D$1:$L$1,1,MATCH('BMP P Tracking Table'!$AF72,'Performance Curves'!$D$1:$L$1,1)+1)-INDEX('Performance Curves'!$D$1:$L$1,1,MATCH('BMP P Tracking Table'!$AF72,'Performance Curves'!$D$1:$L$1,1))),"")</f>
        <v>0.84708925624019737</v>
      </c>
      <c r="AI72" s="103">
        <f>IFERROR(IF('BMP P Tracking Table'!$AF72=2,VLOOKUP(CONCATENATE('BMP P Tracking Table'!$U72," ",'BMP P Tracking Table'!$AD72),'Performance Curves'!$C$1:$L$46,_xlfn.SINGLE(MATCH('BMP P Tracking Table'!$AF72,'Performance Curves'!$D$1:$L$1,1))+1,FALSE),'BMP P Tracking Table'!$AG72*'BMP P Tracking Table'!$AH72+VLOOKUP(CONCATENATE('BMP P Tracking Table'!$U72," ",'BMP P Tracking Table'!$AD72),'Performance Curves'!$C$1:$L$46,_xlfn.SINGLE(MATCH('BMP P Tracking Table'!$AF72,'Performance Curves'!$D$1:$L$1,1))+1,FALSE)),"")</f>
        <v>0.47388357024960787</v>
      </c>
      <c r="AJ72" s="104">
        <f>IFERROR('BMP P Tracking Table'!$AI72*'BMP P Tracking Table'!$AE72,"")</f>
        <v>0.21657426927547577</v>
      </c>
      <c r="AK72" s="65"/>
      <c r="AL72" s="98" t="s">
        <v>62</v>
      </c>
      <c r="AM72" s="98"/>
      <c r="AN72" s="64">
        <v>1</v>
      </c>
      <c r="AO72" s="102">
        <f t="shared" si="5"/>
        <v>0.21657426927547577</v>
      </c>
      <c r="AP72" s="98"/>
      <c r="AQ72" s="98"/>
      <c r="AR72" s="98"/>
      <c r="AS72" s="98"/>
      <c r="AT72" s="98"/>
      <c r="AU72" s="98"/>
      <c r="AV72" s="98"/>
      <c r="AW72" s="65"/>
      <c r="AX72" s="99"/>
      <c r="AY72" s="99"/>
      <c r="AZ72" s="104" t="str">
        <f>IF('BMP P Tracking Table'!$AL72="Yes",IF('BMP P Tracking Table'!$AM72="No",'BMP P Tracking Table'!$V72*VLOOKUP('BMP P Tracking Table'!$R72,'Loading Rates'!$B$1:$L$24,4,FALSE)+IF('BMP P Tracking Table'!$W72="By HSG",'BMP P Tracking Table'!$X72*VLOOKUP('BMP P Tracking Table'!$R72,'Loading Rates'!$B$1:$L$24,6,FALSE)+'BMP P Tracking Table'!$Y72*VLOOKUP('BMP P Tracking Table'!$R72,'Loading Rates'!$B$1:$L$24,7,FALSE)+'BMP P Tracking Table'!$Z72*VLOOKUP('BMP P Tracking Table'!$R72,'Loading Rates'!$B$1:$L$24,8,FALSE)+'BMP P Tracking Table'!$AA72*VLOOKUP('BMP P Tracking Table'!$R72,'Loading Rates'!$B$1:$L$24,9,FALSE),'BMP P Tracking Table'!$AB72*VLOOKUP('BMP P Tracking Table'!$R72,'Loading Rates'!$B$1:$L$24,10,FALSE)),'BMP P Tracking Table'!$AP72*VLOOKUP('BMP P Tracking Table'!$R72,'Loading Rates'!$B$1:$L$24,4,FALSE)+IF('BMP P Tracking Table'!$AQ72="By HSG",'BMP P Tracking Table'!$AR72*VLOOKUP('BMP P Tracking Table'!$R72,'Loading Rates'!$B$1:$L$24,6,FALSE)+'BMP P Tracking Table'!$AS72*VLOOKUP('BMP P Tracking Table'!$R72,'Loading Rates'!$B$1:$L$24,7,FALSE)+'BMP P Tracking Table'!$AT72*VLOOKUP('BMP P Tracking Table'!$R72,'Loading Rates'!$B$1:$L$24,8,FALSE)+'BMP P Tracking Table'!$AU72*VLOOKUP('BMP P Tracking Table'!$R72,'Loading Rates'!$B$1:$L$24,9,FALSE),'BMP P Tracking Table'!$AV72*VLOOKUP('BMP P Tracking Table'!$R72,'Loading Rates'!$B$1:$L$24,10,FALSE))),"")</f>
        <v/>
      </c>
      <c r="BA72" s="104">
        <f>IFERROR(IF('BMP P Tracking Table'!$AM72="Yes",MIN(2,IF('BMP P Tracking Table'!$AQ72="Total Pervious",(-(3630*'BMP P Tracking Table'!$AP72+20.691*'BMP P Tracking Table'!$AV72)+SQRT((3630*'BMP P Tracking Table'!$AP72+20.691*'BMP P Tracking Table'!$AV72)^2-(4*(996.798*'BMP P Tracking Table'!$AV72)*-'BMP P Tracking Table'!$AX72)))/(2*(996.798*'BMP P Tracking Table'!$AV72)),IF(SUM('BMP P Tracking Table'!$AR72:$AU72)=0,'BMP P Tracking Table'!$AV72/(-3630*'BMP P Tracking Table'!$AP72),(-(3630*'BMP P Tracking Table'!$AP72+20.691*'BMP P Tracking Table'!$AU72-216.711*'BMP P Tracking Table'!$AT72-83.853*'BMP P Tracking Table'!$AS72-42.834*'BMP P Tracking Table'!$AR72)+SQRT((3630*'BMP P Tracking Table'!$AP72+20.691*'BMP P Tracking Table'!$AU72-216.711*'BMP P Tracking Table'!$AT72-83.853*'BMP P Tracking Table'!$AS72-42.834*'BMP P Tracking Table'!$AR72)^2-(4*(149.919*'BMP P Tracking Table'!$AR72+236.676*'BMP P Tracking Table'!$AS72+726*'BMP P Tracking Table'!$AT72+996.798*'BMP P Tracking Table'!$AU72)*-'BMP P Tracking Table'!$AX72)))/(2*(149.919*'BMP P Tracking Table'!$AR72+236.676*'BMP P Tracking Table'!$AS72+726*'BMP P Tracking Table'!$AT72+996.798*'BMP P Tracking Table'!$AU72))))),MIN(2,IF('BMP P Tracking Table'!$AQ72="Total Pervious",(-(3630*'BMP P Tracking Table'!$V72+20.691*'BMP P Tracking Table'!$AB72)+SQRT((3630*'BMP P Tracking Table'!$V72+20.691*'BMP P Tracking Table'!$AB72)^2-(4*(996.798*'BMP P Tracking Table'!$AB72)*-'BMP P Tracking Table'!$AX72)))/(2*(996.798*'BMP P Tracking Table'!$AB72)),IF(SUM('BMP P Tracking Table'!$X72:$AA72)=0,'BMP P Tracking Table'!$AX72/(-3630*'BMP P Tracking Table'!$V72),(-(3630*'BMP P Tracking Table'!$V72+20.691*'BMP P Tracking Table'!$AA72-216.711*'BMP P Tracking Table'!$Z72-83.853*'BMP P Tracking Table'!$Y72-42.834*'BMP P Tracking Table'!$X72)+SQRT((3630*'BMP P Tracking Table'!$V72+20.691*'BMP P Tracking Table'!$AA72-216.711*'BMP P Tracking Table'!$Z72-83.853*'BMP P Tracking Table'!$Y72-42.834*'BMP P Tracking Table'!$X72)^2-(4*(149.919*'BMP P Tracking Table'!$X72+236.676*'BMP P Tracking Table'!$Y72+726*'BMP P Tracking Table'!$Z72+996.798*'BMP P Tracking Table'!$AA72)*-'BMP P Tracking Table'!$AX72)))/(2*(149.919*'BMP P Tracking Table'!$X72+236.676*'BMP P Tracking Table'!$Y72+726*'BMP P Tracking Table'!$Z72+996.798*'BMP P Tracking Table'!$AA72)))))),"")</f>
        <v>0</v>
      </c>
      <c r="BB72" s="102" t="str">
        <f>IFERROR((VLOOKUP(CONCATENATE('BMP P Tracking Table'!$AW72," ",'BMP P Tracking Table'!$AY72),'Performance Curves'!$C$1:$L$46,_xlfn.SINGLE(MATCH('BMP P Tracking Table'!$BA72,'Performance Curves'!$D$1:$L$1,1))+2,FALSE)-VLOOKUP(CONCATENATE('BMP P Tracking Table'!$AW72," ",'BMP P Tracking Table'!$AY72),'Performance Curves'!$C$1:$L$46,_xlfn.SINGLE(MATCH('BMP P Tracking Table'!$BA72,'Performance Curves'!$D$1:$L$1,1))+1,FALSE)),"")</f>
        <v/>
      </c>
      <c r="BC72" s="102">
        <f>IFERROR(('BMP P Tracking Table'!$BA72-INDEX('Performance Curves'!$D$1:$L$1,1,MATCH('BMP P Tracking Table'!$BA72,'Performance Curves'!$D$1:$L$1,1)))/(INDEX('Performance Curves'!$D$1:$L$1,1,MATCH('BMP P Tracking Table'!$BA72,'Performance Curves'!$D$1:$L$1,1)+1)-INDEX('Performance Curves'!$D$1:$L$1,1,MATCH('BMP P Tracking Table'!$BA72,'Performance Curves'!$D$1:$L$1,1))),"")</f>
        <v>0</v>
      </c>
      <c r="BD72" s="103" t="str" cm="1">
        <f t="array" ref="BD72">IFERROR(IF('BMP P Tracking Table'!$BA72=2,VLOOKUP(CONCATENATE('BMP P Tracking Table'!$AW72," ",'BMP P Tracking Table'!$AY72),'Performance Curves'!$C$1:$L$44,_xlfn.SINGLE(MATCH('BMP P Tracking Table'!$BA72,'Performance Curves'!$D$1:$L$1,1))+1,FALSE),'BMP P Tracking Table'!$BB72*'BMP P Tracking Table'!$BC72+VLOOKUP(CONCATENATE('BMP P Tracking Table'!$AW72," ",'BMP P Tracking Table'!$AY72),'Performance Curves'!$C$1:$L$44,_xlfn.SINGLE(MATCH('BMP P Tracking Table'!$BA72,'Performance Curves'!$D$1:$L$1,1))+1,FALSE)),"")</f>
        <v/>
      </c>
      <c r="BE72" s="104" t="str">
        <f>IFERROR('BMP P Tracking Table'!$BD72*'BMP P Tracking Table'!$AZ72,"")</f>
        <v/>
      </c>
      <c r="BF72" s="98"/>
      <c r="BG72" s="37">
        <f t="shared" si="6"/>
        <v>0</v>
      </c>
      <c r="BI72" s="36" t="str">
        <f t="shared" si="7"/>
        <v>6006-9020.1</v>
      </c>
      <c r="BJ72" s="36" t="str">
        <f t="shared" si="8"/>
        <v>Taft Street S/N 002</v>
      </c>
      <c r="BS72" s="36"/>
    </row>
    <row r="73" spans="1:74">
      <c r="A73" s="36" t="s">
        <v>638</v>
      </c>
      <c r="B73" s="65" t="s">
        <v>638</v>
      </c>
      <c r="C73" s="65" t="s">
        <v>639</v>
      </c>
      <c r="D73" s="65" t="s">
        <v>325</v>
      </c>
      <c r="E73" s="65" t="s">
        <v>10</v>
      </c>
      <c r="F73" s="94"/>
      <c r="G73" s="94"/>
      <c r="H73" s="65" t="s">
        <v>638</v>
      </c>
      <c r="I73" s="65"/>
      <c r="J73" s="65" t="s">
        <v>66</v>
      </c>
      <c r="K73" s="95"/>
      <c r="L73" s="65" t="s">
        <v>111</v>
      </c>
      <c r="M73" s="65"/>
      <c r="N73" s="199">
        <v>42146</v>
      </c>
      <c r="O73" s="65"/>
      <c r="P73" s="65"/>
      <c r="Q73" s="65" t="s">
        <v>119</v>
      </c>
      <c r="R73" s="65" t="s">
        <v>146</v>
      </c>
      <c r="S73" s="65" t="s">
        <v>129</v>
      </c>
      <c r="T73" s="65" t="s">
        <v>66</v>
      </c>
      <c r="U73" s="65" t="s">
        <v>212</v>
      </c>
      <c r="V73" s="65">
        <v>3.32</v>
      </c>
      <c r="W73" s="65" t="s">
        <v>219</v>
      </c>
      <c r="X73" s="65"/>
      <c r="Y73" s="65"/>
      <c r="Z73" s="65"/>
      <c r="AA73" s="65"/>
      <c r="AB73" s="65">
        <f>9.54-V73</f>
        <v>6.2199999999999989</v>
      </c>
      <c r="AC73" s="97">
        <v>26586</v>
      </c>
      <c r="AD73" s="65" t="s">
        <v>206</v>
      </c>
      <c r="AE73" s="104">
        <f>IFERROR('BMP P Tracking Table'!$V73*VLOOKUP('BMP P Tracking Table'!$R73,'Loading Rates'!$B$1:$L$24,4,FALSE)+IF('BMP P Tracking Table'!$W73="By HSG",'BMP P Tracking Table'!$X73*VLOOKUP('BMP P Tracking Table'!$R73,'Loading Rates'!$B$1:$L$24,6,FALSE)+'BMP P Tracking Table'!$Y73*VLOOKUP('BMP P Tracking Table'!$R73,'Loading Rates'!$B$1:$L$24,7,FALSE)+'BMP P Tracking Table'!$Z73*VLOOKUP('BMP P Tracking Table'!$R73,'Loading Rates'!$B$1:$L$24,8,FALSE)+'BMP P Tracking Table'!$AA73*VLOOKUP('BMP P Tracking Table'!$R73,'Loading Rates'!$B$1:$L$24,9,FALSE),'BMP P Tracking Table'!$AB73*VLOOKUP('BMP P Tracking Table'!$R73,'Loading Rates'!$B$1:$L$24,10,FALSE)),"")</f>
        <v>5.1452599999999995</v>
      </c>
      <c r="AF73" s="104">
        <f>IFERROR(MIN(2,IF('BMP P Tracking Table'!$W73="Total Pervious",(-(3630*'BMP P Tracking Table'!$V73+20.691*'BMP P Tracking Table'!$AB73)+SQRT((3630*'BMP P Tracking Table'!$V73+20.691*'BMP P Tracking Table'!$AB73)^2-(4*(996.798*'BMP P Tracking Table'!$AB73)*-'BMP P Tracking Table'!$AC73)))/(2*(996.798*'BMP P Tracking Table'!$AB73)),IF(SUM('BMP P Tracking Table'!$X73:$AA73)=0,'BMP P Tracking Table'!$AC73/(-3630*'BMP P Tracking Table'!$V73),(-(3630*'BMP P Tracking Table'!$V73+20.691*'BMP P Tracking Table'!$AA73-216.711*'BMP P Tracking Table'!$Z73-83.853*'BMP P Tracking Table'!$Y73-42.834*'BMP P Tracking Table'!$X73)+SQRT((3630*'BMP P Tracking Table'!$V73+20.691*'BMP P Tracking Table'!$AA73-216.711*'BMP P Tracking Table'!$Z73-83.853*'BMP P Tracking Table'!$Y73-42.834*'BMP P Tracking Table'!$X73)^2-(4*(149.919*'BMP P Tracking Table'!$X73+236.676*'BMP P Tracking Table'!$Y73+726*'BMP P Tracking Table'!$Z73+996.798*'BMP P Tracking Table'!$AA73)*-'BMP P Tracking Table'!$AC73)))/(2*(149.919*'BMP P Tracking Table'!$X73+236.676*'BMP P Tracking Table'!$Y73+726*'BMP P Tracking Table'!$Z73+996.798*'BMP P Tracking Table'!$AA73))))),"")</f>
        <v>1.3096427522470671</v>
      </c>
      <c r="AG73" s="104">
        <f>IFERROR((VLOOKUP(CONCATENATE('BMP P Tracking Table'!$U73," ",'BMP P Tracking Table'!$AD73),'Performance Curves'!$C$1:$L$46,_xlfn.SINGLE(MATCH('BMP P Tracking Table'!$AF73,'Performance Curves'!$D$1:$L$1,1))+2,FALSE)-VLOOKUP(CONCATENATE('BMP P Tracking Table'!$U73," ",'BMP P Tracking Table'!$AD73),'Performance Curves'!$C$1:$L$46,_xlfn.SINGLE(MATCH('BMP P Tracking Table'!$AF73,'Performance Curves'!$D$1:$L$1,1))+1,FALSE)),"")</f>
        <v>2.0000000000000018E-2</v>
      </c>
      <c r="AH73" s="104">
        <f>IFERROR(('BMP P Tracking Table'!$AF73-INDEX('Performance Curves'!$D$1:$L$1,1,MATCH('BMP P Tracking Table'!$AF73,'Performance Curves'!$D$1:$L$1,1)))/(INDEX('Performance Curves'!$D$1:$L$1,1,MATCH('BMP P Tracking Table'!$AF73,'Performance Curves'!$D$1:$L$1,1)+1)-INDEX('Performance Curves'!$D$1:$L$1,1,MATCH('BMP P Tracking Table'!$AF73,'Performance Curves'!$D$1:$L$1,1))),"")</f>
        <v>0.61928550449413411</v>
      </c>
      <c r="AI73" s="103">
        <f>IFERROR(IF('BMP P Tracking Table'!$AF73=2,VLOOKUP(CONCATENATE('BMP P Tracking Table'!$U73," ",'BMP P Tracking Table'!$AD73),'Performance Curves'!$C$1:$L$46,_xlfn.SINGLE(MATCH('BMP P Tracking Table'!$AF73,'Performance Curves'!$D$1:$L$1,1))+1,FALSE),'BMP P Tracking Table'!$AG73*'BMP P Tracking Table'!$AH73+VLOOKUP(CONCATENATE('BMP P Tracking Table'!$U73," ",'BMP P Tracking Table'!$AD73),'Performance Curves'!$C$1:$L$46,_xlfn.SINGLE(MATCH('BMP P Tracking Table'!$AF73,'Performance Curves'!$D$1:$L$1,1))+1,FALSE)),"")</f>
        <v>0.99238571008988263</v>
      </c>
      <c r="AJ73" s="104">
        <f>IFERROR('BMP P Tracking Table'!$AI73*'BMP P Tracking Table'!$AE73,"")</f>
        <v>5.1060824986970692</v>
      </c>
      <c r="AK73" s="65"/>
      <c r="AL73" s="98" t="s">
        <v>62</v>
      </c>
      <c r="AM73" s="98"/>
      <c r="AN73" s="64">
        <v>1</v>
      </c>
      <c r="AO73" s="102">
        <f t="shared" si="5"/>
        <v>5.1060824986970692</v>
      </c>
      <c r="AP73" s="98"/>
      <c r="AQ73" s="98"/>
      <c r="AR73" s="98"/>
      <c r="AS73" s="98"/>
      <c r="AT73" s="98"/>
      <c r="AU73" s="98"/>
      <c r="AV73" s="98"/>
      <c r="AW73" s="65"/>
      <c r="AX73" s="99"/>
      <c r="AY73" s="99"/>
      <c r="AZ73" s="104" t="str">
        <f>IF('BMP P Tracking Table'!$AL73="Yes",IF('BMP P Tracking Table'!$AM73="No",'BMP P Tracking Table'!$V73*VLOOKUP('BMP P Tracking Table'!$R73,'Loading Rates'!$B$1:$L$24,4,FALSE)+IF('BMP P Tracking Table'!$W73="By HSG",'BMP P Tracking Table'!$X73*VLOOKUP('BMP P Tracking Table'!$R73,'Loading Rates'!$B$1:$L$24,6,FALSE)+'BMP P Tracking Table'!$Y73*VLOOKUP('BMP P Tracking Table'!$R73,'Loading Rates'!$B$1:$L$24,7,FALSE)+'BMP P Tracking Table'!$Z73*VLOOKUP('BMP P Tracking Table'!$R73,'Loading Rates'!$B$1:$L$24,8,FALSE)+'BMP P Tracking Table'!$AA73*VLOOKUP('BMP P Tracking Table'!$R73,'Loading Rates'!$B$1:$L$24,9,FALSE),'BMP P Tracking Table'!$AB73*VLOOKUP('BMP P Tracking Table'!$R73,'Loading Rates'!$B$1:$L$24,10,FALSE)),'BMP P Tracking Table'!$AP73*VLOOKUP('BMP P Tracking Table'!$R73,'Loading Rates'!$B$1:$L$24,4,FALSE)+IF('BMP P Tracking Table'!$AQ73="By HSG",'BMP P Tracking Table'!$AR73*VLOOKUP('BMP P Tracking Table'!$R73,'Loading Rates'!$B$1:$L$24,6,FALSE)+'BMP P Tracking Table'!$AS73*VLOOKUP('BMP P Tracking Table'!$R73,'Loading Rates'!$B$1:$L$24,7,FALSE)+'BMP P Tracking Table'!$AT73*VLOOKUP('BMP P Tracking Table'!$R73,'Loading Rates'!$B$1:$L$24,8,FALSE)+'BMP P Tracking Table'!$AU73*VLOOKUP('BMP P Tracking Table'!$R73,'Loading Rates'!$B$1:$L$24,9,FALSE),'BMP P Tracking Table'!$AV73*VLOOKUP('BMP P Tracking Table'!$R73,'Loading Rates'!$B$1:$L$24,10,FALSE))),"")</f>
        <v/>
      </c>
      <c r="BA73" s="104">
        <f>IFERROR(IF('BMP P Tracking Table'!$AM73="Yes",MIN(2,IF('BMP P Tracking Table'!$AQ73="Total Pervious",(-(3630*'BMP P Tracking Table'!$AP73+20.691*'BMP P Tracking Table'!$AV73)+SQRT((3630*'BMP P Tracking Table'!$AP73+20.691*'BMP P Tracking Table'!$AV73)^2-(4*(996.798*'BMP P Tracking Table'!$AV73)*-'BMP P Tracking Table'!$AX73)))/(2*(996.798*'BMP P Tracking Table'!$AV73)),IF(SUM('BMP P Tracking Table'!$AR73:$AU73)=0,'BMP P Tracking Table'!$AV73/(-3630*'BMP P Tracking Table'!$AP73),(-(3630*'BMP P Tracking Table'!$AP73+20.691*'BMP P Tracking Table'!$AU73-216.711*'BMP P Tracking Table'!$AT73-83.853*'BMP P Tracking Table'!$AS73-42.834*'BMP P Tracking Table'!$AR73)+SQRT((3630*'BMP P Tracking Table'!$AP73+20.691*'BMP P Tracking Table'!$AU73-216.711*'BMP P Tracking Table'!$AT73-83.853*'BMP P Tracking Table'!$AS73-42.834*'BMP P Tracking Table'!$AR73)^2-(4*(149.919*'BMP P Tracking Table'!$AR73+236.676*'BMP P Tracking Table'!$AS73+726*'BMP P Tracking Table'!$AT73+996.798*'BMP P Tracking Table'!$AU73)*-'BMP P Tracking Table'!$AX73)))/(2*(149.919*'BMP P Tracking Table'!$AR73+236.676*'BMP P Tracking Table'!$AS73+726*'BMP P Tracking Table'!$AT73+996.798*'BMP P Tracking Table'!$AU73))))),MIN(2,IF('BMP P Tracking Table'!$AQ73="Total Pervious",(-(3630*'BMP P Tracking Table'!$V73+20.691*'BMP P Tracking Table'!$AB73)+SQRT((3630*'BMP P Tracking Table'!$V73+20.691*'BMP P Tracking Table'!$AB73)^2-(4*(996.798*'BMP P Tracking Table'!$AB73)*-'BMP P Tracking Table'!$AX73)))/(2*(996.798*'BMP P Tracking Table'!$AB73)),IF(SUM('BMP P Tracking Table'!$X73:$AA73)=0,'BMP P Tracking Table'!$AX73/(-3630*'BMP P Tracking Table'!$V73),(-(3630*'BMP P Tracking Table'!$V73+20.691*'BMP P Tracking Table'!$AA73-216.711*'BMP P Tracking Table'!$Z73-83.853*'BMP P Tracking Table'!$Y73-42.834*'BMP P Tracking Table'!$X73)+SQRT((3630*'BMP P Tracking Table'!$V73+20.691*'BMP P Tracking Table'!$AA73-216.711*'BMP P Tracking Table'!$Z73-83.853*'BMP P Tracking Table'!$Y73-42.834*'BMP P Tracking Table'!$X73)^2-(4*(149.919*'BMP P Tracking Table'!$X73+236.676*'BMP P Tracking Table'!$Y73+726*'BMP P Tracking Table'!$Z73+996.798*'BMP P Tracking Table'!$AA73)*-'BMP P Tracking Table'!$AX73)))/(2*(149.919*'BMP P Tracking Table'!$X73+236.676*'BMP P Tracking Table'!$Y73+726*'BMP P Tracking Table'!$Z73+996.798*'BMP P Tracking Table'!$AA73)))))),"")</f>
        <v>0</v>
      </c>
      <c r="BB73" s="102" t="str">
        <f>IFERROR((VLOOKUP(CONCATENATE('BMP P Tracking Table'!$AW73," ",'BMP P Tracking Table'!$AY73),'Performance Curves'!$C$1:$L$46,_xlfn.SINGLE(MATCH('BMP P Tracking Table'!$BA73,'Performance Curves'!$D$1:$L$1,1))+2,FALSE)-VLOOKUP(CONCATENATE('BMP P Tracking Table'!$AW73," ",'BMP P Tracking Table'!$AY73),'Performance Curves'!$C$1:$L$46,_xlfn.SINGLE(MATCH('BMP P Tracking Table'!$BA73,'Performance Curves'!$D$1:$L$1,1))+1,FALSE)),"")</f>
        <v/>
      </c>
      <c r="BC73" s="102">
        <f>IFERROR(('BMP P Tracking Table'!$BA73-INDEX('Performance Curves'!$D$1:$L$1,1,MATCH('BMP P Tracking Table'!$BA73,'Performance Curves'!$D$1:$L$1,1)))/(INDEX('Performance Curves'!$D$1:$L$1,1,MATCH('BMP P Tracking Table'!$BA73,'Performance Curves'!$D$1:$L$1,1)+1)-INDEX('Performance Curves'!$D$1:$L$1,1,MATCH('BMP P Tracking Table'!$BA73,'Performance Curves'!$D$1:$L$1,1))),"")</f>
        <v>0</v>
      </c>
      <c r="BD73" s="103" t="str" cm="1">
        <f t="array" ref="BD73">IFERROR(IF('BMP P Tracking Table'!$BA73=2,VLOOKUP(CONCATENATE('BMP P Tracking Table'!$AW73," ",'BMP P Tracking Table'!$AY73),'Performance Curves'!$C$1:$L$44,_xlfn.SINGLE(MATCH('BMP P Tracking Table'!$BA73,'Performance Curves'!$D$1:$L$1,1))+1,FALSE),'BMP P Tracking Table'!$BB73*'BMP P Tracking Table'!$BC73+VLOOKUP(CONCATENATE('BMP P Tracking Table'!$AW73," ",'BMP P Tracking Table'!$AY73),'Performance Curves'!$C$1:$L$44,_xlfn.SINGLE(MATCH('BMP P Tracking Table'!$BA73,'Performance Curves'!$D$1:$L$1,1))+1,FALSE)),"")</f>
        <v/>
      </c>
      <c r="BE73" s="104" t="str">
        <f>IFERROR('BMP P Tracking Table'!$BD73*'BMP P Tracking Table'!$AZ73,"")</f>
        <v/>
      </c>
      <c r="BF73" s="98"/>
      <c r="BG73" s="37">
        <f t="shared" si="6"/>
        <v>0</v>
      </c>
      <c r="BH73" s="36" t="s">
        <v>649</v>
      </c>
      <c r="BI73" s="36" t="str">
        <f t="shared" si="7"/>
        <v>6653-9010</v>
      </c>
      <c r="BJ73" s="36" t="str">
        <f t="shared" si="8"/>
        <v>Village Walk POI 1</v>
      </c>
      <c r="BS73" s="36"/>
    </row>
    <row r="74" spans="1:74">
      <c r="A74" s="36" t="s">
        <v>638</v>
      </c>
      <c r="B74" s="65" t="s">
        <v>638</v>
      </c>
      <c r="C74" s="65" t="s">
        <v>640</v>
      </c>
      <c r="D74" s="65" t="s">
        <v>325</v>
      </c>
      <c r="E74" s="65" t="s">
        <v>10</v>
      </c>
      <c r="F74" s="94"/>
      <c r="G74" s="94"/>
      <c r="H74" s="65" t="s">
        <v>638</v>
      </c>
      <c r="I74" s="65"/>
      <c r="J74" s="65" t="s">
        <v>66</v>
      </c>
      <c r="K74" s="95"/>
      <c r="L74" s="65" t="s">
        <v>111</v>
      </c>
      <c r="M74" s="65"/>
      <c r="N74" s="199">
        <v>42146</v>
      </c>
      <c r="O74" s="65"/>
      <c r="P74" s="65"/>
      <c r="Q74" s="65" t="s">
        <v>119</v>
      </c>
      <c r="R74" s="65" t="s">
        <v>146</v>
      </c>
      <c r="S74" s="65" t="s">
        <v>129</v>
      </c>
      <c r="T74" s="65" t="s">
        <v>66</v>
      </c>
      <c r="U74" s="65" t="s">
        <v>212</v>
      </c>
      <c r="V74" s="65">
        <v>0.63</v>
      </c>
      <c r="W74" s="65" t="s">
        <v>219</v>
      </c>
      <c r="X74" s="65"/>
      <c r="Y74" s="65"/>
      <c r="Z74" s="65"/>
      <c r="AA74" s="65"/>
      <c r="AB74" s="65">
        <f>1.86-V74</f>
        <v>1.23</v>
      </c>
      <c r="AC74" s="97">
        <v>12803</v>
      </c>
      <c r="AD74" s="65" t="s">
        <v>206</v>
      </c>
      <c r="AE74" s="104">
        <f>IFERROR('BMP P Tracking Table'!$V74*VLOOKUP('BMP P Tracking Table'!$R74,'Loading Rates'!$B$1:$L$24,4,FALSE)+IF('BMP P Tracking Table'!$W74="By HSG",'BMP P Tracking Table'!$X74*VLOOKUP('BMP P Tracking Table'!$R74,'Loading Rates'!$B$1:$L$24,6,FALSE)+'BMP P Tracking Table'!$Y74*VLOOKUP('BMP P Tracking Table'!$R74,'Loading Rates'!$B$1:$L$24,7,FALSE)+'BMP P Tracking Table'!$Z74*VLOOKUP('BMP P Tracking Table'!$R74,'Loading Rates'!$B$1:$L$24,8,FALSE)+'BMP P Tracking Table'!$AA74*VLOOKUP('BMP P Tracking Table'!$R74,'Loading Rates'!$B$1:$L$24,9,FALSE),'BMP P Tracking Table'!$AB74*VLOOKUP('BMP P Tracking Table'!$R74,'Loading Rates'!$B$1:$L$24,10,FALSE)),"")</f>
        <v>0.98783999999999994</v>
      </c>
      <c r="AF74" s="104">
        <f>IFERROR(MIN(2,IF('BMP P Tracking Table'!$W74="Total Pervious",(-(3630*'BMP P Tracking Table'!$V74+20.691*'BMP P Tracking Table'!$AB74)+SQRT((3630*'BMP P Tracking Table'!$V74+20.691*'BMP P Tracking Table'!$AB74)^2-(4*(996.798*'BMP P Tracking Table'!$AB74)*-'BMP P Tracking Table'!$AC74)))/(2*(996.798*'BMP P Tracking Table'!$AB74)),IF(SUM('BMP P Tracking Table'!$X74:$AA74)=0,'BMP P Tracking Table'!$AC74/(-3630*'BMP P Tracking Table'!$V74),(-(3630*'BMP P Tracking Table'!$V74+20.691*'BMP P Tracking Table'!$AA74-216.711*'BMP P Tracking Table'!$Z74-83.853*'BMP P Tracking Table'!$Y74-42.834*'BMP P Tracking Table'!$X74)+SQRT((3630*'BMP P Tracking Table'!$V74+20.691*'BMP P Tracking Table'!$AA74-216.711*'BMP P Tracking Table'!$Z74-83.853*'BMP P Tracking Table'!$Y74-42.834*'BMP P Tracking Table'!$X74)^2-(4*(149.919*'BMP P Tracking Table'!$X74+236.676*'BMP P Tracking Table'!$Y74+726*'BMP P Tracking Table'!$Z74+996.798*'BMP P Tracking Table'!$AA74)*-'BMP P Tracking Table'!$AC74)))/(2*(149.919*'BMP P Tracking Table'!$X74+236.676*'BMP P Tracking Table'!$Y74+726*'BMP P Tracking Table'!$Z74+996.798*'BMP P Tracking Table'!$AA74))))),"")</f>
        <v>2</v>
      </c>
      <c r="AG74" s="104" t="str">
        <f>IFERROR((VLOOKUP(CONCATENATE('BMP P Tracking Table'!$U74," ",'BMP P Tracking Table'!$AD74),'Performance Curves'!$C$1:$L$46,_xlfn.SINGLE(MATCH('BMP P Tracking Table'!$AF74,'Performance Curves'!$D$1:$L$1,1))+2,FALSE)-VLOOKUP(CONCATENATE('BMP P Tracking Table'!$U74," ",'BMP P Tracking Table'!$AD74),'Performance Curves'!$C$1:$L$46,_xlfn.SINGLE(MATCH('BMP P Tracking Table'!$AF74,'Performance Curves'!$D$1:$L$1,1))+1,FALSE)),"")</f>
        <v/>
      </c>
      <c r="AH74" s="104" t="str">
        <f>IFERROR(('BMP P Tracking Table'!$AF74-INDEX('Performance Curves'!$D$1:$L$1,1,MATCH('BMP P Tracking Table'!$AF74,'Performance Curves'!$D$1:$L$1,1)))/(INDEX('Performance Curves'!$D$1:$L$1,1,MATCH('BMP P Tracking Table'!$AF74,'Performance Curves'!$D$1:$L$1,1)+1)-INDEX('Performance Curves'!$D$1:$L$1,1,MATCH('BMP P Tracking Table'!$AF74,'Performance Curves'!$D$1:$L$1,1))),"")</f>
        <v/>
      </c>
      <c r="AI74" s="103">
        <f>IFERROR(IF('BMP P Tracking Table'!$AF74=2,VLOOKUP(CONCATENATE('BMP P Tracking Table'!$U74," ",'BMP P Tracking Table'!$AD74),'Performance Curves'!$C$1:$L$46,_xlfn.SINGLE(MATCH('BMP P Tracking Table'!$AF74,'Performance Curves'!$D$1:$L$1,1))+1,FALSE),'BMP P Tracking Table'!$AG74*'BMP P Tracking Table'!$AH74+VLOOKUP(CONCATENATE('BMP P Tracking Table'!$U74," ",'BMP P Tracking Table'!$AD74),'Performance Curves'!$C$1:$L$46,_xlfn.SINGLE(MATCH('BMP P Tracking Table'!$AF74,'Performance Curves'!$D$1:$L$1,1))+1,FALSE)),"")</f>
        <v>1</v>
      </c>
      <c r="AJ74" s="104">
        <f>IFERROR('BMP P Tracking Table'!$AI74*'BMP P Tracking Table'!$AE74,"")</f>
        <v>0.98783999999999994</v>
      </c>
      <c r="AK74" s="65"/>
      <c r="AL74" s="98" t="s">
        <v>62</v>
      </c>
      <c r="AM74" s="98"/>
      <c r="AN74" s="64">
        <v>1</v>
      </c>
      <c r="AO74" s="102">
        <f t="shared" si="5"/>
        <v>0.98783999999999994</v>
      </c>
      <c r="AP74" s="98"/>
      <c r="AQ74" s="98"/>
      <c r="AR74" s="98"/>
      <c r="AS74" s="98"/>
      <c r="AT74" s="98"/>
      <c r="AU74" s="98"/>
      <c r="AV74" s="98"/>
      <c r="AW74" s="65"/>
      <c r="AX74" s="99"/>
      <c r="AY74" s="99"/>
      <c r="AZ74" s="104" t="str">
        <f>IF('BMP P Tracking Table'!$AL74="Yes",IF('BMP P Tracking Table'!$AM74="No",'BMP P Tracking Table'!$V74*VLOOKUP('BMP P Tracking Table'!$R74,'Loading Rates'!$B$1:$L$24,4,FALSE)+IF('BMP P Tracking Table'!$W74="By HSG",'BMP P Tracking Table'!$X74*VLOOKUP('BMP P Tracking Table'!$R74,'Loading Rates'!$B$1:$L$24,6,FALSE)+'BMP P Tracking Table'!$Y74*VLOOKUP('BMP P Tracking Table'!$R74,'Loading Rates'!$B$1:$L$24,7,FALSE)+'BMP P Tracking Table'!$Z74*VLOOKUP('BMP P Tracking Table'!$R74,'Loading Rates'!$B$1:$L$24,8,FALSE)+'BMP P Tracking Table'!$AA74*VLOOKUP('BMP P Tracking Table'!$R74,'Loading Rates'!$B$1:$L$24,9,FALSE),'BMP P Tracking Table'!$AB74*VLOOKUP('BMP P Tracking Table'!$R74,'Loading Rates'!$B$1:$L$24,10,FALSE)),'BMP P Tracking Table'!$AP74*VLOOKUP('BMP P Tracking Table'!$R74,'Loading Rates'!$B$1:$L$24,4,FALSE)+IF('BMP P Tracking Table'!$AQ74="By HSG",'BMP P Tracking Table'!$AR74*VLOOKUP('BMP P Tracking Table'!$R74,'Loading Rates'!$B$1:$L$24,6,FALSE)+'BMP P Tracking Table'!$AS74*VLOOKUP('BMP P Tracking Table'!$R74,'Loading Rates'!$B$1:$L$24,7,FALSE)+'BMP P Tracking Table'!$AT74*VLOOKUP('BMP P Tracking Table'!$R74,'Loading Rates'!$B$1:$L$24,8,FALSE)+'BMP P Tracking Table'!$AU74*VLOOKUP('BMP P Tracking Table'!$R74,'Loading Rates'!$B$1:$L$24,9,FALSE),'BMP P Tracking Table'!$AV74*VLOOKUP('BMP P Tracking Table'!$R74,'Loading Rates'!$B$1:$L$24,10,FALSE))),"")</f>
        <v/>
      </c>
      <c r="BA74" s="104">
        <f>IFERROR(IF('BMP P Tracking Table'!$AM74="Yes",MIN(2,IF('BMP P Tracking Table'!$AQ74="Total Pervious",(-(3630*'BMP P Tracking Table'!$AP74+20.691*'BMP P Tracking Table'!$AV74)+SQRT((3630*'BMP P Tracking Table'!$AP74+20.691*'BMP P Tracking Table'!$AV74)^2-(4*(996.798*'BMP P Tracking Table'!$AV74)*-'BMP P Tracking Table'!$AX74)))/(2*(996.798*'BMP P Tracking Table'!$AV74)),IF(SUM('BMP P Tracking Table'!$AR74:$AU74)=0,'BMP P Tracking Table'!$AV74/(-3630*'BMP P Tracking Table'!$AP74),(-(3630*'BMP P Tracking Table'!$AP74+20.691*'BMP P Tracking Table'!$AU74-216.711*'BMP P Tracking Table'!$AT74-83.853*'BMP P Tracking Table'!$AS74-42.834*'BMP P Tracking Table'!$AR74)+SQRT((3630*'BMP P Tracking Table'!$AP74+20.691*'BMP P Tracking Table'!$AU74-216.711*'BMP P Tracking Table'!$AT74-83.853*'BMP P Tracking Table'!$AS74-42.834*'BMP P Tracking Table'!$AR74)^2-(4*(149.919*'BMP P Tracking Table'!$AR74+236.676*'BMP P Tracking Table'!$AS74+726*'BMP P Tracking Table'!$AT74+996.798*'BMP P Tracking Table'!$AU74)*-'BMP P Tracking Table'!$AX74)))/(2*(149.919*'BMP P Tracking Table'!$AR74+236.676*'BMP P Tracking Table'!$AS74+726*'BMP P Tracking Table'!$AT74+996.798*'BMP P Tracking Table'!$AU74))))),MIN(2,IF('BMP P Tracking Table'!$AQ74="Total Pervious",(-(3630*'BMP P Tracking Table'!$V74+20.691*'BMP P Tracking Table'!$AB74)+SQRT((3630*'BMP P Tracking Table'!$V74+20.691*'BMP P Tracking Table'!$AB74)^2-(4*(996.798*'BMP P Tracking Table'!$AB74)*-'BMP P Tracking Table'!$AX74)))/(2*(996.798*'BMP P Tracking Table'!$AB74)),IF(SUM('BMP P Tracking Table'!$X74:$AA74)=0,'BMP P Tracking Table'!$AX74/(-3630*'BMP P Tracking Table'!$V74),(-(3630*'BMP P Tracking Table'!$V74+20.691*'BMP P Tracking Table'!$AA74-216.711*'BMP P Tracking Table'!$Z74-83.853*'BMP P Tracking Table'!$Y74-42.834*'BMP P Tracking Table'!$X74)+SQRT((3630*'BMP P Tracking Table'!$V74+20.691*'BMP P Tracking Table'!$AA74-216.711*'BMP P Tracking Table'!$Z74-83.853*'BMP P Tracking Table'!$Y74-42.834*'BMP P Tracking Table'!$X74)^2-(4*(149.919*'BMP P Tracking Table'!$X74+236.676*'BMP P Tracking Table'!$Y74+726*'BMP P Tracking Table'!$Z74+996.798*'BMP P Tracking Table'!$AA74)*-'BMP P Tracking Table'!$AX74)))/(2*(149.919*'BMP P Tracking Table'!$X74+236.676*'BMP P Tracking Table'!$Y74+726*'BMP P Tracking Table'!$Z74+996.798*'BMP P Tracking Table'!$AA74)))))),"")</f>
        <v>0</v>
      </c>
      <c r="BB74" s="102" t="str">
        <f>IFERROR((VLOOKUP(CONCATENATE('BMP P Tracking Table'!$AW74," ",'BMP P Tracking Table'!$AY74),'Performance Curves'!$C$1:$L$46,_xlfn.SINGLE(MATCH('BMP P Tracking Table'!$BA74,'Performance Curves'!$D$1:$L$1,1))+2,FALSE)-VLOOKUP(CONCATENATE('BMP P Tracking Table'!$AW74," ",'BMP P Tracking Table'!$AY74),'Performance Curves'!$C$1:$L$46,_xlfn.SINGLE(MATCH('BMP P Tracking Table'!$BA74,'Performance Curves'!$D$1:$L$1,1))+1,FALSE)),"")</f>
        <v/>
      </c>
      <c r="BC74" s="102">
        <f>IFERROR(('BMP P Tracking Table'!$BA74-INDEX('Performance Curves'!$D$1:$L$1,1,MATCH('BMP P Tracking Table'!$BA74,'Performance Curves'!$D$1:$L$1,1)))/(INDEX('Performance Curves'!$D$1:$L$1,1,MATCH('BMP P Tracking Table'!$BA74,'Performance Curves'!$D$1:$L$1,1)+1)-INDEX('Performance Curves'!$D$1:$L$1,1,MATCH('BMP P Tracking Table'!$BA74,'Performance Curves'!$D$1:$L$1,1))),"")</f>
        <v>0</v>
      </c>
      <c r="BD74" s="103" t="str" cm="1">
        <f t="array" ref="BD74">IFERROR(IF('BMP P Tracking Table'!$BA74=2,VLOOKUP(CONCATENATE('BMP P Tracking Table'!$AW74," ",'BMP P Tracking Table'!$AY74),'Performance Curves'!$C$1:$L$44,_xlfn.SINGLE(MATCH('BMP P Tracking Table'!$BA74,'Performance Curves'!$D$1:$L$1,1))+1,FALSE),'BMP P Tracking Table'!$BB74*'BMP P Tracking Table'!$BC74+VLOOKUP(CONCATENATE('BMP P Tracking Table'!$AW74," ",'BMP P Tracking Table'!$AY74),'Performance Curves'!$C$1:$L$44,_xlfn.SINGLE(MATCH('BMP P Tracking Table'!$BA74,'Performance Curves'!$D$1:$L$1,1))+1,FALSE)),"")</f>
        <v/>
      </c>
      <c r="BE74" s="104" t="str">
        <f>IFERROR('BMP P Tracking Table'!$BD74*'BMP P Tracking Table'!$AZ74,"")</f>
        <v/>
      </c>
      <c r="BF74" s="98"/>
      <c r="BG74" s="37">
        <f t="shared" si="6"/>
        <v>0</v>
      </c>
      <c r="BH74" s="36" t="s">
        <v>649</v>
      </c>
      <c r="BI74" s="36" t="str">
        <f t="shared" si="7"/>
        <v>6653-9010</v>
      </c>
      <c r="BJ74" s="36" t="str">
        <f t="shared" si="8"/>
        <v>Village Walk POI 2</v>
      </c>
      <c r="BS74" s="36"/>
    </row>
    <row r="75" spans="1:74">
      <c r="A75" s="36" t="s">
        <v>638</v>
      </c>
      <c r="B75" s="65" t="s">
        <v>638</v>
      </c>
      <c r="C75" s="65" t="s">
        <v>641</v>
      </c>
      <c r="D75" s="65" t="s">
        <v>325</v>
      </c>
      <c r="E75" s="65" t="s">
        <v>10</v>
      </c>
      <c r="F75" s="94"/>
      <c r="G75" s="94"/>
      <c r="H75" s="65" t="s">
        <v>638</v>
      </c>
      <c r="I75" s="65"/>
      <c r="J75" s="65" t="s">
        <v>66</v>
      </c>
      <c r="K75" s="95"/>
      <c r="L75" s="65" t="s">
        <v>111</v>
      </c>
      <c r="M75" s="65"/>
      <c r="N75" s="199">
        <v>42146</v>
      </c>
      <c r="O75" s="65"/>
      <c r="P75" s="65"/>
      <c r="Q75" s="65" t="s">
        <v>119</v>
      </c>
      <c r="R75" s="65" t="s">
        <v>146</v>
      </c>
      <c r="S75" s="65" t="s">
        <v>129</v>
      </c>
      <c r="T75" s="65" t="s">
        <v>66</v>
      </c>
      <c r="U75" s="65" t="s">
        <v>212</v>
      </c>
      <c r="V75" s="65">
        <v>0.32</v>
      </c>
      <c r="W75" s="65" t="s">
        <v>219</v>
      </c>
      <c r="X75" s="65"/>
      <c r="Y75" s="65"/>
      <c r="Z75" s="65"/>
      <c r="AA75" s="65"/>
      <c r="AB75" s="65">
        <f>1.28-V75</f>
        <v>0.96</v>
      </c>
      <c r="AC75" s="97">
        <v>6849</v>
      </c>
      <c r="AD75" s="65" t="s">
        <v>206</v>
      </c>
      <c r="AE75" s="104">
        <f>IFERROR('BMP P Tracking Table'!$V75*VLOOKUP('BMP P Tracking Table'!$R75,'Loading Rates'!$B$1:$L$24,4,FALSE)+IF('BMP P Tracking Table'!$W75="By HSG",'BMP P Tracking Table'!$X75*VLOOKUP('BMP P Tracking Table'!$R75,'Loading Rates'!$B$1:$L$24,6,FALSE)+'BMP P Tracking Table'!$Y75*VLOOKUP('BMP P Tracking Table'!$R75,'Loading Rates'!$B$1:$L$24,7,FALSE)+'BMP P Tracking Table'!$Z75*VLOOKUP('BMP P Tracking Table'!$R75,'Loading Rates'!$B$1:$L$24,8,FALSE)+'BMP P Tracking Table'!$AA75*VLOOKUP('BMP P Tracking Table'!$R75,'Loading Rates'!$B$1:$L$24,9,FALSE),'BMP P Tracking Table'!$AB75*VLOOKUP('BMP P Tracking Table'!$R75,'Loading Rates'!$B$1:$L$24,10,FALSE)),"")</f>
        <v>0.57919999999999994</v>
      </c>
      <c r="AF75" s="104">
        <f>IFERROR(MIN(2,IF('BMP P Tracking Table'!$W75="Total Pervious",(-(3630*'BMP P Tracking Table'!$V75+20.691*'BMP P Tracking Table'!$AB75)+SQRT((3630*'BMP P Tracking Table'!$V75+20.691*'BMP P Tracking Table'!$AB75)^2-(4*(996.798*'BMP P Tracking Table'!$AB75)*-'BMP P Tracking Table'!$AC75)))/(2*(996.798*'BMP P Tracking Table'!$AB75)),IF(SUM('BMP P Tracking Table'!$X75:$AA75)=0,'BMP P Tracking Table'!$AC75/(-3630*'BMP P Tracking Table'!$V75),(-(3630*'BMP P Tracking Table'!$V75+20.691*'BMP P Tracking Table'!$AA75-216.711*'BMP P Tracking Table'!$Z75-83.853*'BMP P Tracking Table'!$Y75-42.834*'BMP P Tracking Table'!$X75)+SQRT((3630*'BMP P Tracking Table'!$V75+20.691*'BMP P Tracking Table'!$AA75-216.711*'BMP P Tracking Table'!$Z75-83.853*'BMP P Tracking Table'!$Y75-42.834*'BMP P Tracking Table'!$X75)^2-(4*(149.919*'BMP P Tracking Table'!$X75+236.676*'BMP P Tracking Table'!$Y75+726*'BMP P Tracking Table'!$Z75+996.798*'BMP P Tracking Table'!$AA75)*-'BMP P Tracking Table'!$AC75)))/(2*(149.919*'BMP P Tracking Table'!$X75+236.676*'BMP P Tracking Table'!$Y75+726*'BMP P Tracking Table'!$Z75+996.798*'BMP P Tracking Table'!$AA75))))),"")</f>
        <v>2</v>
      </c>
      <c r="AG75" s="104" t="str">
        <f>IFERROR((VLOOKUP(CONCATENATE('BMP P Tracking Table'!$U75," ",'BMP P Tracking Table'!$AD75),'Performance Curves'!$C$1:$L$46,_xlfn.SINGLE(MATCH('BMP P Tracking Table'!$AF75,'Performance Curves'!$D$1:$L$1,1))+2,FALSE)-VLOOKUP(CONCATENATE('BMP P Tracking Table'!$U75," ",'BMP P Tracking Table'!$AD75),'Performance Curves'!$C$1:$L$46,_xlfn.SINGLE(MATCH('BMP P Tracking Table'!$AF75,'Performance Curves'!$D$1:$L$1,1))+1,FALSE)),"")</f>
        <v/>
      </c>
      <c r="AH75" s="104" t="str">
        <f>IFERROR(('BMP P Tracking Table'!$AF75-INDEX('Performance Curves'!$D$1:$L$1,1,MATCH('BMP P Tracking Table'!$AF75,'Performance Curves'!$D$1:$L$1,1)))/(INDEX('Performance Curves'!$D$1:$L$1,1,MATCH('BMP P Tracking Table'!$AF75,'Performance Curves'!$D$1:$L$1,1)+1)-INDEX('Performance Curves'!$D$1:$L$1,1,MATCH('BMP P Tracking Table'!$AF75,'Performance Curves'!$D$1:$L$1,1))),"")</f>
        <v/>
      </c>
      <c r="AI75" s="103">
        <f>IFERROR(IF('BMP P Tracking Table'!$AF75=2,VLOOKUP(CONCATENATE('BMP P Tracking Table'!$U75," ",'BMP P Tracking Table'!$AD75),'Performance Curves'!$C$1:$L$46,_xlfn.SINGLE(MATCH('BMP P Tracking Table'!$AF75,'Performance Curves'!$D$1:$L$1,1))+1,FALSE),'BMP P Tracking Table'!$AG75*'BMP P Tracking Table'!$AH75+VLOOKUP(CONCATENATE('BMP P Tracking Table'!$U75," ",'BMP P Tracking Table'!$AD75),'Performance Curves'!$C$1:$L$46,_xlfn.SINGLE(MATCH('BMP P Tracking Table'!$AF75,'Performance Curves'!$D$1:$L$1,1))+1,FALSE)),"")</f>
        <v>1</v>
      </c>
      <c r="AJ75" s="104">
        <f>IFERROR('BMP P Tracking Table'!$AI75*'BMP P Tracking Table'!$AE75,"")</f>
        <v>0.57919999999999994</v>
      </c>
      <c r="AK75" s="65"/>
      <c r="AL75" s="98" t="s">
        <v>62</v>
      </c>
      <c r="AM75" s="98"/>
      <c r="AN75" s="64">
        <v>1</v>
      </c>
      <c r="AO75" s="102">
        <f t="shared" si="5"/>
        <v>0.57919999999999994</v>
      </c>
      <c r="AP75" s="98"/>
      <c r="AQ75" s="98"/>
      <c r="AR75" s="98"/>
      <c r="AS75" s="98"/>
      <c r="AT75" s="98"/>
      <c r="AU75" s="98"/>
      <c r="AV75" s="98"/>
      <c r="AW75" s="65"/>
      <c r="AX75" s="99"/>
      <c r="AY75" s="99"/>
      <c r="AZ75" s="104" t="str">
        <f>IF('BMP P Tracking Table'!$AL75="Yes",IF('BMP P Tracking Table'!$AM75="No",'BMP P Tracking Table'!$V75*VLOOKUP('BMP P Tracking Table'!$R75,'Loading Rates'!$B$1:$L$24,4,FALSE)+IF('BMP P Tracking Table'!$W75="By HSG",'BMP P Tracking Table'!$X75*VLOOKUP('BMP P Tracking Table'!$R75,'Loading Rates'!$B$1:$L$24,6,FALSE)+'BMP P Tracking Table'!$Y75*VLOOKUP('BMP P Tracking Table'!$R75,'Loading Rates'!$B$1:$L$24,7,FALSE)+'BMP P Tracking Table'!$Z75*VLOOKUP('BMP P Tracking Table'!$R75,'Loading Rates'!$B$1:$L$24,8,FALSE)+'BMP P Tracking Table'!$AA75*VLOOKUP('BMP P Tracking Table'!$R75,'Loading Rates'!$B$1:$L$24,9,FALSE),'BMP P Tracking Table'!$AB75*VLOOKUP('BMP P Tracking Table'!$R75,'Loading Rates'!$B$1:$L$24,10,FALSE)),'BMP P Tracking Table'!$AP75*VLOOKUP('BMP P Tracking Table'!$R75,'Loading Rates'!$B$1:$L$24,4,FALSE)+IF('BMP P Tracking Table'!$AQ75="By HSG",'BMP P Tracking Table'!$AR75*VLOOKUP('BMP P Tracking Table'!$R75,'Loading Rates'!$B$1:$L$24,6,FALSE)+'BMP P Tracking Table'!$AS75*VLOOKUP('BMP P Tracking Table'!$R75,'Loading Rates'!$B$1:$L$24,7,FALSE)+'BMP P Tracking Table'!$AT75*VLOOKUP('BMP P Tracking Table'!$R75,'Loading Rates'!$B$1:$L$24,8,FALSE)+'BMP P Tracking Table'!$AU75*VLOOKUP('BMP P Tracking Table'!$R75,'Loading Rates'!$B$1:$L$24,9,FALSE),'BMP P Tracking Table'!$AV75*VLOOKUP('BMP P Tracking Table'!$R75,'Loading Rates'!$B$1:$L$24,10,FALSE))),"")</f>
        <v/>
      </c>
      <c r="BA75" s="104">
        <f>IFERROR(IF('BMP P Tracking Table'!$AM75="Yes",MIN(2,IF('BMP P Tracking Table'!$AQ75="Total Pervious",(-(3630*'BMP P Tracking Table'!$AP75+20.691*'BMP P Tracking Table'!$AV75)+SQRT((3630*'BMP P Tracking Table'!$AP75+20.691*'BMP P Tracking Table'!$AV75)^2-(4*(996.798*'BMP P Tracking Table'!$AV75)*-'BMP P Tracking Table'!$AX75)))/(2*(996.798*'BMP P Tracking Table'!$AV75)),IF(SUM('BMP P Tracking Table'!$AR75:$AU75)=0,'BMP P Tracking Table'!$AV75/(-3630*'BMP P Tracking Table'!$AP75),(-(3630*'BMP P Tracking Table'!$AP75+20.691*'BMP P Tracking Table'!$AU75-216.711*'BMP P Tracking Table'!$AT75-83.853*'BMP P Tracking Table'!$AS75-42.834*'BMP P Tracking Table'!$AR75)+SQRT((3630*'BMP P Tracking Table'!$AP75+20.691*'BMP P Tracking Table'!$AU75-216.711*'BMP P Tracking Table'!$AT75-83.853*'BMP P Tracking Table'!$AS75-42.834*'BMP P Tracking Table'!$AR75)^2-(4*(149.919*'BMP P Tracking Table'!$AR75+236.676*'BMP P Tracking Table'!$AS75+726*'BMP P Tracking Table'!$AT75+996.798*'BMP P Tracking Table'!$AU75)*-'BMP P Tracking Table'!$AX75)))/(2*(149.919*'BMP P Tracking Table'!$AR75+236.676*'BMP P Tracking Table'!$AS75+726*'BMP P Tracking Table'!$AT75+996.798*'BMP P Tracking Table'!$AU75))))),MIN(2,IF('BMP P Tracking Table'!$AQ75="Total Pervious",(-(3630*'BMP P Tracking Table'!$V75+20.691*'BMP P Tracking Table'!$AB75)+SQRT((3630*'BMP P Tracking Table'!$V75+20.691*'BMP P Tracking Table'!$AB75)^2-(4*(996.798*'BMP P Tracking Table'!$AB75)*-'BMP P Tracking Table'!$AX75)))/(2*(996.798*'BMP P Tracking Table'!$AB75)),IF(SUM('BMP P Tracking Table'!$X75:$AA75)=0,'BMP P Tracking Table'!$AX75/(-3630*'BMP P Tracking Table'!$V75),(-(3630*'BMP P Tracking Table'!$V75+20.691*'BMP P Tracking Table'!$AA75-216.711*'BMP P Tracking Table'!$Z75-83.853*'BMP P Tracking Table'!$Y75-42.834*'BMP P Tracking Table'!$X75)+SQRT((3630*'BMP P Tracking Table'!$V75+20.691*'BMP P Tracking Table'!$AA75-216.711*'BMP P Tracking Table'!$Z75-83.853*'BMP P Tracking Table'!$Y75-42.834*'BMP P Tracking Table'!$X75)^2-(4*(149.919*'BMP P Tracking Table'!$X75+236.676*'BMP P Tracking Table'!$Y75+726*'BMP P Tracking Table'!$Z75+996.798*'BMP P Tracking Table'!$AA75)*-'BMP P Tracking Table'!$AX75)))/(2*(149.919*'BMP P Tracking Table'!$X75+236.676*'BMP P Tracking Table'!$Y75+726*'BMP P Tracking Table'!$Z75+996.798*'BMP P Tracking Table'!$AA75)))))),"")</f>
        <v>0</v>
      </c>
      <c r="BB75" s="102" t="str">
        <f>IFERROR((VLOOKUP(CONCATENATE('BMP P Tracking Table'!$AW75," ",'BMP P Tracking Table'!$AY75),'Performance Curves'!$C$1:$L$46,_xlfn.SINGLE(MATCH('BMP P Tracking Table'!$BA75,'Performance Curves'!$D$1:$L$1,1))+2,FALSE)-VLOOKUP(CONCATENATE('BMP P Tracking Table'!$AW75," ",'BMP P Tracking Table'!$AY75),'Performance Curves'!$C$1:$L$46,_xlfn.SINGLE(MATCH('BMP P Tracking Table'!$BA75,'Performance Curves'!$D$1:$L$1,1))+1,FALSE)),"")</f>
        <v/>
      </c>
      <c r="BC75" s="102">
        <f>IFERROR(('BMP P Tracking Table'!$BA75-INDEX('Performance Curves'!$D$1:$L$1,1,MATCH('BMP P Tracking Table'!$BA75,'Performance Curves'!$D$1:$L$1,1)))/(INDEX('Performance Curves'!$D$1:$L$1,1,MATCH('BMP P Tracking Table'!$BA75,'Performance Curves'!$D$1:$L$1,1)+1)-INDEX('Performance Curves'!$D$1:$L$1,1,MATCH('BMP P Tracking Table'!$BA75,'Performance Curves'!$D$1:$L$1,1))),"")</f>
        <v>0</v>
      </c>
      <c r="BD75" s="103" t="str" cm="1">
        <f t="array" ref="BD75">IFERROR(IF('BMP P Tracking Table'!$BA75=2,VLOOKUP(CONCATENATE('BMP P Tracking Table'!$AW75," ",'BMP P Tracking Table'!$AY75),'Performance Curves'!$C$1:$L$44,_xlfn.SINGLE(MATCH('BMP P Tracking Table'!$BA75,'Performance Curves'!$D$1:$L$1,1))+1,FALSE),'BMP P Tracking Table'!$BB75*'BMP P Tracking Table'!$BC75+VLOOKUP(CONCATENATE('BMP P Tracking Table'!$AW75," ",'BMP P Tracking Table'!$AY75),'Performance Curves'!$C$1:$L$44,_xlfn.SINGLE(MATCH('BMP P Tracking Table'!$BA75,'Performance Curves'!$D$1:$L$1,1))+1,FALSE)),"")</f>
        <v/>
      </c>
      <c r="BE75" s="104" t="str">
        <f>IFERROR('BMP P Tracking Table'!$BD75*'BMP P Tracking Table'!$AZ75,"")</f>
        <v/>
      </c>
      <c r="BF75" s="98"/>
      <c r="BG75" s="37">
        <f t="shared" si="6"/>
        <v>0</v>
      </c>
      <c r="BH75" s="36" t="s">
        <v>649</v>
      </c>
      <c r="BI75" s="36" t="str">
        <f t="shared" si="7"/>
        <v>6653-9010</v>
      </c>
      <c r="BJ75" s="36" t="str">
        <f t="shared" si="8"/>
        <v>Village Walk POI 3</v>
      </c>
      <c r="BS75" s="36"/>
    </row>
    <row r="76" spans="1:74" s="216" customFormat="1">
      <c r="A76" s="36"/>
      <c r="B76" s="206" t="s">
        <v>728</v>
      </c>
      <c r="C76" s="206" t="s">
        <v>650</v>
      </c>
      <c r="D76" s="206" t="s">
        <v>325</v>
      </c>
      <c r="E76" s="206" t="s">
        <v>10</v>
      </c>
      <c r="F76" s="207"/>
      <c r="G76" s="207"/>
      <c r="H76" s="206"/>
      <c r="I76" s="206"/>
      <c r="J76" s="206" t="s">
        <v>66</v>
      </c>
      <c r="K76" s="95">
        <v>2500</v>
      </c>
      <c r="L76" s="206" t="s">
        <v>49</v>
      </c>
      <c r="M76" s="206"/>
      <c r="N76" s="206"/>
      <c r="O76" s="206"/>
      <c r="P76" s="206"/>
      <c r="Q76" s="206" t="s">
        <v>37</v>
      </c>
      <c r="R76" s="206" t="str">
        <f>IFERROR(VLOOKUP('BMP P Tracking Table'!$Q76,Dropdowns!$C$2:$E$15,3,FALSE),"")</f>
        <v>Malletts Bay Direct Drainage</v>
      </c>
      <c r="S76" s="206" t="s">
        <v>132</v>
      </c>
      <c r="T76" s="206" t="s">
        <v>66</v>
      </c>
      <c r="U76" s="206" t="s">
        <v>570</v>
      </c>
      <c r="V76" s="206">
        <v>0.17</v>
      </c>
      <c r="W76" s="206" t="s">
        <v>220</v>
      </c>
      <c r="X76" s="206">
        <v>0.17</v>
      </c>
      <c r="Y76" s="206">
        <v>0</v>
      </c>
      <c r="Z76" s="206">
        <v>0</v>
      </c>
      <c r="AA76" s="206">
        <v>0</v>
      </c>
      <c r="AB76" s="206">
        <v>0</v>
      </c>
      <c r="AC76" s="208"/>
      <c r="AD76" s="206" t="s">
        <v>206</v>
      </c>
      <c r="AE76" s="209">
        <f>IFERROR('BMP P Tracking Table'!$V76*VLOOKUP('BMP P Tracking Table'!$R76,'Loading Rates'!$B$1:$L$24,4,FALSE)+IF('BMP P Tracking Table'!$W76="By HSG",'BMP P Tracking Table'!$X76*VLOOKUP('BMP P Tracking Table'!$R76,'Loading Rates'!$B$1:$L$24,6,FALSE)+'BMP P Tracking Table'!$Y76*VLOOKUP('BMP P Tracking Table'!$R76,'Loading Rates'!$B$1:$L$24,7,FALSE)+'BMP P Tracking Table'!$Z76*VLOOKUP('BMP P Tracking Table'!$R76,'Loading Rates'!$B$1:$L$24,8,FALSE)+'BMP P Tracking Table'!$AA76*VLOOKUP('BMP P Tracking Table'!$R76,'Loading Rates'!$B$1:$L$24,9,FALSE),'BMP P Tracking Table'!$AB76*VLOOKUP('BMP P Tracking Table'!$R76,'Loading Rates'!$B$1:$L$24,10,FALSE)),"")</f>
        <v>0.14212000000000002</v>
      </c>
      <c r="AF76" s="209">
        <f>IFERROR(MIN(2,IF('BMP P Tracking Table'!$W76="Total Pervious",(-(3630*'BMP P Tracking Table'!$V76+20.691*'BMP P Tracking Table'!$AB76)+SQRT((3630*'BMP P Tracking Table'!$V76+20.691*'BMP P Tracking Table'!$AB76)^2-(4*(996.798*'BMP P Tracking Table'!$AB76)*-'BMP P Tracking Table'!$AC76)))/(2*(996.798*'BMP P Tracking Table'!$AB76)),IF(SUM('BMP P Tracking Table'!$X76:$AA76)=0,'BMP P Tracking Table'!$AC76/(-3630*'BMP P Tracking Table'!$V76),(-(3630*'BMP P Tracking Table'!$V76+20.691*'BMP P Tracking Table'!$AA76-216.711*'BMP P Tracking Table'!$Z76-83.853*'BMP P Tracking Table'!$Y76-42.834*'BMP P Tracking Table'!$X76)+SQRT((3630*'BMP P Tracking Table'!$V76+20.691*'BMP P Tracking Table'!$AA76-216.711*'BMP P Tracking Table'!$Z76-83.853*'BMP P Tracking Table'!$Y76-42.834*'BMP P Tracking Table'!$X76)^2-(4*(149.919*'BMP P Tracking Table'!$X76+236.676*'BMP P Tracking Table'!$Y76+726*'BMP P Tracking Table'!$Z76+996.798*'BMP P Tracking Table'!$AA76)*-'BMP P Tracking Table'!$AC76)))/(2*(149.919*'BMP P Tracking Table'!$X76+236.676*'BMP P Tracking Table'!$Y76+726*'BMP P Tracking Table'!$Z76+996.798*'BMP P Tracking Table'!$AA76))))),"")</f>
        <v>0</v>
      </c>
      <c r="AG76" s="209" t="str">
        <f>IFERROR((VLOOKUP(CONCATENATE('BMP P Tracking Table'!$U76," ",'BMP P Tracking Table'!$AD76),'Performance Curves'!$C$1:$L$46,_xlfn.SINGLE(MATCH('BMP P Tracking Table'!$AF76,'Performance Curves'!$D$1:$L$1,1))+2,FALSE)-VLOOKUP(CONCATENATE('BMP P Tracking Table'!$U76," ",'BMP P Tracking Table'!$AD76),'Performance Curves'!$C$1:$L$46,_xlfn.SINGLE(MATCH('BMP P Tracking Table'!$AF76,'Performance Curves'!$D$1:$L$1,1))+1,FALSE)),"")</f>
        <v/>
      </c>
      <c r="AH76" s="209">
        <f>IFERROR(('BMP P Tracking Table'!$AF76-INDEX('Performance Curves'!$D$1:$L$1,1,MATCH('BMP P Tracking Table'!$AF76,'Performance Curves'!$D$1:$L$1,1)))/(INDEX('Performance Curves'!$D$1:$L$1,1,MATCH('BMP P Tracking Table'!$AF76,'Performance Curves'!$D$1:$L$1,1)+1)-INDEX('Performance Curves'!$D$1:$L$1,1,MATCH('BMP P Tracking Table'!$AF76,'Performance Curves'!$D$1:$L$1,1))),"")</f>
        <v>0</v>
      </c>
      <c r="AI76" s="210" t="str">
        <f>IFERROR(IF('BMP P Tracking Table'!$AF76=2,VLOOKUP(CONCATENATE('BMP P Tracking Table'!$U76," ",'BMP P Tracking Table'!$AD76),'Performance Curves'!$C$1:$L$46,_xlfn.SINGLE(MATCH('BMP P Tracking Table'!$AF76,'Performance Curves'!$D$1:$L$1,1))+1,FALSE),'BMP P Tracking Table'!$AG76*'BMP P Tracking Table'!$AH76+VLOOKUP(CONCATENATE('BMP P Tracking Table'!$U76," ",'BMP P Tracking Table'!$AD76),'Performance Curves'!$C$1:$L$46,_xlfn.SINGLE(MATCH('BMP P Tracking Table'!$AF76,'Performance Curves'!$D$1:$L$1,1))+1,FALSE)),"")</f>
        <v/>
      </c>
      <c r="AJ76" s="209" t="str">
        <f>IFERROR('BMP P Tracking Table'!$AI76*'BMP P Tracking Table'!$AE76,"")</f>
        <v/>
      </c>
      <c r="AK76" s="206">
        <v>0.14000000000000001</v>
      </c>
      <c r="AL76" s="211" t="s">
        <v>62</v>
      </c>
      <c r="AM76" s="211"/>
      <c r="AN76" s="212">
        <v>1</v>
      </c>
      <c r="AO76" s="213">
        <f t="shared" si="5"/>
        <v>0.14000000000000001</v>
      </c>
      <c r="AP76" s="211"/>
      <c r="AQ76" s="211"/>
      <c r="AR76" s="211"/>
      <c r="AS76" s="211"/>
      <c r="AT76" s="211"/>
      <c r="AU76" s="211"/>
      <c r="AV76" s="211"/>
      <c r="AW76" s="206"/>
      <c r="AX76" s="214"/>
      <c r="AY76" s="214"/>
      <c r="AZ76" s="209" t="str">
        <f>IF('BMP P Tracking Table'!$AL76="Yes",IF('BMP P Tracking Table'!$AM76="No",'BMP P Tracking Table'!$V76*VLOOKUP('BMP P Tracking Table'!$R76,'Loading Rates'!$B$1:$L$24,4,FALSE)+IF('BMP P Tracking Table'!$W76="By HSG",'BMP P Tracking Table'!$X76*VLOOKUP('BMP P Tracking Table'!$R76,'Loading Rates'!$B$1:$L$24,6,FALSE)+'BMP P Tracking Table'!$Y76*VLOOKUP('BMP P Tracking Table'!$R76,'Loading Rates'!$B$1:$L$24,7,FALSE)+'BMP P Tracking Table'!$Z76*VLOOKUP('BMP P Tracking Table'!$R76,'Loading Rates'!$B$1:$L$24,8,FALSE)+'BMP P Tracking Table'!$AA76*VLOOKUP('BMP P Tracking Table'!$R76,'Loading Rates'!$B$1:$L$24,9,FALSE),'BMP P Tracking Table'!$AB76*VLOOKUP('BMP P Tracking Table'!$R76,'Loading Rates'!$B$1:$L$24,10,FALSE)),'BMP P Tracking Table'!$AP76*VLOOKUP('BMP P Tracking Table'!$R76,'Loading Rates'!$B$1:$L$24,4,FALSE)+IF('BMP P Tracking Table'!$AQ76="By HSG",'BMP P Tracking Table'!$AR76*VLOOKUP('BMP P Tracking Table'!$R76,'Loading Rates'!$B$1:$L$24,6,FALSE)+'BMP P Tracking Table'!$AS76*VLOOKUP('BMP P Tracking Table'!$R76,'Loading Rates'!$B$1:$L$24,7,FALSE)+'BMP P Tracking Table'!$AT76*VLOOKUP('BMP P Tracking Table'!$R76,'Loading Rates'!$B$1:$L$24,8,FALSE)+'BMP P Tracking Table'!$AU76*VLOOKUP('BMP P Tracking Table'!$R76,'Loading Rates'!$B$1:$L$24,9,FALSE),'BMP P Tracking Table'!$AV76*VLOOKUP('BMP P Tracking Table'!$R76,'Loading Rates'!$B$1:$L$24,10,FALSE))),"")</f>
        <v/>
      </c>
      <c r="BA76" s="209">
        <f>IFERROR(IF('BMP P Tracking Table'!$AM76="Yes",MIN(2,IF('BMP P Tracking Table'!$AQ76="Total Pervious",(-(3630*'BMP P Tracking Table'!$AP76+20.691*'BMP P Tracking Table'!$AV76)+SQRT((3630*'BMP P Tracking Table'!$AP76+20.691*'BMP P Tracking Table'!$AV76)^2-(4*(996.798*'BMP P Tracking Table'!$AV76)*-'BMP P Tracking Table'!$AX76)))/(2*(996.798*'BMP P Tracking Table'!$AV76)),IF(SUM('BMP P Tracking Table'!$AR76:$AU76)=0,'BMP P Tracking Table'!$AV76/(-3630*'BMP P Tracking Table'!$AP76),(-(3630*'BMP P Tracking Table'!$AP76+20.691*'BMP P Tracking Table'!$AU76-216.711*'BMP P Tracking Table'!$AT76-83.853*'BMP P Tracking Table'!$AS76-42.834*'BMP P Tracking Table'!$AR76)+SQRT((3630*'BMP P Tracking Table'!$AP76+20.691*'BMP P Tracking Table'!$AU76-216.711*'BMP P Tracking Table'!$AT76-83.853*'BMP P Tracking Table'!$AS76-42.834*'BMP P Tracking Table'!$AR76)^2-(4*(149.919*'BMP P Tracking Table'!$AR76+236.676*'BMP P Tracking Table'!$AS76+726*'BMP P Tracking Table'!$AT76+996.798*'BMP P Tracking Table'!$AU76)*-'BMP P Tracking Table'!$AX76)))/(2*(149.919*'BMP P Tracking Table'!$AR76+236.676*'BMP P Tracking Table'!$AS76+726*'BMP P Tracking Table'!$AT76+996.798*'BMP P Tracking Table'!$AU76))))),MIN(2,IF('BMP P Tracking Table'!$AQ76="Total Pervious",(-(3630*'BMP P Tracking Table'!$V76+20.691*'BMP P Tracking Table'!$AB76)+SQRT((3630*'BMP P Tracking Table'!$V76+20.691*'BMP P Tracking Table'!$AB76)^2-(4*(996.798*'BMP P Tracking Table'!$AB76)*-'BMP P Tracking Table'!$AX76)))/(2*(996.798*'BMP P Tracking Table'!$AB76)),IF(SUM('BMP P Tracking Table'!$X76:$AA76)=0,'BMP P Tracking Table'!$AX76/(-3630*'BMP P Tracking Table'!$V76),(-(3630*'BMP P Tracking Table'!$V76+20.691*'BMP P Tracking Table'!$AA76-216.711*'BMP P Tracking Table'!$Z76-83.853*'BMP P Tracking Table'!$Y76-42.834*'BMP P Tracking Table'!$X76)+SQRT((3630*'BMP P Tracking Table'!$V76+20.691*'BMP P Tracking Table'!$AA76-216.711*'BMP P Tracking Table'!$Z76-83.853*'BMP P Tracking Table'!$Y76-42.834*'BMP P Tracking Table'!$X76)^2-(4*(149.919*'BMP P Tracking Table'!$X76+236.676*'BMP P Tracking Table'!$Y76+726*'BMP P Tracking Table'!$Z76+996.798*'BMP P Tracking Table'!$AA76)*-'BMP P Tracking Table'!$AX76)))/(2*(149.919*'BMP P Tracking Table'!$X76+236.676*'BMP P Tracking Table'!$Y76+726*'BMP P Tracking Table'!$Z76+996.798*'BMP P Tracking Table'!$AA76)))))),"")</f>
        <v>0</v>
      </c>
      <c r="BB76" s="213" t="str">
        <f>IFERROR((VLOOKUP(CONCATENATE('BMP P Tracking Table'!$AW76," ",'BMP P Tracking Table'!$AY76),'Performance Curves'!$C$1:$L$46,_xlfn.SINGLE(MATCH('BMP P Tracking Table'!$BA76,'Performance Curves'!$D$1:$L$1,1))+2,FALSE)-VLOOKUP(CONCATENATE('BMP P Tracking Table'!$AW76," ",'BMP P Tracking Table'!$AY76),'Performance Curves'!$C$1:$L$46,_xlfn.SINGLE(MATCH('BMP P Tracking Table'!$BA76,'Performance Curves'!$D$1:$L$1,1))+1,FALSE)),"")</f>
        <v/>
      </c>
      <c r="BC76" s="213">
        <f>IFERROR(('BMP P Tracking Table'!$BA76-INDEX('Performance Curves'!$D$1:$L$1,1,MATCH('BMP P Tracking Table'!$BA76,'Performance Curves'!$D$1:$L$1,1)))/(INDEX('Performance Curves'!$D$1:$L$1,1,MATCH('BMP P Tracking Table'!$BA76,'Performance Curves'!$D$1:$L$1,1)+1)-INDEX('Performance Curves'!$D$1:$L$1,1,MATCH('BMP P Tracking Table'!$BA76,'Performance Curves'!$D$1:$L$1,1))),"")</f>
        <v>0</v>
      </c>
      <c r="BD76" s="210" t="str" cm="1">
        <f t="array" ref="BD76">IFERROR(IF('BMP P Tracking Table'!$BA76=2,VLOOKUP(CONCATENATE('BMP P Tracking Table'!$AW76," ",'BMP P Tracking Table'!$AY76),'Performance Curves'!$C$1:$L$44,_xlfn.SINGLE(MATCH('BMP P Tracking Table'!$BA76,'Performance Curves'!$D$1:$L$1,1))+1,FALSE),'BMP P Tracking Table'!$BB76*'BMP P Tracking Table'!$BC76+VLOOKUP(CONCATENATE('BMP P Tracking Table'!$AW76," ",'BMP P Tracking Table'!$AY76),'Performance Curves'!$C$1:$L$44,_xlfn.SINGLE(MATCH('BMP P Tracking Table'!$BA76,'Performance Curves'!$D$1:$L$1,1))+1,FALSE)),"")</f>
        <v/>
      </c>
      <c r="BE76" s="209" t="str">
        <f>IFERROR('BMP P Tracking Table'!$BD76*'BMP P Tracking Table'!$AZ76,"")</f>
        <v/>
      </c>
      <c r="BF76" s="211"/>
      <c r="BG76" s="215">
        <f t="shared" si="6"/>
        <v>0</v>
      </c>
      <c r="BI76" s="36" t="str">
        <f t="shared" si="7"/>
        <v>EJ-MB-001</v>
      </c>
      <c r="BJ76" s="36" t="str">
        <f t="shared" si="8"/>
        <v>Briar Lane cul-de-sac impervious removal</v>
      </c>
      <c r="BK76" s="36"/>
      <c r="BL76" s="36" t="s">
        <v>814</v>
      </c>
      <c r="BM76" s="36" t="s">
        <v>813</v>
      </c>
      <c r="BN76" s="36"/>
      <c r="BO76" s="36"/>
      <c r="BP76" s="36" t="s">
        <v>874</v>
      </c>
      <c r="BQ76" s="36">
        <f>V76+IF(W76="By HSG",X76+Y76+Z76+AA76,AB76)</f>
        <v>0.34</v>
      </c>
      <c r="BR76" s="36">
        <f>IF(W76="By HSG",X76+Y76+Z76+AA76,AB76)</f>
        <v>0.17</v>
      </c>
      <c r="BS76" s="101">
        <f>V76/BQ76</f>
        <v>0.5</v>
      </c>
      <c r="BT76" s="238">
        <f>K76/V76</f>
        <v>14705.882352941175</v>
      </c>
      <c r="BU76" s="238">
        <f>K76/AO76</f>
        <v>17857.142857142855</v>
      </c>
      <c r="BV76" s="36"/>
    </row>
    <row r="77" spans="1:74">
      <c r="A77" s="221" t="s">
        <v>651</v>
      </c>
      <c r="B77" s="65" t="s">
        <v>652</v>
      </c>
      <c r="C77" s="65" t="s">
        <v>653</v>
      </c>
      <c r="D77" s="65" t="s">
        <v>327</v>
      </c>
      <c r="E77" s="65" t="s">
        <v>9</v>
      </c>
      <c r="F77" s="94"/>
      <c r="G77" s="94"/>
      <c r="H77" s="65" t="s">
        <v>652</v>
      </c>
      <c r="I77" s="65"/>
      <c r="J77" s="65" t="s">
        <v>66</v>
      </c>
      <c r="K77" s="95"/>
      <c r="L77" s="65" t="s">
        <v>111</v>
      </c>
      <c r="M77" s="65"/>
      <c r="N77" s="65">
        <v>2014</v>
      </c>
      <c r="O77" s="65"/>
      <c r="P77" s="65"/>
      <c r="Q77" s="65" t="s">
        <v>119</v>
      </c>
      <c r="R77" s="65" t="s">
        <v>146</v>
      </c>
      <c r="S77" s="65" t="str">
        <f>IFERROR(VLOOKUP('BMP P Tracking Table'!$R77,Dropdowns!$Q$3:$R$23,2,FALSE),"")</f>
        <v>Main Lake</v>
      </c>
      <c r="T77" s="65" t="s">
        <v>66</v>
      </c>
      <c r="U77" s="65" t="s">
        <v>162</v>
      </c>
      <c r="V77" s="65">
        <v>1.1399999999999999</v>
      </c>
      <c r="W77" s="65" t="s">
        <v>219</v>
      </c>
      <c r="X77" s="65">
        <v>0</v>
      </c>
      <c r="Y77" s="65">
        <v>0</v>
      </c>
      <c r="Z77" s="65">
        <v>0</v>
      </c>
      <c r="AA77" s="65">
        <v>0</v>
      </c>
      <c r="AB77" s="65">
        <v>2.5</v>
      </c>
      <c r="AC77" s="208">
        <v>3554</v>
      </c>
      <c r="AD77" s="65"/>
      <c r="AE77" s="104">
        <f>IFERROR('BMP P Tracking Table'!$V77*VLOOKUP('BMP P Tracking Table'!$R77,'Loading Rates'!$B$1:$L$24,4,FALSE)+IF('BMP P Tracking Table'!$W77="By HSG",'BMP P Tracking Table'!$X77*VLOOKUP('BMP P Tracking Table'!$R77,'Loading Rates'!$B$1:$L$24,6,FALSE)+'BMP P Tracking Table'!$Y77*VLOOKUP('BMP P Tracking Table'!$R77,'Loading Rates'!$B$1:$L$24,7,FALSE)+'BMP P Tracking Table'!$Z77*VLOOKUP('BMP P Tracking Table'!$R77,'Loading Rates'!$B$1:$L$24,8,FALSE)+'BMP P Tracking Table'!$AA77*VLOOKUP('BMP P Tracking Table'!$R77,'Loading Rates'!$B$1:$L$24,9,FALSE),'BMP P Tracking Table'!$AB77*VLOOKUP('BMP P Tracking Table'!$R77,'Loading Rates'!$B$1:$L$24,10,FALSE)),"")</f>
        <v>1.8508800000000001</v>
      </c>
      <c r="AF77" s="104">
        <f>IFERROR(MIN(2,IF('BMP P Tracking Table'!$W77="Total Pervious",(-(3630*'BMP P Tracking Table'!$V77+20.691*'BMP P Tracking Table'!$AB77)+SQRT((3630*'BMP P Tracking Table'!$V77+20.691*'BMP P Tracking Table'!$AB77)^2-(4*(996.798*'BMP P Tracking Table'!$AB77)*-'BMP P Tracking Table'!$AC77)))/(2*(996.798*'BMP P Tracking Table'!$AB77)),IF(SUM('BMP P Tracking Table'!$X77:$AA77)=0,'BMP P Tracking Table'!$AC77/(-3630*'BMP P Tracking Table'!$V77),(-(3630*'BMP P Tracking Table'!$V77+20.691*'BMP P Tracking Table'!$AA77-216.711*'BMP P Tracking Table'!$Z77-83.853*'BMP P Tracking Table'!$Y77-42.834*'BMP P Tracking Table'!$X77)+SQRT((3630*'BMP P Tracking Table'!$V77+20.691*'BMP P Tracking Table'!$AA77-216.711*'BMP P Tracking Table'!$Z77-83.853*'BMP P Tracking Table'!$Y77-42.834*'BMP P Tracking Table'!$X77)^2-(4*(149.919*'BMP P Tracking Table'!$X77+236.676*'BMP P Tracking Table'!$Y77+726*'BMP P Tracking Table'!$Z77+996.798*'BMP P Tracking Table'!$AA77)*-'BMP P Tracking Table'!$AC77)))/(2*(149.919*'BMP P Tracking Table'!$X77+236.676*'BMP P Tracking Table'!$Y77+726*'BMP P Tracking Table'!$Z77+996.798*'BMP P Tracking Table'!$AA77))))),"")</f>
        <v>0.61976949723848418</v>
      </c>
      <c r="AG77" s="104">
        <f>IFERROR((VLOOKUP(CONCATENATE('BMP P Tracking Table'!$U77," ",'BMP P Tracking Table'!$AD77),'Performance Curves'!$C$1:$L$46,_xlfn.SINGLE(MATCH('BMP P Tracking Table'!$AF77,'Performance Curves'!$D$1:$L$1,1))+2,FALSE)-VLOOKUP(CONCATENATE('BMP P Tracking Table'!$U77," ",'BMP P Tracking Table'!$AD77),'Performance Curves'!$C$1:$L$46,_xlfn.SINGLE(MATCH('BMP P Tracking Table'!$AF77,'Performance Curves'!$D$1:$L$1,1))+1,FALSE)),"")</f>
        <v>3.999999999999998E-2</v>
      </c>
      <c r="AH77" s="104">
        <f>IFERROR(('BMP P Tracking Table'!$AF77-INDEX('Performance Curves'!$D$1:$L$1,1,MATCH('BMP P Tracking Table'!$AF77,'Performance Curves'!$D$1:$L$1,1)))/(INDEX('Performance Curves'!$D$1:$L$1,1,MATCH('BMP P Tracking Table'!$AF77,'Performance Curves'!$D$1:$L$1,1)+1)-INDEX('Performance Curves'!$D$1:$L$1,1,MATCH('BMP P Tracking Table'!$AF77,'Performance Curves'!$D$1:$L$1,1))),"")</f>
        <v>9.884748619242098E-2</v>
      </c>
      <c r="AI77" s="103">
        <f>IFERROR(IF('BMP P Tracking Table'!$AF77=2,VLOOKUP(CONCATENATE('BMP P Tracking Table'!$U77," ",'BMP P Tracking Table'!$AD77),'Performance Curves'!$C$1:$L$46,_xlfn.SINGLE(MATCH('BMP P Tracking Table'!$AF77,'Performance Curves'!$D$1:$L$1,1))+1,FALSE),'BMP P Tracking Table'!$AG77*'BMP P Tracking Table'!$AH77+VLOOKUP(CONCATENATE('BMP P Tracking Table'!$U77," ",'BMP P Tracking Table'!$AD77),'Performance Curves'!$C$1:$L$46,_xlfn.SINGLE(MATCH('BMP P Tracking Table'!$AF77,'Performance Curves'!$D$1:$L$1,1))+1,FALSE)),"")</f>
        <v>0.44395389944769686</v>
      </c>
      <c r="AJ77" s="104">
        <f>IFERROR('BMP P Tracking Table'!$AI77*'BMP P Tracking Table'!$AE77,"")</f>
        <v>0.82170539340975324</v>
      </c>
      <c r="AK77" s="65"/>
      <c r="AL77" s="98" t="s">
        <v>62</v>
      </c>
      <c r="AM77" s="98"/>
      <c r="AN77" s="64">
        <v>1</v>
      </c>
      <c r="AO77" s="102">
        <f t="shared" si="5"/>
        <v>0.82170539340975324</v>
      </c>
      <c r="AP77" s="98"/>
      <c r="AQ77" s="98"/>
      <c r="AR77" s="98"/>
      <c r="AS77" s="98"/>
      <c r="AT77" s="98"/>
      <c r="AU77" s="98"/>
      <c r="AV77" s="98"/>
      <c r="AW77" s="65"/>
      <c r="AX77" s="99"/>
      <c r="AY77" s="99"/>
      <c r="AZ77" s="104" t="str">
        <f>IF('BMP P Tracking Table'!$AL77="Yes",IF('BMP P Tracking Table'!$AM77="No",'BMP P Tracking Table'!$V77*VLOOKUP('BMP P Tracking Table'!$R77,'Loading Rates'!$B$1:$L$24,4,FALSE)+IF('BMP P Tracking Table'!$W77="By HSG",'BMP P Tracking Table'!$X77*VLOOKUP('BMP P Tracking Table'!$R77,'Loading Rates'!$B$1:$L$24,6,FALSE)+'BMP P Tracking Table'!$Y77*VLOOKUP('BMP P Tracking Table'!$R77,'Loading Rates'!$B$1:$L$24,7,FALSE)+'BMP P Tracking Table'!$Z77*VLOOKUP('BMP P Tracking Table'!$R77,'Loading Rates'!$B$1:$L$24,8,FALSE)+'BMP P Tracking Table'!$AA77*VLOOKUP('BMP P Tracking Table'!$R77,'Loading Rates'!$B$1:$L$24,9,FALSE),'BMP P Tracking Table'!$AB77*VLOOKUP('BMP P Tracking Table'!$R77,'Loading Rates'!$B$1:$L$24,10,FALSE)),'BMP P Tracking Table'!$AP77*VLOOKUP('BMP P Tracking Table'!$R77,'Loading Rates'!$B$1:$L$24,4,FALSE)+IF('BMP P Tracking Table'!$AQ77="By HSG",'BMP P Tracking Table'!$AR77*VLOOKUP('BMP P Tracking Table'!$R77,'Loading Rates'!$B$1:$L$24,6,FALSE)+'BMP P Tracking Table'!$AS77*VLOOKUP('BMP P Tracking Table'!$R77,'Loading Rates'!$B$1:$L$24,7,FALSE)+'BMP P Tracking Table'!$AT77*VLOOKUP('BMP P Tracking Table'!$R77,'Loading Rates'!$B$1:$L$24,8,FALSE)+'BMP P Tracking Table'!$AU77*VLOOKUP('BMP P Tracking Table'!$R77,'Loading Rates'!$B$1:$L$24,9,FALSE),'BMP P Tracking Table'!$AV77*VLOOKUP('BMP P Tracking Table'!$R77,'Loading Rates'!$B$1:$L$24,10,FALSE))),"")</f>
        <v/>
      </c>
      <c r="BA77" s="104">
        <f>IFERROR(IF('BMP P Tracking Table'!$AM77="Yes",MIN(2,IF('BMP P Tracking Table'!$AQ77="Total Pervious",(-(3630*'BMP P Tracking Table'!$AP77+20.691*'BMP P Tracking Table'!$AV77)+SQRT((3630*'BMP P Tracking Table'!$AP77+20.691*'BMP P Tracking Table'!$AV77)^2-(4*(996.798*'BMP P Tracking Table'!$AV77)*-'BMP P Tracking Table'!$AX77)))/(2*(996.798*'BMP P Tracking Table'!$AV77)),IF(SUM('BMP P Tracking Table'!$AR77:$AU77)=0,'BMP P Tracking Table'!$AV77/(-3630*'BMP P Tracking Table'!$AP77),(-(3630*'BMP P Tracking Table'!$AP77+20.691*'BMP P Tracking Table'!$AU77-216.711*'BMP P Tracking Table'!$AT77-83.853*'BMP P Tracking Table'!$AS77-42.834*'BMP P Tracking Table'!$AR77)+SQRT((3630*'BMP P Tracking Table'!$AP77+20.691*'BMP P Tracking Table'!$AU77-216.711*'BMP P Tracking Table'!$AT77-83.853*'BMP P Tracking Table'!$AS77-42.834*'BMP P Tracking Table'!$AR77)^2-(4*(149.919*'BMP P Tracking Table'!$AR77+236.676*'BMP P Tracking Table'!$AS77+726*'BMP P Tracking Table'!$AT77+996.798*'BMP P Tracking Table'!$AU77)*-'BMP P Tracking Table'!$AX77)))/(2*(149.919*'BMP P Tracking Table'!$AR77+236.676*'BMP P Tracking Table'!$AS77+726*'BMP P Tracking Table'!$AT77+996.798*'BMP P Tracking Table'!$AU77))))),MIN(2,IF('BMP P Tracking Table'!$AQ77="Total Pervious",(-(3630*'BMP P Tracking Table'!$V77+20.691*'BMP P Tracking Table'!$AB77)+SQRT((3630*'BMP P Tracking Table'!$V77+20.691*'BMP P Tracking Table'!$AB77)^2-(4*(996.798*'BMP P Tracking Table'!$AB77)*-'BMP P Tracking Table'!$AX77)))/(2*(996.798*'BMP P Tracking Table'!$AB77)),IF(SUM('BMP P Tracking Table'!$X77:$AA77)=0,'BMP P Tracking Table'!$AX77/(-3630*'BMP P Tracking Table'!$V77),(-(3630*'BMP P Tracking Table'!$V77+20.691*'BMP P Tracking Table'!$AA77-216.711*'BMP P Tracking Table'!$Z77-83.853*'BMP P Tracking Table'!$Y77-42.834*'BMP P Tracking Table'!$X77)+SQRT((3630*'BMP P Tracking Table'!$V77+20.691*'BMP P Tracking Table'!$AA77-216.711*'BMP P Tracking Table'!$Z77-83.853*'BMP P Tracking Table'!$Y77-42.834*'BMP P Tracking Table'!$X77)^2-(4*(149.919*'BMP P Tracking Table'!$X77+236.676*'BMP P Tracking Table'!$Y77+726*'BMP P Tracking Table'!$Z77+996.798*'BMP P Tracking Table'!$AA77)*-'BMP P Tracking Table'!$AX77)))/(2*(149.919*'BMP P Tracking Table'!$X77+236.676*'BMP P Tracking Table'!$Y77+726*'BMP P Tracking Table'!$Z77+996.798*'BMP P Tracking Table'!$AA77)))))),"")</f>
        <v>0</v>
      </c>
      <c r="BB77" s="102" t="str">
        <f>IFERROR((VLOOKUP(CONCATENATE('BMP P Tracking Table'!$AW77," ",'BMP P Tracking Table'!$AY77),'Performance Curves'!$C$1:$L$46,_xlfn.SINGLE(MATCH('BMP P Tracking Table'!$BA77,'Performance Curves'!$D$1:$L$1,1))+2,FALSE)-VLOOKUP(CONCATENATE('BMP P Tracking Table'!$AW77," ",'BMP P Tracking Table'!$AY77),'Performance Curves'!$C$1:$L$46,_xlfn.SINGLE(MATCH('BMP P Tracking Table'!$BA77,'Performance Curves'!$D$1:$L$1,1))+1,FALSE)),"")</f>
        <v/>
      </c>
      <c r="BC77" s="102">
        <f>IFERROR(('BMP P Tracking Table'!$BA77-INDEX('Performance Curves'!$D$1:$L$1,1,MATCH('BMP P Tracking Table'!$BA77,'Performance Curves'!$D$1:$L$1,1)))/(INDEX('Performance Curves'!$D$1:$L$1,1,MATCH('BMP P Tracking Table'!$BA77,'Performance Curves'!$D$1:$L$1,1)+1)-INDEX('Performance Curves'!$D$1:$L$1,1,MATCH('BMP P Tracking Table'!$BA77,'Performance Curves'!$D$1:$L$1,1))),"")</f>
        <v>0</v>
      </c>
      <c r="BD77" s="103" t="str" cm="1">
        <f t="array" ref="BD77">IFERROR(IF('BMP P Tracking Table'!$BA77=2,VLOOKUP(CONCATENATE('BMP P Tracking Table'!$AW77," ",'BMP P Tracking Table'!$AY77),'Performance Curves'!$C$1:$L$44,_xlfn.SINGLE(MATCH('BMP P Tracking Table'!$BA77,'Performance Curves'!$D$1:$L$1,1))+1,FALSE),'BMP P Tracking Table'!$BB77*'BMP P Tracking Table'!$BC77+VLOOKUP(CONCATENATE('BMP P Tracking Table'!$AW77," ",'BMP P Tracking Table'!$AY77),'Performance Curves'!$C$1:$L$44,_xlfn.SINGLE(MATCH('BMP P Tracking Table'!$BA77,'Performance Curves'!$D$1:$L$1,1))+1,FALSE)),"")</f>
        <v/>
      </c>
      <c r="BE77" s="104" t="str">
        <f>IFERROR('BMP P Tracking Table'!$BD77*'BMP P Tracking Table'!$AZ77,"")</f>
        <v/>
      </c>
      <c r="BF77" s="98"/>
      <c r="BG77" s="37">
        <f t="shared" si="6"/>
        <v>0</v>
      </c>
      <c r="BI77" s="36" t="str">
        <f t="shared" si="7"/>
        <v>7025.9014.ARA</v>
      </c>
      <c r="BJ77" s="36" t="str">
        <f t="shared" si="8"/>
        <v>Essex Police Station</v>
      </c>
      <c r="BS77" s="36"/>
    </row>
    <row r="78" spans="1:74">
      <c r="B78" s="65" t="s">
        <v>729</v>
      </c>
      <c r="C78" s="65" t="s">
        <v>654</v>
      </c>
      <c r="D78" s="65" t="s">
        <v>325</v>
      </c>
      <c r="E78" s="65" t="s">
        <v>10</v>
      </c>
      <c r="F78" s="94"/>
      <c r="G78" s="94"/>
      <c r="H78" s="65"/>
      <c r="I78" s="65"/>
      <c r="J78" s="65" t="s">
        <v>66</v>
      </c>
      <c r="K78" s="95">
        <f>ROUNDUP((VLOOKUP($U78,Dropdowns!$G$3:$I$17, 3, FALSE))*$AC78,-2)</f>
        <v>49300</v>
      </c>
      <c r="L78" s="65" t="s">
        <v>49</v>
      </c>
      <c r="M78" s="65"/>
      <c r="N78" s="65"/>
      <c r="O78" s="65"/>
      <c r="P78" s="65"/>
      <c r="Q78" s="65" t="s">
        <v>119</v>
      </c>
      <c r="R78" s="65" t="s">
        <v>146</v>
      </c>
      <c r="S78" s="65" t="str">
        <f>IFERROR(VLOOKUP('BMP P Tracking Table'!$R78,Dropdowns!$Q$3:$R$23,2,FALSE),"")</f>
        <v>Main Lake</v>
      </c>
      <c r="T78" s="65" t="s">
        <v>66</v>
      </c>
      <c r="U78" s="65" t="s">
        <v>163</v>
      </c>
      <c r="V78" s="65">
        <v>0.6</v>
      </c>
      <c r="W78" s="65" t="s">
        <v>220</v>
      </c>
      <c r="X78" s="65">
        <v>0</v>
      </c>
      <c r="Y78" s="65">
        <v>0.86</v>
      </c>
      <c r="Z78" s="65">
        <v>0</v>
      </c>
      <c r="AA78" s="65">
        <v>0.26</v>
      </c>
      <c r="AB78" s="65"/>
      <c r="AC78" s="97">
        <f>((1*(0.05+0.009*((V78/(V78+SUM(X78:AA78))*100))*(V78+SUM(X78:AA78)))/12)*43560)</f>
        <v>2141.6999999999998</v>
      </c>
      <c r="AD78" s="65"/>
      <c r="AE78" s="104">
        <f>IFERROR('BMP P Tracking Table'!$V78*VLOOKUP('BMP P Tracking Table'!$R78,'Loading Rates'!$B$1:$L$24,4,FALSE)+IF('BMP P Tracking Table'!$W78="By HSG",'BMP P Tracking Table'!$X78*VLOOKUP('BMP P Tracking Table'!$R78,'Loading Rates'!$B$1:$L$24,6,FALSE)+'BMP P Tracking Table'!$Y78*VLOOKUP('BMP P Tracking Table'!$R78,'Loading Rates'!$B$1:$L$24,7,FALSE)+'BMP P Tracking Table'!$Z78*VLOOKUP('BMP P Tracking Table'!$R78,'Loading Rates'!$B$1:$L$24,8,FALSE)+'BMP P Tracking Table'!$AA78*VLOOKUP('BMP P Tracking Table'!$R78,'Loading Rates'!$B$1:$L$24,9,FALSE),'BMP P Tracking Table'!$AB78*VLOOKUP('BMP P Tracking Table'!$R78,'Loading Rates'!$B$1:$L$24,10,FALSE)),"")</f>
        <v>1.01006</v>
      </c>
      <c r="AF78" s="104">
        <f>IFERROR(MIN(2,IF('BMP P Tracking Table'!$W78="Total Pervious",(-(3630*'BMP P Tracking Table'!$V78+20.691*'BMP P Tracking Table'!$AB78)+SQRT((3630*'BMP P Tracking Table'!$V78+20.691*'BMP P Tracking Table'!$AB78)^2-(4*(996.798*'BMP P Tracking Table'!$AB78)*-'BMP P Tracking Table'!$AC78)))/(2*(996.798*'BMP P Tracking Table'!$AB78)),IF(SUM('BMP P Tracking Table'!$X78:$AA78)=0,'BMP P Tracking Table'!$AC78/(-3630*'BMP P Tracking Table'!$V78),(-(3630*'BMP P Tracking Table'!$V78+20.691*'BMP P Tracking Table'!$AA78-216.711*'BMP P Tracking Table'!$Z78-83.853*'BMP P Tracking Table'!$Y78-42.834*'BMP P Tracking Table'!$X78)+SQRT((3630*'BMP P Tracking Table'!$V78+20.691*'BMP P Tracking Table'!$AA78-216.711*'BMP P Tracking Table'!$Z78-83.853*'BMP P Tracking Table'!$Y78-42.834*'BMP P Tracking Table'!$X78)^2-(4*(149.919*'BMP P Tracking Table'!$X78+236.676*'BMP P Tracking Table'!$Y78+726*'BMP P Tracking Table'!$Z78+996.798*'BMP P Tracking Table'!$AA78)*-'BMP P Tracking Table'!$AC78)))/(2*(149.919*'BMP P Tracking Table'!$X78+236.676*'BMP P Tracking Table'!$Y78+726*'BMP P Tracking Table'!$Z78+996.798*'BMP P Tracking Table'!$AA78))))),"")</f>
        <v>0.85441967785154793</v>
      </c>
      <c r="AG78" s="104">
        <f>IFERROR((VLOOKUP(CONCATENATE('BMP P Tracking Table'!$U78," ",'BMP P Tracking Table'!$AD78),'Performance Curves'!$C$1:$L$46,_xlfn.SINGLE(MATCH('BMP P Tracking Table'!$AF78,'Performance Curves'!$D$1:$L$1,1))+2,FALSE)-VLOOKUP(CONCATENATE('BMP P Tracking Table'!$U78," ",'BMP P Tracking Table'!$AD78),'Performance Curves'!$C$1:$L$46,_xlfn.SINGLE(MATCH('BMP P Tracking Table'!$AF78,'Performance Curves'!$D$1:$L$1,1))+1,FALSE)),"")</f>
        <v>5.0000000000000044E-2</v>
      </c>
      <c r="AH78" s="104">
        <f>IFERROR(('BMP P Tracking Table'!$AF78-INDEX('Performance Curves'!$D$1:$L$1,1,MATCH('BMP P Tracking Table'!$AF78,'Performance Curves'!$D$1:$L$1,1)))/(INDEX('Performance Curves'!$D$1:$L$1,1,MATCH('BMP P Tracking Table'!$AF78,'Performance Curves'!$D$1:$L$1,1)+1)-INDEX('Performance Curves'!$D$1:$L$1,1,MATCH('BMP P Tracking Table'!$AF78,'Performance Curves'!$D$1:$L$1,1))),"")</f>
        <v>0.27209838925773949</v>
      </c>
      <c r="AI78" s="103">
        <f>IFERROR(IF('BMP P Tracking Table'!$AF78=2,VLOOKUP(CONCATENATE('BMP P Tracking Table'!$U78," ",'BMP P Tracking Table'!$AD78),'Performance Curves'!$C$1:$L$46,_xlfn.SINGLE(MATCH('BMP P Tracking Table'!$AF78,'Performance Curves'!$D$1:$L$1,1))+1,FALSE),'BMP P Tracking Table'!$AG78*'BMP P Tracking Table'!$AH78+VLOOKUP(CONCATENATE('BMP P Tracking Table'!$U78," ",'BMP P Tracking Table'!$AD78),'Performance Curves'!$C$1:$L$46,_xlfn.SINGLE(MATCH('BMP P Tracking Table'!$AF78,'Performance Curves'!$D$1:$L$1,1))+1,FALSE)),"")</f>
        <v>0.49360491946288698</v>
      </c>
      <c r="AJ78" s="104">
        <f>IFERROR('BMP P Tracking Table'!$AI78*'BMP P Tracking Table'!$AE78,"")</f>
        <v>0.49857058495268358</v>
      </c>
      <c r="AK78" s="65"/>
      <c r="AL78" s="98"/>
      <c r="AM78" s="98"/>
      <c r="AN78" s="64">
        <v>1</v>
      </c>
      <c r="AO78" s="102">
        <f t="shared" si="5"/>
        <v>0.49857058495268358</v>
      </c>
      <c r="AP78" s="98"/>
      <c r="AQ78" s="98"/>
      <c r="AR78" s="98"/>
      <c r="AS78" s="98"/>
      <c r="AT78" s="98"/>
      <c r="AU78" s="98"/>
      <c r="AV78" s="98"/>
      <c r="AW78" s="65"/>
      <c r="AX78" s="99"/>
      <c r="AY78" s="99"/>
      <c r="AZ78" s="104" t="str">
        <f>IF('BMP P Tracking Table'!$AL78="Yes",IF('BMP P Tracking Table'!$AM78="No",'BMP P Tracking Table'!$V78*VLOOKUP('BMP P Tracking Table'!$R78,'Loading Rates'!$B$1:$L$24,4,FALSE)+IF('BMP P Tracking Table'!$W78="By HSG",'BMP P Tracking Table'!$X78*VLOOKUP('BMP P Tracking Table'!$R78,'Loading Rates'!$B$1:$L$24,6,FALSE)+'BMP P Tracking Table'!$Y78*VLOOKUP('BMP P Tracking Table'!$R78,'Loading Rates'!$B$1:$L$24,7,FALSE)+'BMP P Tracking Table'!$Z78*VLOOKUP('BMP P Tracking Table'!$R78,'Loading Rates'!$B$1:$L$24,8,FALSE)+'BMP P Tracking Table'!$AA78*VLOOKUP('BMP P Tracking Table'!$R78,'Loading Rates'!$B$1:$L$24,9,FALSE),'BMP P Tracking Table'!$AB78*VLOOKUP('BMP P Tracking Table'!$R78,'Loading Rates'!$B$1:$L$24,10,FALSE)),'BMP P Tracking Table'!$AP78*VLOOKUP('BMP P Tracking Table'!$R78,'Loading Rates'!$B$1:$L$24,4,FALSE)+IF('BMP P Tracking Table'!$AQ78="By HSG",'BMP P Tracking Table'!$AR78*VLOOKUP('BMP P Tracking Table'!$R78,'Loading Rates'!$B$1:$L$24,6,FALSE)+'BMP P Tracking Table'!$AS78*VLOOKUP('BMP P Tracking Table'!$R78,'Loading Rates'!$B$1:$L$24,7,FALSE)+'BMP P Tracking Table'!$AT78*VLOOKUP('BMP P Tracking Table'!$R78,'Loading Rates'!$B$1:$L$24,8,FALSE)+'BMP P Tracking Table'!$AU78*VLOOKUP('BMP P Tracking Table'!$R78,'Loading Rates'!$B$1:$L$24,9,FALSE),'BMP P Tracking Table'!$AV78*VLOOKUP('BMP P Tracking Table'!$R78,'Loading Rates'!$B$1:$L$24,10,FALSE))),"")</f>
        <v/>
      </c>
      <c r="BA78" s="104">
        <f>IFERROR(IF('BMP P Tracking Table'!$AM78="Yes",MIN(2,IF('BMP P Tracking Table'!$AQ78="Total Pervious",(-(3630*'BMP P Tracking Table'!$AP78+20.691*'BMP P Tracking Table'!$AV78)+SQRT((3630*'BMP P Tracking Table'!$AP78+20.691*'BMP P Tracking Table'!$AV78)^2-(4*(996.798*'BMP P Tracking Table'!$AV78)*-'BMP P Tracking Table'!$AX78)))/(2*(996.798*'BMP P Tracking Table'!$AV78)),IF(SUM('BMP P Tracking Table'!$AR78:$AU78)=0,'BMP P Tracking Table'!$AV78/(-3630*'BMP P Tracking Table'!$AP78),(-(3630*'BMP P Tracking Table'!$AP78+20.691*'BMP P Tracking Table'!$AU78-216.711*'BMP P Tracking Table'!$AT78-83.853*'BMP P Tracking Table'!$AS78-42.834*'BMP P Tracking Table'!$AR78)+SQRT((3630*'BMP P Tracking Table'!$AP78+20.691*'BMP P Tracking Table'!$AU78-216.711*'BMP P Tracking Table'!$AT78-83.853*'BMP P Tracking Table'!$AS78-42.834*'BMP P Tracking Table'!$AR78)^2-(4*(149.919*'BMP P Tracking Table'!$AR78+236.676*'BMP P Tracking Table'!$AS78+726*'BMP P Tracking Table'!$AT78+996.798*'BMP P Tracking Table'!$AU78)*-'BMP P Tracking Table'!$AX78)))/(2*(149.919*'BMP P Tracking Table'!$AR78+236.676*'BMP P Tracking Table'!$AS78+726*'BMP P Tracking Table'!$AT78+996.798*'BMP P Tracking Table'!$AU78))))),MIN(2,IF('BMP P Tracking Table'!$AQ78="Total Pervious",(-(3630*'BMP P Tracking Table'!$V78+20.691*'BMP P Tracking Table'!$AB78)+SQRT((3630*'BMP P Tracking Table'!$V78+20.691*'BMP P Tracking Table'!$AB78)^2-(4*(996.798*'BMP P Tracking Table'!$AB78)*-'BMP P Tracking Table'!$AX78)))/(2*(996.798*'BMP P Tracking Table'!$AB78)),IF(SUM('BMP P Tracking Table'!$X78:$AA78)=0,'BMP P Tracking Table'!$AX78/(-3630*'BMP P Tracking Table'!$V78),(-(3630*'BMP P Tracking Table'!$V78+20.691*'BMP P Tracking Table'!$AA78-216.711*'BMP P Tracking Table'!$Z78-83.853*'BMP P Tracking Table'!$Y78-42.834*'BMP P Tracking Table'!$X78)+SQRT((3630*'BMP P Tracking Table'!$V78+20.691*'BMP P Tracking Table'!$AA78-216.711*'BMP P Tracking Table'!$Z78-83.853*'BMP P Tracking Table'!$Y78-42.834*'BMP P Tracking Table'!$X78)^2-(4*(149.919*'BMP P Tracking Table'!$X78+236.676*'BMP P Tracking Table'!$Y78+726*'BMP P Tracking Table'!$Z78+996.798*'BMP P Tracking Table'!$AA78)*-'BMP P Tracking Table'!$AX78)))/(2*(149.919*'BMP P Tracking Table'!$X78+236.676*'BMP P Tracking Table'!$Y78+726*'BMP P Tracking Table'!$Z78+996.798*'BMP P Tracking Table'!$AA78)))))),"")</f>
        <v>0</v>
      </c>
      <c r="BB78" s="102" t="str">
        <f>IFERROR((VLOOKUP(CONCATENATE('BMP P Tracking Table'!$AW78," ",'BMP P Tracking Table'!$AY78),'Performance Curves'!$C$1:$L$46,_xlfn.SINGLE(MATCH('BMP P Tracking Table'!$BA78,'Performance Curves'!$D$1:$L$1,1))+2,FALSE)-VLOOKUP(CONCATENATE('BMP P Tracking Table'!$AW78," ",'BMP P Tracking Table'!$AY78),'Performance Curves'!$C$1:$L$46,_xlfn.SINGLE(MATCH('BMP P Tracking Table'!$BA78,'Performance Curves'!$D$1:$L$1,1))+1,FALSE)),"")</f>
        <v/>
      </c>
      <c r="BC78" s="102">
        <f>IFERROR(('BMP P Tracking Table'!$BA78-INDEX('Performance Curves'!$D$1:$L$1,1,MATCH('BMP P Tracking Table'!$BA78,'Performance Curves'!$D$1:$L$1,1)))/(INDEX('Performance Curves'!$D$1:$L$1,1,MATCH('BMP P Tracking Table'!$BA78,'Performance Curves'!$D$1:$L$1,1)+1)-INDEX('Performance Curves'!$D$1:$L$1,1,MATCH('BMP P Tracking Table'!$BA78,'Performance Curves'!$D$1:$L$1,1))),"")</f>
        <v>0</v>
      </c>
      <c r="BD78" s="103" t="str" cm="1">
        <f t="array" ref="BD78">IFERROR(IF('BMP P Tracking Table'!$BA78=2,VLOOKUP(CONCATENATE('BMP P Tracking Table'!$AW78," ",'BMP P Tracking Table'!$AY78),'Performance Curves'!$C$1:$L$44,_xlfn.SINGLE(MATCH('BMP P Tracking Table'!$BA78,'Performance Curves'!$D$1:$L$1,1))+1,FALSE),'BMP P Tracking Table'!$BB78*'BMP P Tracking Table'!$BC78+VLOOKUP(CONCATENATE('BMP P Tracking Table'!$AW78," ",'BMP P Tracking Table'!$AY78),'Performance Curves'!$C$1:$L$44,_xlfn.SINGLE(MATCH('BMP P Tracking Table'!$BA78,'Performance Curves'!$D$1:$L$1,1))+1,FALSE)),"")</f>
        <v/>
      </c>
      <c r="BE78" s="104" t="str">
        <f>IFERROR('BMP P Tracking Table'!$BD78*'BMP P Tracking Table'!$AZ78,"")</f>
        <v/>
      </c>
      <c r="BF78" s="92"/>
      <c r="BG78" s="37">
        <f t="shared" si="6"/>
        <v>0</v>
      </c>
      <c r="BI78" s="36" t="str">
        <f t="shared" si="7"/>
        <v>EJ-WR-001</v>
      </c>
      <c r="BJ78" s="36" t="str">
        <f t="shared" si="8"/>
        <v>Maplewood Lane cul-de-sac</v>
      </c>
      <c r="BL78" s="36" t="s">
        <v>810</v>
      </c>
      <c r="BM78" s="36" t="s">
        <v>812</v>
      </c>
      <c r="BP78" s="36" t="s">
        <v>872</v>
      </c>
      <c r="BQ78" s="36">
        <f t="shared" ref="BQ78:BQ101" si="9">V78+IF(W78="By HSG",X78+Y78+Z78+AA78,AB78)</f>
        <v>1.7200000000000002</v>
      </c>
      <c r="BR78" s="36">
        <f t="shared" ref="BR78:BR101" si="10">IF(W78="By HSG",X78+Y78+Z78+AA78,AB78)</f>
        <v>1.1200000000000001</v>
      </c>
      <c r="BS78" s="101">
        <f t="shared" ref="BS78:BS101" si="11">V78/BQ78</f>
        <v>0.34883720930232553</v>
      </c>
      <c r="BT78" s="238">
        <f t="shared" ref="BT78:BT101" si="12">K78/V78</f>
        <v>82166.666666666672</v>
      </c>
      <c r="BU78" s="238">
        <f t="shared" ref="BU78:BU101" si="13">K78/AO78</f>
        <v>98882.688806598511</v>
      </c>
    </row>
    <row r="79" spans="1:74">
      <c r="A79" s="36" t="s">
        <v>381</v>
      </c>
      <c r="B79" s="65" t="s">
        <v>381</v>
      </c>
      <c r="C79" s="65" t="s">
        <v>711</v>
      </c>
      <c r="D79" s="65" t="s">
        <v>327</v>
      </c>
      <c r="E79" s="65" t="s">
        <v>9</v>
      </c>
      <c r="F79" s="94"/>
      <c r="G79" s="94"/>
      <c r="H79" s="65" t="s">
        <v>381</v>
      </c>
      <c r="I79" s="65"/>
      <c r="J79" s="65" t="s">
        <v>66</v>
      </c>
      <c r="K79" s="95">
        <v>2500</v>
      </c>
      <c r="L79" s="65" t="s">
        <v>49</v>
      </c>
      <c r="M79" s="65"/>
      <c r="N79" s="65"/>
      <c r="O79" s="65"/>
      <c r="P79" s="65"/>
      <c r="Q79" s="65" t="s">
        <v>119</v>
      </c>
      <c r="R79" s="65" t="s">
        <v>146</v>
      </c>
      <c r="S79" s="65" t="str">
        <f>IFERROR(VLOOKUP('BMP P Tracking Table'!$R79,Dropdowns!$Q$3:$R$23,2,FALSE),"")</f>
        <v>Main Lake</v>
      </c>
      <c r="T79" s="65" t="s">
        <v>66</v>
      </c>
      <c r="U79" s="65" t="s">
        <v>570</v>
      </c>
      <c r="V79" s="65">
        <v>0.28000000000000003</v>
      </c>
      <c r="W79" s="65" t="s">
        <v>219</v>
      </c>
      <c r="X79" s="65">
        <v>0.28000000000000003</v>
      </c>
      <c r="Y79" s="65">
        <v>0</v>
      </c>
      <c r="Z79" s="65">
        <v>0</v>
      </c>
      <c r="AA79" s="65">
        <v>0</v>
      </c>
      <c r="AB79" s="65">
        <v>0</v>
      </c>
      <c r="AC79" s="97"/>
      <c r="AD79" s="65" t="s">
        <v>206</v>
      </c>
      <c r="AE79" s="104">
        <f>IFERROR('BMP P Tracking Table'!$V79*VLOOKUP('BMP P Tracking Table'!$R79,'Loading Rates'!$B$1:$L$24,4,FALSE)+IF('BMP P Tracking Table'!$W79="By HSG",'BMP P Tracking Table'!$X79*VLOOKUP('BMP P Tracking Table'!$R79,'Loading Rates'!$B$1:$L$24,6,FALSE)+'BMP P Tracking Table'!$Y79*VLOOKUP('BMP P Tracking Table'!$R79,'Loading Rates'!$B$1:$L$24,7,FALSE)+'BMP P Tracking Table'!$Z79*VLOOKUP('BMP P Tracking Table'!$R79,'Loading Rates'!$B$1:$L$24,8,FALSE)+'BMP P Tracking Table'!$AA79*VLOOKUP('BMP P Tracking Table'!$R79,'Loading Rates'!$B$1:$L$24,9,FALSE),'BMP P Tracking Table'!$AB79*VLOOKUP('BMP P Tracking Table'!$R79,'Loading Rates'!$B$1:$L$24,10,FALSE)),"")</f>
        <v>0.31276000000000004</v>
      </c>
      <c r="AF79" s="104" t="str">
        <f>IFERROR(MIN(2,IF('BMP P Tracking Table'!$W79="Total Pervious",(-(3630*'BMP P Tracking Table'!$V79+20.691*'BMP P Tracking Table'!$AB79)+SQRT((3630*'BMP P Tracking Table'!$V79+20.691*'BMP P Tracking Table'!$AB79)^2-(4*(996.798*'BMP P Tracking Table'!$AB79)*-'BMP P Tracking Table'!$AC79)))/(2*(996.798*'BMP P Tracking Table'!$AB79)),IF(SUM('BMP P Tracking Table'!$X79:$AA79)=0,'BMP P Tracking Table'!$AC79/(-3630*'BMP P Tracking Table'!$V79),(-(3630*'BMP P Tracking Table'!$V79+20.691*'BMP P Tracking Table'!$AA79-216.711*'BMP P Tracking Table'!$Z79-83.853*'BMP P Tracking Table'!$Y79-42.834*'BMP P Tracking Table'!$X79)+SQRT((3630*'BMP P Tracking Table'!$V79+20.691*'BMP P Tracking Table'!$AA79-216.711*'BMP P Tracking Table'!$Z79-83.853*'BMP P Tracking Table'!$Y79-42.834*'BMP P Tracking Table'!$X79)^2-(4*(149.919*'BMP P Tracking Table'!$X79+236.676*'BMP P Tracking Table'!$Y79+726*'BMP P Tracking Table'!$Z79+996.798*'BMP P Tracking Table'!$AA79)*-'BMP P Tracking Table'!$AC79)))/(2*(149.919*'BMP P Tracking Table'!$X79+236.676*'BMP P Tracking Table'!$Y79+726*'BMP P Tracking Table'!$Z79+996.798*'BMP P Tracking Table'!$AA79))))),"")</f>
        <v/>
      </c>
      <c r="AG79" s="104" t="str">
        <f>IFERROR((VLOOKUP(CONCATENATE('BMP P Tracking Table'!$U79," ",'BMP P Tracking Table'!$AD79),'Performance Curves'!$C$1:$L$46,_xlfn.SINGLE(MATCH('BMP P Tracking Table'!$AF79,'Performance Curves'!$D$1:$L$1,1))+2,FALSE)-VLOOKUP(CONCATENATE('BMP P Tracking Table'!$U79," ",'BMP P Tracking Table'!$AD79),'Performance Curves'!$C$1:$L$46,_xlfn.SINGLE(MATCH('BMP P Tracking Table'!$AF79,'Performance Curves'!$D$1:$L$1,1))+1,FALSE)),"")</f>
        <v/>
      </c>
      <c r="AH79" s="104" t="str">
        <f>IFERROR(('BMP P Tracking Table'!$AF79-INDEX('Performance Curves'!$D$1:$L$1,1,MATCH('BMP P Tracking Table'!$AF79,'Performance Curves'!$D$1:$L$1,1)))/(INDEX('Performance Curves'!$D$1:$L$1,1,MATCH('BMP P Tracking Table'!$AF79,'Performance Curves'!$D$1:$L$1,1)+1)-INDEX('Performance Curves'!$D$1:$L$1,1,MATCH('BMP P Tracking Table'!$AF79,'Performance Curves'!$D$1:$L$1,1))),"")</f>
        <v/>
      </c>
      <c r="AI79" s="103" t="str">
        <f>IFERROR(IF('BMP P Tracking Table'!$AF79=2,VLOOKUP(CONCATENATE('BMP P Tracking Table'!$U79," ",'BMP P Tracking Table'!$AD79),'Performance Curves'!$C$1:$L$46,_xlfn.SINGLE(MATCH('BMP P Tracking Table'!$AF79,'Performance Curves'!$D$1:$L$1,1))+1,FALSE),'BMP P Tracking Table'!$AG79*'BMP P Tracking Table'!$AH79+VLOOKUP(CONCATENATE('BMP P Tracking Table'!$U79," ",'BMP P Tracking Table'!$AD79),'Performance Curves'!$C$1:$L$46,_xlfn.SINGLE(MATCH('BMP P Tracking Table'!$AF79,'Performance Curves'!$D$1:$L$1,1))+1,FALSE)),"")</f>
        <v/>
      </c>
      <c r="AJ79" s="104" t="str">
        <f>IFERROR('BMP P Tracking Table'!$AI79*'BMP P Tracking Table'!$AE79,"")</f>
        <v/>
      </c>
      <c r="AK79" s="65">
        <v>0.3</v>
      </c>
      <c r="AL79" s="98" t="s">
        <v>62</v>
      </c>
      <c r="AM79" s="98"/>
      <c r="AN79" s="64">
        <v>1</v>
      </c>
      <c r="AO79" s="102">
        <f t="shared" si="5"/>
        <v>0.3</v>
      </c>
      <c r="AP79" s="98"/>
      <c r="AQ79" s="98"/>
      <c r="AR79" s="98"/>
      <c r="AS79" s="98"/>
      <c r="AT79" s="98"/>
      <c r="AU79" s="98"/>
      <c r="AV79" s="98"/>
      <c r="AW79" s="65"/>
      <c r="AX79" s="99"/>
      <c r="AY79" s="99"/>
      <c r="AZ79" s="104" t="str">
        <f>IF('BMP P Tracking Table'!$AL79="Yes",IF('BMP P Tracking Table'!$AM79="No",'BMP P Tracking Table'!$V79*VLOOKUP('BMP P Tracking Table'!$R79,'Loading Rates'!$B$1:$L$24,4,FALSE)+IF('BMP P Tracking Table'!$W79="By HSG",'BMP P Tracking Table'!$X79*VLOOKUP('BMP P Tracking Table'!$R79,'Loading Rates'!$B$1:$L$24,6,FALSE)+'BMP P Tracking Table'!$Y79*VLOOKUP('BMP P Tracking Table'!$R79,'Loading Rates'!$B$1:$L$24,7,FALSE)+'BMP P Tracking Table'!$Z79*VLOOKUP('BMP P Tracking Table'!$R79,'Loading Rates'!$B$1:$L$24,8,FALSE)+'BMP P Tracking Table'!$AA79*VLOOKUP('BMP P Tracking Table'!$R79,'Loading Rates'!$B$1:$L$24,9,FALSE),'BMP P Tracking Table'!$AB79*VLOOKUP('BMP P Tracking Table'!$R79,'Loading Rates'!$B$1:$L$24,10,FALSE)),'BMP P Tracking Table'!$AP79*VLOOKUP('BMP P Tracking Table'!$R79,'Loading Rates'!$B$1:$L$24,4,FALSE)+IF('BMP P Tracking Table'!$AQ79="By HSG",'BMP P Tracking Table'!$AR79*VLOOKUP('BMP P Tracking Table'!$R79,'Loading Rates'!$B$1:$L$24,6,FALSE)+'BMP P Tracking Table'!$AS79*VLOOKUP('BMP P Tracking Table'!$R79,'Loading Rates'!$B$1:$L$24,7,FALSE)+'BMP P Tracking Table'!$AT79*VLOOKUP('BMP P Tracking Table'!$R79,'Loading Rates'!$B$1:$L$24,8,FALSE)+'BMP P Tracking Table'!$AU79*VLOOKUP('BMP P Tracking Table'!$R79,'Loading Rates'!$B$1:$L$24,9,FALSE),'BMP P Tracking Table'!$AV79*VLOOKUP('BMP P Tracking Table'!$R79,'Loading Rates'!$B$1:$L$24,10,FALSE))),"")</f>
        <v/>
      </c>
      <c r="BA79" s="104">
        <f>IFERROR(IF('BMP P Tracking Table'!$AM79="Yes",MIN(2,IF('BMP P Tracking Table'!$AQ79="Total Pervious",(-(3630*'BMP P Tracking Table'!$AP79+20.691*'BMP P Tracking Table'!$AV79)+SQRT((3630*'BMP P Tracking Table'!$AP79+20.691*'BMP P Tracking Table'!$AV79)^2-(4*(996.798*'BMP P Tracking Table'!$AV79)*-'BMP P Tracking Table'!$AX79)))/(2*(996.798*'BMP P Tracking Table'!$AV79)),IF(SUM('BMP P Tracking Table'!$AR79:$AU79)=0,'BMP P Tracking Table'!$AV79/(-3630*'BMP P Tracking Table'!$AP79),(-(3630*'BMP P Tracking Table'!$AP79+20.691*'BMP P Tracking Table'!$AU79-216.711*'BMP P Tracking Table'!$AT79-83.853*'BMP P Tracking Table'!$AS79-42.834*'BMP P Tracking Table'!$AR79)+SQRT((3630*'BMP P Tracking Table'!$AP79+20.691*'BMP P Tracking Table'!$AU79-216.711*'BMP P Tracking Table'!$AT79-83.853*'BMP P Tracking Table'!$AS79-42.834*'BMP P Tracking Table'!$AR79)^2-(4*(149.919*'BMP P Tracking Table'!$AR79+236.676*'BMP P Tracking Table'!$AS79+726*'BMP P Tracking Table'!$AT79+996.798*'BMP P Tracking Table'!$AU79)*-'BMP P Tracking Table'!$AX79)))/(2*(149.919*'BMP P Tracking Table'!$AR79+236.676*'BMP P Tracking Table'!$AS79+726*'BMP P Tracking Table'!$AT79+996.798*'BMP P Tracking Table'!$AU79))))),MIN(2,IF('BMP P Tracking Table'!$AQ79="Total Pervious",(-(3630*'BMP P Tracking Table'!$V79+20.691*'BMP P Tracking Table'!$AB79)+SQRT((3630*'BMP P Tracking Table'!$V79+20.691*'BMP P Tracking Table'!$AB79)^2-(4*(996.798*'BMP P Tracking Table'!$AB79)*-'BMP P Tracking Table'!$AX79)))/(2*(996.798*'BMP P Tracking Table'!$AB79)),IF(SUM('BMP P Tracking Table'!$X79:$AA79)=0,'BMP P Tracking Table'!$AX79/(-3630*'BMP P Tracking Table'!$V79),(-(3630*'BMP P Tracking Table'!$V79+20.691*'BMP P Tracking Table'!$AA79-216.711*'BMP P Tracking Table'!$Z79-83.853*'BMP P Tracking Table'!$Y79-42.834*'BMP P Tracking Table'!$X79)+SQRT((3630*'BMP P Tracking Table'!$V79+20.691*'BMP P Tracking Table'!$AA79-216.711*'BMP P Tracking Table'!$Z79-83.853*'BMP P Tracking Table'!$Y79-42.834*'BMP P Tracking Table'!$X79)^2-(4*(149.919*'BMP P Tracking Table'!$X79+236.676*'BMP P Tracking Table'!$Y79+726*'BMP P Tracking Table'!$Z79+996.798*'BMP P Tracking Table'!$AA79)*-'BMP P Tracking Table'!$AX79)))/(2*(149.919*'BMP P Tracking Table'!$X79+236.676*'BMP P Tracking Table'!$Y79+726*'BMP P Tracking Table'!$Z79+996.798*'BMP P Tracking Table'!$AA79)))))),"")</f>
        <v>0</v>
      </c>
      <c r="BB79" s="102" t="str">
        <f>IFERROR((VLOOKUP(CONCATENATE('BMP P Tracking Table'!$AW79," ",'BMP P Tracking Table'!$AY79),'Performance Curves'!$C$1:$L$46,_xlfn.SINGLE(MATCH('BMP P Tracking Table'!$BA79,'Performance Curves'!$D$1:$L$1,1))+2,FALSE)-VLOOKUP(CONCATENATE('BMP P Tracking Table'!$AW79," ",'BMP P Tracking Table'!$AY79),'Performance Curves'!$C$1:$L$46,_xlfn.SINGLE(MATCH('BMP P Tracking Table'!$BA79,'Performance Curves'!$D$1:$L$1,1))+1,FALSE)),"")</f>
        <v/>
      </c>
      <c r="BC79" s="102">
        <f>IFERROR(('BMP P Tracking Table'!$BA79-INDEX('Performance Curves'!$D$1:$L$1,1,MATCH('BMP P Tracking Table'!$BA79,'Performance Curves'!$D$1:$L$1,1)))/(INDEX('Performance Curves'!$D$1:$L$1,1,MATCH('BMP P Tracking Table'!$BA79,'Performance Curves'!$D$1:$L$1,1)+1)-INDEX('Performance Curves'!$D$1:$L$1,1,MATCH('BMP P Tracking Table'!$BA79,'Performance Curves'!$D$1:$L$1,1))),"")</f>
        <v>0</v>
      </c>
      <c r="BD79" s="103" t="str" cm="1">
        <f t="array" ref="BD79">IFERROR(IF('BMP P Tracking Table'!$BA79=2,VLOOKUP(CONCATENATE('BMP P Tracking Table'!$AW79," ",'BMP P Tracking Table'!$AY79),'Performance Curves'!$C$1:$L$44,_xlfn.SINGLE(MATCH('BMP P Tracking Table'!$BA79,'Performance Curves'!$D$1:$L$1,1))+1,FALSE),'BMP P Tracking Table'!$BB79*'BMP P Tracking Table'!$BC79+VLOOKUP(CONCATENATE('BMP P Tracking Table'!$AW79," ",'BMP P Tracking Table'!$AY79),'Performance Curves'!$C$1:$L$44,_xlfn.SINGLE(MATCH('BMP P Tracking Table'!$BA79,'Performance Curves'!$D$1:$L$1,1))+1,FALSE)),"")</f>
        <v/>
      </c>
      <c r="BE79" s="104" t="str">
        <f>IFERROR('BMP P Tracking Table'!$BD79*'BMP P Tracking Table'!$AZ79,"")</f>
        <v/>
      </c>
      <c r="BF79" s="98"/>
      <c r="BG79" s="37">
        <f t="shared" si="6"/>
        <v>0</v>
      </c>
      <c r="BI79" s="36" t="str">
        <f t="shared" si="7"/>
        <v>3081-9010.R</v>
      </c>
      <c r="BJ79" s="36" t="str">
        <f t="shared" si="8"/>
        <v>Perkins Bend 002 impervious removal</v>
      </c>
      <c r="BL79" s="36" t="s">
        <v>815</v>
      </c>
      <c r="BP79" s="36" t="s">
        <v>871</v>
      </c>
      <c r="BQ79" s="36">
        <f t="shared" si="9"/>
        <v>0.28000000000000003</v>
      </c>
      <c r="BR79" s="36">
        <f t="shared" si="10"/>
        <v>0</v>
      </c>
      <c r="BS79" s="101">
        <f t="shared" si="11"/>
        <v>1</v>
      </c>
      <c r="BT79" s="238">
        <f t="shared" si="12"/>
        <v>8928.5714285714275</v>
      </c>
      <c r="BU79" s="238">
        <f t="shared" si="13"/>
        <v>8333.3333333333339</v>
      </c>
    </row>
    <row r="80" spans="1:74">
      <c r="B80" s="65" t="s">
        <v>767</v>
      </c>
      <c r="C80" s="65" t="s">
        <v>665</v>
      </c>
      <c r="D80" s="65" t="s">
        <v>325</v>
      </c>
      <c r="E80" s="65" t="s">
        <v>10</v>
      </c>
      <c r="F80" s="94"/>
      <c r="G80" s="94"/>
      <c r="H80" s="65"/>
      <c r="I80" s="65"/>
      <c r="J80" s="65" t="s">
        <v>66</v>
      </c>
      <c r="K80" s="95">
        <f>ROUNDUP((VLOOKUP($U80,Dropdowns!$G$3:$I$17, 3, FALSE))*$AC80*0.3,-2)</f>
        <v>168600</v>
      </c>
      <c r="L80" s="65" t="s">
        <v>49</v>
      </c>
      <c r="M80" s="65"/>
      <c r="N80" s="65"/>
      <c r="O80" s="65"/>
      <c r="P80" s="65"/>
      <c r="Q80" s="65" t="s">
        <v>119</v>
      </c>
      <c r="R80" s="65" t="s">
        <v>146</v>
      </c>
      <c r="S80" s="65" t="str">
        <f>IFERROR(VLOOKUP('BMP P Tracking Table'!$R80,Dropdowns!$Q$3:$R$23,2,FALSE),"")</f>
        <v>Main Lake</v>
      </c>
      <c r="T80" s="65" t="s">
        <v>66</v>
      </c>
      <c r="U80" s="65" t="s">
        <v>47</v>
      </c>
      <c r="V80" s="65">
        <v>7.86</v>
      </c>
      <c r="W80" s="65" t="s">
        <v>220</v>
      </c>
      <c r="X80" s="65">
        <v>5.46</v>
      </c>
      <c r="Y80" s="65">
        <v>0</v>
      </c>
      <c r="Z80" s="65">
        <v>0</v>
      </c>
      <c r="AA80" s="65">
        <v>0</v>
      </c>
      <c r="AB80" s="65"/>
      <c r="AC80" s="97">
        <f t="shared" ref="AC80:AC89" si="14">((1*(0.05+0.009*((V80/(V80+X80))*100))*(V80+X80))/12)*43560</f>
        <v>28096.199999999997</v>
      </c>
      <c r="AD80" s="65" t="s">
        <v>205</v>
      </c>
      <c r="AE80" s="104">
        <f>IFERROR('BMP P Tracking Table'!$V80*VLOOKUP('BMP P Tracking Table'!$R80,'Loading Rates'!$B$1:$L$24,4,FALSE)+IF('BMP P Tracking Table'!$W80="By HSG",'BMP P Tracking Table'!$X80*VLOOKUP('BMP P Tracking Table'!$R80,'Loading Rates'!$B$1:$L$24,6,FALSE)+'BMP P Tracking Table'!$Y80*VLOOKUP('BMP P Tracking Table'!$R80,'Loading Rates'!$B$1:$L$24,7,FALSE)+'BMP P Tracking Table'!$Z80*VLOOKUP('BMP P Tracking Table'!$R80,'Loading Rates'!$B$1:$L$24,8,FALSE)+'BMP P Tracking Table'!$AA80*VLOOKUP('BMP P Tracking Table'!$R80,'Loading Rates'!$B$1:$L$24,9,FALSE),'BMP P Tracking Table'!$AB80*VLOOKUP('BMP P Tracking Table'!$R80,'Loading Rates'!$B$1:$L$24,10,FALSE)),"")</f>
        <v>8.8888199999999991</v>
      </c>
      <c r="AF80" s="104">
        <f>IFERROR(MIN(2,IF('BMP P Tracking Table'!$W80="Total Pervious",(-(3630*'BMP P Tracking Table'!$V80+20.691*'BMP P Tracking Table'!$AB80)+SQRT((3630*'BMP P Tracking Table'!$V80+20.691*'BMP P Tracking Table'!$AB80)^2-(4*(996.798*'BMP P Tracking Table'!$AB80)*-'BMP P Tracking Table'!$AC80)))/(2*(996.798*'BMP P Tracking Table'!$AB80)),IF(SUM('BMP P Tracking Table'!$X80:$AA80)=0,'BMP P Tracking Table'!$AC80/(-3630*'BMP P Tracking Table'!$V80),(-(3630*'BMP P Tracking Table'!$V80+20.691*'BMP P Tracking Table'!$AA80-216.711*'BMP P Tracking Table'!$Z80-83.853*'BMP P Tracking Table'!$Y80-42.834*'BMP P Tracking Table'!$X80)+SQRT((3630*'BMP P Tracking Table'!$V80+20.691*'BMP P Tracking Table'!$AA80-216.711*'BMP P Tracking Table'!$Z80-83.853*'BMP P Tracking Table'!$Y80-42.834*'BMP P Tracking Table'!$X80)^2-(4*(149.919*'BMP P Tracking Table'!$X80+236.676*'BMP P Tracking Table'!$Y80+726*'BMP P Tracking Table'!$Z80+996.798*'BMP P Tracking Table'!$AA80)*-'BMP P Tracking Table'!$AC80)))/(2*(149.919*'BMP P Tracking Table'!$X80+236.676*'BMP P Tracking Table'!$Y80+726*'BMP P Tracking Table'!$Z80+996.798*'BMP P Tracking Table'!$AA80))))),"")</f>
        <v>0.96588490587687859</v>
      </c>
      <c r="AG80" s="104">
        <f>IFERROR((VLOOKUP(CONCATENATE('BMP P Tracking Table'!$U80," ",'BMP P Tracking Table'!$AD80),'Performance Curves'!$C$1:$L$46,_xlfn.SINGLE(MATCH('BMP P Tracking Table'!$AF80,'Performance Curves'!$D$1:$L$1,1))+2,FALSE)-VLOOKUP(CONCATENATE('BMP P Tracking Table'!$U80," ",'BMP P Tracking Table'!$AD80),'Performance Curves'!$C$1:$L$46,_xlfn.SINGLE(MATCH('BMP P Tracking Table'!$AF80,'Performance Curves'!$D$1:$L$1,1))+1,FALSE)),"")</f>
        <v>1.0000000000000009E-2</v>
      </c>
      <c r="AH80" s="104">
        <f>IFERROR(('BMP P Tracking Table'!$AF80-INDEX('Performance Curves'!$D$1:$L$1,1,MATCH('BMP P Tracking Table'!$AF80,'Performance Curves'!$D$1:$L$1,1)))/(INDEX('Performance Curves'!$D$1:$L$1,1,MATCH('BMP P Tracking Table'!$AF80,'Performance Curves'!$D$1:$L$1,1)+1)-INDEX('Performance Curves'!$D$1:$L$1,1,MATCH('BMP P Tracking Table'!$AF80,'Performance Curves'!$D$1:$L$1,1))),"")</f>
        <v>0.82942452938439293</v>
      </c>
      <c r="AI80" s="103">
        <f>IFERROR(IF('BMP P Tracking Table'!$AF80=2,VLOOKUP(CONCATENATE('BMP P Tracking Table'!$U80," ",'BMP P Tracking Table'!$AD80),'Performance Curves'!$C$1:$L$46,_xlfn.SINGLE(MATCH('BMP P Tracking Table'!$AF80,'Performance Curves'!$D$1:$L$1,1))+1,FALSE),'BMP P Tracking Table'!$AG80*'BMP P Tracking Table'!$AH80+VLOOKUP(CONCATENATE('BMP P Tracking Table'!$U80," ",'BMP P Tracking Table'!$AD80),'Performance Curves'!$C$1:$L$46,_xlfn.SINGLE(MATCH('BMP P Tracking Table'!$AF80,'Performance Curves'!$D$1:$L$1,1))+1,FALSE)),"")</f>
        <v>0.99829424529384392</v>
      </c>
      <c r="AJ80" s="104">
        <f>IFERROR('BMP P Tracking Table'!$AI80*'BMP P Tracking Table'!$AE80,"")</f>
        <v>8.8736578534528245</v>
      </c>
      <c r="AK80" s="65"/>
      <c r="AL80" s="98"/>
      <c r="AM80" s="98"/>
      <c r="AN80" s="64">
        <v>1</v>
      </c>
      <c r="AO80" s="102">
        <f t="shared" si="5"/>
        <v>8.8736578534528245</v>
      </c>
      <c r="AP80" s="98"/>
      <c r="AQ80" s="98"/>
      <c r="AR80" s="98"/>
      <c r="AS80" s="98"/>
      <c r="AT80" s="98"/>
      <c r="AU80" s="98"/>
      <c r="AV80" s="98"/>
      <c r="AW80" s="65"/>
      <c r="AX80" s="99"/>
      <c r="AY80" s="99"/>
      <c r="AZ80" s="104" t="str">
        <f>IF('BMP P Tracking Table'!$AL80="Yes",IF('BMP P Tracking Table'!$AM80="No",'BMP P Tracking Table'!$V80*VLOOKUP('BMP P Tracking Table'!$R80,'Loading Rates'!$B$1:$L$24,4,FALSE)+IF('BMP P Tracking Table'!$W80="By HSG",'BMP P Tracking Table'!$X80*VLOOKUP('BMP P Tracking Table'!$R80,'Loading Rates'!$B$1:$L$24,6,FALSE)+'BMP P Tracking Table'!$Y80*VLOOKUP('BMP P Tracking Table'!$R80,'Loading Rates'!$B$1:$L$24,7,FALSE)+'BMP P Tracking Table'!$Z80*VLOOKUP('BMP P Tracking Table'!$R80,'Loading Rates'!$B$1:$L$24,8,FALSE)+'BMP P Tracking Table'!$AA80*VLOOKUP('BMP P Tracking Table'!$R80,'Loading Rates'!$B$1:$L$24,9,FALSE),'BMP P Tracking Table'!$AB80*VLOOKUP('BMP P Tracking Table'!$R80,'Loading Rates'!$B$1:$L$24,10,FALSE)),'BMP P Tracking Table'!$AP80*VLOOKUP('BMP P Tracking Table'!$R80,'Loading Rates'!$B$1:$L$24,4,FALSE)+IF('BMP P Tracking Table'!$AQ80="By HSG",'BMP P Tracking Table'!$AR80*VLOOKUP('BMP P Tracking Table'!$R80,'Loading Rates'!$B$1:$L$24,6,FALSE)+'BMP P Tracking Table'!$AS80*VLOOKUP('BMP P Tracking Table'!$R80,'Loading Rates'!$B$1:$L$24,7,FALSE)+'BMP P Tracking Table'!$AT80*VLOOKUP('BMP P Tracking Table'!$R80,'Loading Rates'!$B$1:$L$24,8,FALSE)+'BMP P Tracking Table'!$AU80*VLOOKUP('BMP P Tracking Table'!$R80,'Loading Rates'!$B$1:$L$24,9,FALSE),'BMP P Tracking Table'!$AV80*VLOOKUP('BMP P Tracking Table'!$R80,'Loading Rates'!$B$1:$L$24,10,FALSE))),"")</f>
        <v/>
      </c>
      <c r="BA80" s="104">
        <f>IFERROR(IF('BMP P Tracking Table'!$AM80="Yes",MIN(2,IF('BMP P Tracking Table'!$AQ80="Total Pervious",(-(3630*'BMP P Tracking Table'!$AP80+20.691*'BMP P Tracking Table'!$AV80)+SQRT((3630*'BMP P Tracking Table'!$AP80+20.691*'BMP P Tracking Table'!$AV80)^2-(4*(996.798*'BMP P Tracking Table'!$AV80)*-'BMP P Tracking Table'!$AX80)))/(2*(996.798*'BMP P Tracking Table'!$AV80)),IF(SUM('BMP P Tracking Table'!$AR80:$AU80)=0,'BMP P Tracking Table'!$AV80/(-3630*'BMP P Tracking Table'!$AP80),(-(3630*'BMP P Tracking Table'!$AP80+20.691*'BMP P Tracking Table'!$AU80-216.711*'BMP P Tracking Table'!$AT80-83.853*'BMP P Tracking Table'!$AS80-42.834*'BMP P Tracking Table'!$AR80)+SQRT((3630*'BMP P Tracking Table'!$AP80+20.691*'BMP P Tracking Table'!$AU80-216.711*'BMP P Tracking Table'!$AT80-83.853*'BMP P Tracking Table'!$AS80-42.834*'BMP P Tracking Table'!$AR80)^2-(4*(149.919*'BMP P Tracking Table'!$AR80+236.676*'BMP P Tracking Table'!$AS80+726*'BMP P Tracking Table'!$AT80+996.798*'BMP P Tracking Table'!$AU80)*-'BMP P Tracking Table'!$AX80)))/(2*(149.919*'BMP P Tracking Table'!$AR80+236.676*'BMP P Tracking Table'!$AS80+726*'BMP P Tracking Table'!$AT80+996.798*'BMP P Tracking Table'!$AU80))))),MIN(2,IF('BMP P Tracking Table'!$AQ80="Total Pervious",(-(3630*'BMP P Tracking Table'!$V80+20.691*'BMP P Tracking Table'!$AB80)+SQRT((3630*'BMP P Tracking Table'!$V80+20.691*'BMP P Tracking Table'!$AB80)^2-(4*(996.798*'BMP P Tracking Table'!$AB80)*-'BMP P Tracking Table'!$AX80)))/(2*(996.798*'BMP P Tracking Table'!$AB80)),IF(SUM('BMP P Tracking Table'!$X80:$AA80)=0,'BMP P Tracking Table'!$AX80/(-3630*'BMP P Tracking Table'!$V80),(-(3630*'BMP P Tracking Table'!$V80+20.691*'BMP P Tracking Table'!$AA80-216.711*'BMP P Tracking Table'!$Z80-83.853*'BMP P Tracking Table'!$Y80-42.834*'BMP P Tracking Table'!$X80)+SQRT((3630*'BMP P Tracking Table'!$V80+20.691*'BMP P Tracking Table'!$AA80-216.711*'BMP P Tracking Table'!$Z80-83.853*'BMP P Tracking Table'!$Y80-42.834*'BMP P Tracking Table'!$X80)^2-(4*(149.919*'BMP P Tracking Table'!$X80+236.676*'BMP P Tracking Table'!$Y80+726*'BMP P Tracking Table'!$Z80+996.798*'BMP P Tracking Table'!$AA80)*-'BMP P Tracking Table'!$AX80)))/(2*(149.919*'BMP P Tracking Table'!$X80+236.676*'BMP P Tracking Table'!$Y80+726*'BMP P Tracking Table'!$Z80+996.798*'BMP P Tracking Table'!$AA80)))))),"")</f>
        <v>0</v>
      </c>
      <c r="BB80" s="102" t="str">
        <f>IFERROR((VLOOKUP(CONCATENATE('BMP P Tracking Table'!$AW80," ",'BMP P Tracking Table'!$AY80),'Performance Curves'!$C$1:$L$46,_xlfn.SINGLE(MATCH('BMP P Tracking Table'!$BA80,'Performance Curves'!$D$1:$L$1,1))+2,FALSE)-VLOOKUP(CONCATENATE('BMP P Tracking Table'!$AW80," ",'BMP P Tracking Table'!$AY80),'Performance Curves'!$C$1:$L$46,_xlfn.SINGLE(MATCH('BMP P Tracking Table'!$BA80,'Performance Curves'!$D$1:$L$1,1))+1,FALSE)),"")</f>
        <v/>
      </c>
      <c r="BC80" s="102">
        <f>IFERROR(('BMP P Tracking Table'!$BA80-INDEX('Performance Curves'!$D$1:$L$1,1,MATCH('BMP P Tracking Table'!$BA80,'Performance Curves'!$D$1:$L$1,1)))/(INDEX('Performance Curves'!$D$1:$L$1,1,MATCH('BMP P Tracking Table'!$BA80,'Performance Curves'!$D$1:$L$1,1)+1)-INDEX('Performance Curves'!$D$1:$L$1,1,MATCH('BMP P Tracking Table'!$BA80,'Performance Curves'!$D$1:$L$1,1))),"")</f>
        <v>0</v>
      </c>
      <c r="BD80" s="103" t="str" cm="1">
        <f t="array" ref="BD80">IFERROR(IF('BMP P Tracking Table'!$BA80=2,VLOOKUP(CONCATENATE('BMP P Tracking Table'!$AW80," ",'BMP P Tracking Table'!$AY80),'Performance Curves'!$C$1:$L$44,_xlfn.SINGLE(MATCH('BMP P Tracking Table'!$BA80,'Performance Curves'!$D$1:$L$1,1))+1,FALSE),'BMP P Tracking Table'!$BB80*'BMP P Tracking Table'!$BC80+VLOOKUP(CONCATENATE('BMP P Tracking Table'!$AW80," ",'BMP P Tracking Table'!$AY80),'Performance Curves'!$C$1:$L$44,_xlfn.SINGLE(MATCH('BMP P Tracking Table'!$BA80,'Performance Curves'!$D$1:$L$1,1))+1,FALSE)),"")</f>
        <v/>
      </c>
      <c r="BE80" s="104" t="str">
        <f>IFERROR('BMP P Tracking Table'!$BD80*'BMP P Tracking Table'!$AZ80,"")</f>
        <v/>
      </c>
      <c r="BF80" s="98"/>
      <c r="BG80" s="37">
        <f t="shared" si="6"/>
        <v>0</v>
      </c>
      <c r="BI80" s="36" t="str">
        <f t="shared" si="7"/>
        <v>EJ-WR-038</v>
      </c>
      <c r="BJ80" s="36" t="str">
        <f t="shared" si="8"/>
        <v>Tyler Drive, Wilkinson Drive - South St. intersection - retrofit/expand</v>
      </c>
      <c r="BK80" s="36" t="s">
        <v>803</v>
      </c>
      <c r="BL80" s="36" t="s">
        <v>817</v>
      </c>
      <c r="BM80" s="36" t="s">
        <v>816</v>
      </c>
      <c r="BN80" s="36" t="s">
        <v>818</v>
      </c>
      <c r="BO80" s="36" t="s">
        <v>819</v>
      </c>
      <c r="BP80" s="36" t="s">
        <v>874</v>
      </c>
      <c r="BQ80" s="36">
        <f t="shared" si="9"/>
        <v>13.32</v>
      </c>
      <c r="BR80" s="36">
        <f t="shared" si="10"/>
        <v>5.46</v>
      </c>
      <c r="BS80" s="101">
        <f t="shared" si="11"/>
        <v>0.59009009009009006</v>
      </c>
      <c r="BT80" s="238">
        <f t="shared" si="12"/>
        <v>21450.381679389313</v>
      </c>
      <c r="BU80" s="238">
        <f t="shared" si="13"/>
        <v>19000.056434945385</v>
      </c>
    </row>
    <row r="81" spans="2:73">
      <c r="B81" s="65" t="s">
        <v>742</v>
      </c>
      <c r="C81" s="65" t="s">
        <v>667</v>
      </c>
      <c r="D81" s="65" t="s">
        <v>325</v>
      </c>
      <c r="E81" s="65" t="s">
        <v>10</v>
      </c>
      <c r="F81" s="94"/>
      <c r="G81" s="94"/>
      <c r="H81" s="65"/>
      <c r="I81" s="65"/>
      <c r="J81" s="65" t="s">
        <v>66</v>
      </c>
      <c r="K81" s="95">
        <f>ROUNDUP((VLOOKUP($U81,Dropdowns!$G$3:$I$17, 3, FALSE))*$AC81,-2)</f>
        <v>12500</v>
      </c>
      <c r="L81" s="65" t="s">
        <v>49</v>
      </c>
      <c r="M81" s="65"/>
      <c r="N81" s="65"/>
      <c r="O81" s="65"/>
      <c r="P81" s="65"/>
      <c r="Q81" s="65" t="s">
        <v>119</v>
      </c>
      <c r="R81" s="65" t="s">
        <v>146</v>
      </c>
      <c r="S81" s="65" t="str">
        <f>IFERROR(VLOOKUP('BMP P Tracking Table'!$R81,Dropdowns!$Q$3:$R$23,2,FALSE),"")</f>
        <v>Main Lake</v>
      </c>
      <c r="T81" s="65" t="s">
        <v>66</v>
      </c>
      <c r="U81" s="65" t="s">
        <v>47</v>
      </c>
      <c r="V81" s="65">
        <v>0.16</v>
      </c>
      <c r="W81" s="65" t="s">
        <v>220</v>
      </c>
      <c r="X81" s="65">
        <v>0.39</v>
      </c>
      <c r="Y81" s="65">
        <v>0</v>
      </c>
      <c r="Z81" s="65">
        <v>0</v>
      </c>
      <c r="AA81" s="65">
        <v>0</v>
      </c>
      <c r="AB81" s="65"/>
      <c r="AC81" s="97">
        <f t="shared" si="14"/>
        <v>622.54499999999996</v>
      </c>
      <c r="AD81" s="65" t="s">
        <v>206</v>
      </c>
      <c r="AE81" s="104">
        <f>IFERROR('BMP P Tracking Table'!$V81*VLOOKUP('BMP P Tracking Table'!$R81,'Loading Rates'!$B$1:$L$24,4,FALSE)+IF('BMP P Tracking Table'!$W81="By HSG",'BMP P Tracking Table'!$X81*VLOOKUP('BMP P Tracking Table'!$R81,'Loading Rates'!$B$1:$L$24,6,FALSE)+'BMP P Tracking Table'!$Y81*VLOOKUP('BMP P Tracking Table'!$R81,'Loading Rates'!$B$1:$L$24,7,FALSE)+'BMP P Tracking Table'!$Z81*VLOOKUP('BMP P Tracking Table'!$R81,'Loading Rates'!$B$1:$L$24,8,FALSE)+'BMP P Tracking Table'!$AA81*VLOOKUP('BMP P Tracking Table'!$R81,'Loading Rates'!$B$1:$L$24,9,FALSE),'BMP P Tracking Table'!$AB81*VLOOKUP('BMP P Tracking Table'!$R81,'Loading Rates'!$B$1:$L$24,10,FALSE)),"")</f>
        <v>0.18651999999999999</v>
      </c>
      <c r="AF81" s="104">
        <f>IFERROR(MIN(2,IF('BMP P Tracking Table'!$W81="Total Pervious",(-(3630*'BMP P Tracking Table'!$V81+20.691*'BMP P Tracking Table'!$AB81)+SQRT((3630*'BMP P Tracking Table'!$V81+20.691*'BMP P Tracking Table'!$AB81)^2-(4*(996.798*'BMP P Tracking Table'!$AB81)*-'BMP P Tracking Table'!$AC81)))/(2*(996.798*'BMP P Tracking Table'!$AB81)),IF(SUM('BMP P Tracking Table'!$X81:$AA81)=0,'BMP P Tracking Table'!$AC81/(-3630*'BMP P Tracking Table'!$V81),(-(3630*'BMP P Tracking Table'!$V81+20.691*'BMP P Tracking Table'!$AA81-216.711*'BMP P Tracking Table'!$Z81-83.853*'BMP P Tracking Table'!$Y81-42.834*'BMP P Tracking Table'!$X81)+SQRT((3630*'BMP P Tracking Table'!$V81+20.691*'BMP P Tracking Table'!$AA81-216.711*'BMP P Tracking Table'!$Z81-83.853*'BMP P Tracking Table'!$Y81-42.834*'BMP P Tracking Table'!$X81)^2-(4*(149.919*'BMP P Tracking Table'!$X81+236.676*'BMP P Tracking Table'!$Y81+726*'BMP P Tracking Table'!$Z81+996.798*'BMP P Tracking Table'!$AA81)*-'BMP P Tracking Table'!$AC81)))/(2*(149.919*'BMP P Tracking Table'!$X81+236.676*'BMP P Tracking Table'!$Y81+726*'BMP P Tracking Table'!$Z81+996.798*'BMP P Tracking Table'!$AA81))))),"")</f>
        <v>0.99997334919173464</v>
      </c>
      <c r="AG81" s="104">
        <f>IFERROR((VLOOKUP(CONCATENATE('BMP P Tracking Table'!$U81," ",'BMP P Tracking Table'!$AD81),'Performance Curves'!$C$1:$L$46,_xlfn.SINGLE(MATCH('BMP P Tracking Table'!$AF81,'Performance Curves'!$D$1:$L$1,1))+2,FALSE)-VLOOKUP(CONCATENATE('BMP P Tracking Table'!$U81," ",'BMP P Tracking Table'!$AD81),'Performance Curves'!$C$1:$L$46,_xlfn.SINGLE(MATCH('BMP P Tracking Table'!$AF81,'Performance Curves'!$D$1:$L$1,1))+1,FALSE)),"")</f>
        <v>2.0000000000000018E-2</v>
      </c>
      <c r="AH81" s="104">
        <f>IFERROR(('BMP P Tracking Table'!$AF81-INDEX('Performance Curves'!$D$1:$L$1,1,MATCH('BMP P Tracking Table'!$AF81,'Performance Curves'!$D$1:$L$1,1)))/(INDEX('Performance Curves'!$D$1:$L$1,1,MATCH('BMP P Tracking Table'!$AF81,'Performance Curves'!$D$1:$L$1,1)+1)-INDEX('Performance Curves'!$D$1:$L$1,1,MATCH('BMP P Tracking Table'!$AF81,'Performance Curves'!$D$1:$L$1,1))),"")</f>
        <v>0.9998667459586732</v>
      </c>
      <c r="AI81" s="103">
        <f>IFERROR(IF('BMP P Tracking Table'!$AF81=2,VLOOKUP(CONCATENATE('BMP P Tracking Table'!$U81," ",'BMP P Tracking Table'!$AD81),'Performance Curves'!$C$1:$L$46,_xlfn.SINGLE(MATCH('BMP P Tracking Table'!$AF81,'Performance Curves'!$D$1:$L$1,1))+1,FALSE),'BMP P Tracking Table'!$AG81*'BMP P Tracking Table'!$AH81+VLOOKUP(CONCATENATE('BMP P Tracking Table'!$U81," ",'BMP P Tracking Table'!$AD81),'Performance Curves'!$C$1:$L$46,_xlfn.SINGLE(MATCH('BMP P Tracking Table'!$AF81,'Performance Curves'!$D$1:$L$1,1))+1,FALSE)),"")</f>
        <v>0.9799973349191734</v>
      </c>
      <c r="AJ81" s="104">
        <f>IFERROR('BMP P Tracking Table'!$AI81*'BMP P Tracking Table'!$AE81,"")</f>
        <v>0.1827891029091242</v>
      </c>
      <c r="AK81" s="65"/>
      <c r="AL81" s="98"/>
      <c r="AM81" s="98"/>
      <c r="AN81" s="64">
        <v>1</v>
      </c>
      <c r="AO81" s="102">
        <f t="shared" si="5"/>
        <v>0.1827891029091242</v>
      </c>
      <c r="AP81" s="98"/>
      <c r="AQ81" s="98"/>
      <c r="AR81" s="98"/>
      <c r="AS81" s="98"/>
      <c r="AT81" s="98"/>
      <c r="AU81" s="98"/>
      <c r="AV81" s="98"/>
      <c r="AW81" s="65"/>
      <c r="AX81" s="99"/>
      <c r="AY81" s="99"/>
      <c r="AZ81" s="104" t="str">
        <f>IF('BMP P Tracking Table'!$AL81="Yes",IF('BMP P Tracking Table'!$AM81="No",'BMP P Tracking Table'!$V81*VLOOKUP('BMP P Tracking Table'!$R81,'Loading Rates'!$B$1:$L$24,4,FALSE)+IF('BMP P Tracking Table'!$W81="By HSG",'BMP P Tracking Table'!$X81*VLOOKUP('BMP P Tracking Table'!$R81,'Loading Rates'!$B$1:$L$24,6,FALSE)+'BMP P Tracking Table'!$Y81*VLOOKUP('BMP P Tracking Table'!$R81,'Loading Rates'!$B$1:$L$24,7,FALSE)+'BMP P Tracking Table'!$Z81*VLOOKUP('BMP P Tracking Table'!$R81,'Loading Rates'!$B$1:$L$24,8,FALSE)+'BMP P Tracking Table'!$AA81*VLOOKUP('BMP P Tracking Table'!$R81,'Loading Rates'!$B$1:$L$24,9,FALSE),'BMP P Tracking Table'!$AB81*VLOOKUP('BMP P Tracking Table'!$R81,'Loading Rates'!$B$1:$L$24,10,FALSE)),'BMP P Tracking Table'!$AP81*VLOOKUP('BMP P Tracking Table'!$R81,'Loading Rates'!$B$1:$L$24,4,FALSE)+IF('BMP P Tracking Table'!$AQ81="By HSG",'BMP P Tracking Table'!$AR81*VLOOKUP('BMP P Tracking Table'!$R81,'Loading Rates'!$B$1:$L$24,6,FALSE)+'BMP P Tracking Table'!$AS81*VLOOKUP('BMP P Tracking Table'!$R81,'Loading Rates'!$B$1:$L$24,7,FALSE)+'BMP P Tracking Table'!$AT81*VLOOKUP('BMP P Tracking Table'!$R81,'Loading Rates'!$B$1:$L$24,8,FALSE)+'BMP P Tracking Table'!$AU81*VLOOKUP('BMP P Tracking Table'!$R81,'Loading Rates'!$B$1:$L$24,9,FALSE),'BMP P Tracking Table'!$AV81*VLOOKUP('BMP P Tracking Table'!$R81,'Loading Rates'!$B$1:$L$24,10,FALSE))),"")</f>
        <v/>
      </c>
      <c r="BA81" s="104">
        <f>IFERROR(IF('BMP P Tracking Table'!$AM81="Yes",MIN(2,IF('BMP P Tracking Table'!$AQ81="Total Pervious",(-(3630*'BMP P Tracking Table'!$AP81+20.691*'BMP P Tracking Table'!$AV81)+SQRT((3630*'BMP P Tracking Table'!$AP81+20.691*'BMP P Tracking Table'!$AV81)^2-(4*(996.798*'BMP P Tracking Table'!$AV81)*-'BMP P Tracking Table'!$AX81)))/(2*(996.798*'BMP P Tracking Table'!$AV81)),IF(SUM('BMP P Tracking Table'!$AR81:$AU81)=0,'BMP P Tracking Table'!$AV81/(-3630*'BMP P Tracking Table'!$AP81),(-(3630*'BMP P Tracking Table'!$AP81+20.691*'BMP P Tracking Table'!$AU81-216.711*'BMP P Tracking Table'!$AT81-83.853*'BMP P Tracking Table'!$AS81-42.834*'BMP P Tracking Table'!$AR81)+SQRT((3630*'BMP P Tracking Table'!$AP81+20.691*'BMP P Tracking Table'!$AU81-216.711*'BMP P Tracking Table'!$AT81-83.853*'BMP P Tracking Table'!$AS81-42.834*'BMP P Tracking Table'!$AR81)^2-(4*(149.919*'BMP P Tracking Table'!$AR81+236.676*'BMP P Tracking Table'!$AS81+726*'BMP P Tracking Table'!$AT81+996.798*'BMP P Tracking Table'!$AU81)*-'BMP P Tracking Table'!$AX81)))/(2*(149.919*'BMP P Tracking Table'!$AR81+236.676*'BMP P Tracking Table'!$AS81+726*'BMP P Tracking Table'!$AT81+996.798*'BMP P Tracking Table'!$AU81))))),MIN(2,IF('BMP P Tracking Table'!$AQ81="Total Pervious",(-(3630*'BMP P Tracking Table'!$V81+20.691*'BMP P Tracking Table'!$AB81)+SQRT((3630*'BMP P Tracking Table'!$V81+20.691*'BMP P Tracking Table'!$AB81)^2-(4*(996.798*'BMP P Tracking Table'!$AB81)*-'BMP P Tracking Table'!$AX81)))/(2*(996.798*'BMP P Tracking Table'!$AB81)),IF(SUM('BMP P Tracking Table'!$X81:$AA81)=0,'BMP P Tracking Table'!$AX81/(-3630*'BMP P Tracking Table'!$V81),(-(3630*'BMP P Tracking Table'!$V81+20.691*'BMP P Tracking Table'!$AA81-216.711*'BMP P Tracking Table'!$Z81-83.853*'BMP P Tracking Table'!$Y81-42.834*'BMP P Tracking Table'!$X81)+SQRT((3630*'BMP P Tracking Table'!$V81+20.691*'BMP P Tracking Table'!$AA81-216.711*'BMP P Tracking Table'!$Z81-83.853*'BMP P Tracking Table'!$Y81-42.834*'BMP P Tracking Table'!$X81)^2-(4*(149.919*'BMP P Tracking Table'!$X81+236.676*'BMP P Tracking Table'!$Y81+726*'BMP P Tracking Table'!$Z81+996.798*'BMP P Tracking Table'!$AA81)*-'BMP P Tracking Table'!$AX81)))/(2*(149.919*'BMP P Tracking Table'!$X81+236.676*'BMP P Tracking Table'!$Y81+726*'BMP P Tracking Table'!$Z81+996.798*'BMP P Tracking Table'!$AA81)))))),"")</f>
        <v>0</v>
      </c>
      <c r="BB81" s="102" t="str">
        <f>IFERROR((VLOOKUP(CONCATENATE('BMP P Tracking Table'!$AW81," ",'BMP P Tracking Table'!$AY81),'Performance Curves'!$C$1:$L$46,_xlfn.SINGLE(MATCH('BMP P Tracking Table'!$BA81,'Performance Curves'!$D$1:$L$1,1))+2,FALSE)-VLOOKUP(CONCATENATE('BMP P Tracking Table'!$AW81," ",'BMP P Tracking Table'!$AY81),'Performance Curves'!$C$1:$L$46,_xlfn.SINGLE(MATCH('BMP P Tracking Table'!$BA81,'Performance Curves'!$D$1:$L$1,1))+1,FALSE)),"")</f>
        <v/>
      </c>
      <c r="BC81" s="102">
        <f>IFERROR(('BMP P Tracking Table'!$BA81-INDEX('Performance Curves'!$D$1:$L$1,1,MATCH('BMP P Tracking Table'!$BA81,'Performance Curves'!$D$1:$L$1,1)))/(INDEX('Performance Curves'!$D$1:$L$1,1,MATCH('BMP P Tracking Table'!$BA81,'Performance Curves'!$D$1:$L$1,1)+1)-INDEX('Performance Curves'!$D$1:$L$1,1,MATCH('BMP P Tracking Table'!$BA81,'Performance Curves'!$D$1:$L$1,1))),"")</f>
        <v>0</v>
      </c>
      <c r="BD81" s="103" t="str" cm="1">
        <f t="array" ref="BD81">IFERROR(IF('BMP P Tracking Table'!$BA81=2,VLOOKUP(CONCATENATE('BMP P Tracking Table'!$AW81," ",'BMP P Tracking Table'!$AY81),'Performance Curves'!$C$1:$L$44,_xlfn.SINGLE(MATCH('BMP P Tracking Table'!$BA81,'Performance Curves'!$D$1:$L$1,1))+1,FALSE),'BMP P Tracking Table'!$BB81*'BMP P Tracking Table'!$BC81+VLOOKUP(CONCATENATE('BMP P Tracking Table'!$AW81," ",'BMP P Tracking Table'!$AY81),'Performance Curves'!$C$1:$L$44,_xlfn.SINGLE(MATCH('BMP P Tracking Table'!$BA81,'Performance Curves'!$D$1:$L$1,1))+1,FALSE)),"")</f>
        <v/>
      </c>
      <c r="BE81" s="104" t="str">
        <f>IFERROR('BMP P Tracking Table'!$BD81*'BMP P Tracking Table'!$AZ81,"")</f>
        <v/>
      </c>
      <c r="BF81" s="98"/>
      <c r="BG81" s="37">
        <f t="shared" si="6"/>
        <v>0</v>
      </c>
      <c r="BI81" s="36" t="str">
        <f t="shared" si="7"/>
        <v>EJ-WR-019</v>
      </c>
      <c r="BJ81" s="36" t="str">
        <f t="shared" si="8"/>
        <v>CB522 Elm St drywell</v>
      </c>
      <c r="BK81" s="36" t="s">
        <v>842</v>
      </c>
      <c r="BP81" s="36" t="s">
        <v>874</v>
      </c>
      <c r="BQ81" s="36">
        <f t="shared" si="9"/>
        <v>0.55000000000000004</v>
      </c>
      <c r="BR81" s="36">
        <f t="shared" si="10"/>
        <v>0.39</v>
      </c>
      <c r="BS81" s="101">
        <f t="shared" si="11"/>
        <v>0.29090909090909089</v>
      </c>
      <c r="BT81" s="238">
        <f t="shared" si="12"/>
        <v>78125</v>
      </c>
      <c r="BU81" s="238">
        <f t="shared" si="13"/>
        <v>68384.820544879665</v>
      </c>
    </row>
    <row r="82" spans="2:73">
      <c r="B82" s="65" t="s">
        <v>751</v>
      </c>
      <c r="C82" s="65" t="s">
        <v>668</v>
      </c>
      <c r="D82" s="65" t="s">
        <v>325</v>
      </c>
      <c r="E82" s="65" t="s">
        <v>10</v>
      </c>
      <c r="F82" s="94"/>
      <c r="G82" s="94"/>
      <c r="H82" s="65"/>
      <c r="I82" s="65"/>
      <c r="J82" s="65" t="s">
        <v>66</v>
      </c>
      <c r="K82" s="95">
        <f>ROUNDUP((VLOOKUP($U82,Dropdowns!$G$3:$I$17, 3, FALSE))*$AC82,-2)</f>
        <v>23200</v>
      </c>
      <c r="L82" s="65" t="s">
        <v>49</v>
      </c>
      <c r="M82" s="65"/>
      <c r="N82" s="65"/>
      <c r="O82" s="65"/>
      <c r="P82" s="65"/>
      <c r="Q82" s="65" t="s">
        <v>119</v>
      </c>
      <c r="R82" s="65" t="s">
        <v>146</v>
      </c>
      <c r="S82" s="65" t="str">
        <f>IFERROR(VLOOKUP('BMP P Tracking Table'!$R82,Dropdowns!$Q$3:$R$23,2,FALSE),"")</f>
        <v>Main Lake</v>
      </c>
      <c r="T82" s="65" t="s">
        <v>66</v>
      </c>
      <c r="U82" s="65" t="s">
        <v>47</v>
      </c>
      <c r="V82" s="65">
        <v>0.32</v>
      </c>
      <c r="W82" s="65" t="s">
        <v>220</v>
      </c>
      <c r="X82" s="65">
        <v>0.31</v>
      </c>
      <c r="Y82" s="65">
        <v>0</v>
      </c>
      <c r="Z82" s="65">
        <v>0</v>
      </c>
      <c r="AA82" s="65">
        <v>0</v>
      </c>
      <c r="AB82" s="65"/>
      <c r="AC82" s="97">
        <f t="shared" si="14"/>
        <v>1159.7850000000001</v>
      </c>
      <c r="AD82" s="65" t="s">
        <v>206</v>
      </c>
      <c r="AE82" s="104">
        <f>IFERROR('BMP P Tracking Table'!$V82*VLOOKUP('BMP P Tracking Table'!$R82,'Loading Rates'!$B$1:$L$24,4,FALSE)+IF('BMP P Tracking Table'!$W82="By HSG",'BMP P Tracking Table'!$X82*VLOOKUP('BMP P Tracking Table'!$R82,'Loading Rates'!$B$1:$L$24,6,FALSE)+'BMP P Tracking Table'!$Y82*VLOOKUP('BMP P Tracking Table'!$R82,'Loading Rates'!$B$1:$L$24,7,FALSE)+'BMP P Tracking Table'!$Z82*VLOOKUP('BMP P Tracking Table'!$R82,'Loading Rates'!$B$1:$L$24,8,FALSE)+'BMP P Tracking Table'!$AA82*VLOOKUP('BMP P Tracking Table'!$R82,'Loading Rates'!$B$1:$L$24,9,FALSE),'BMP P Tracking Table'!$AB82*VLOOKUP('BMP P Tracking Table'!$R82,'Loading Rates'!$B$1:$L$24,10,FALSE)),"")</f>
        <v>0.36363999999999996</v>
      </c>
      <c r="AF82" s="104">
        <f>IFERROR(MIN(2,IF('BMP P Tracking Table'!$W82="Total Pervious",(-(3630*'BMP P Tracking Table'!$V82+20.691*'BMP P Tracking Table'!$AB82)+SQRT((3630*'BMP P Tracking Table'!$V82+20.691*'BMP P Tracking Table'!$AB82)^2-(4*(996.798*'BMP P Tracking Table'!$AB82)*-'BMP P Tracking Table'!$AC82)))/(2*(996.798*'BMP P Tracking Table'!$AB82)),IF(SUM('BMP P Tracking Table'!$X82:$AA82)=0,'BMP P Tracking Table'!$AC82/(-3630*'BMP P Tracking Table'!$V82),(-(3630*'BMP P Tracking Table'!$V82+20.691*'BMP P Tracking Table'!$AA82-216.711*'BMP P Tracking Table'!$Z82-83.853*'BMP P Tracking Table'!$Y82-42.834*'BMP P Tracking Table'!$X82)+SQRT((3630*'BMP P Tracking Table'!$V82+20.691*'BMP P Tracking Table'!$AA82-216.711*'BMP P Tracking Table'!$Z82-83.853*'BMP P Tracking Table'!$Y82-42.834*'BMP P Tracking Table'!$X82)^2-(4*(149.919*'BMP P Tracking Table'!$X82+236.676*'BMP P Tracking Table'!$Y82+726*'BMP P Tracking Table'!$Z82+996.798*'BMP P Tracking Table'!$AA82)*-'BMP P Tracking Table'!$AC82)))/(2*(149.919*'BMP P Tracking Table'!$X82+236.676*'BMP P Tracking Table'!$Y82+726*'BMP P Tracking Table'!$Z82+996.798*'BMP P Tracking Table'!$AA82))))),"")</f>
        <v>0.97176410625973353</v>
      </c>
      <c r="AG82" s="104">
        <f>IFERROR((VLOOKUP(CONCATENATE('BMP P Tracking Table'!$U82," ",'BMP P Tracking Table'!$AD82),'Performance Curves'!$C$1:$L$46,_xlfn.SINGLE(MATCH('BMP P Tracking Table'!$AF82,'Performance Curves'!$D$1:$L$1,1))+2,FALSE)-VLOOKUP(CONCATENATE('BMP P Tracking Table'!$U82," ",'BMP P Tracking Table'!$AD82),'Performance Curves'!$C$1:$L$46,_xlfn.SINGLE(MATCH('BMP P Tracking Table'!$AF82,'Performance Curves'!$D$1:$L$1,1))+1,FALSE)),"")</f>
        <v>2.0000000000000018E-2</v>
      </c>
      <c r="AH82" s="104">
        <f>IFERROR(('BMP P Tracking Table'!$AF82-INDEX('Performance Curves'!$D$1:$L$1,1,MATCH('BMP P Tracking Table'!$AF82,'Performance Curves'!$D$1:$L$1,1)))/(INDEX('Performance Curves'!$D$1:$L$1,1,MATCH('BMP P Tracking Table'!$AF82,'Performance Curves'!$D$1:$L$1,1)+1)-INDEX('Performance Curves'!$D$1:$L$1,1,MATCH('BMP P Tracking Table'!$AF82,'Performance Curves'!$D$1:$L$1,1))),"")</f>
        <v>0.85882053129866764</v>
      </c>
      <c r="AI82" s="103">
        <f>IFERROR(IF('BMP P Tracking Table'!$AF82=2,VLOOKUP(CONCATENATE('BMP P Tracking Table'!$U82," ",'BMP P Tracking Table'!$AD82),'Performance Curves'!$C$1:$L$46,_xlfn.SINGLE(MATCH('BMP P Tracking Table'!$AF82,'Performance Curves'!$D$1:$L$1,1))+1,FALSE),'BMP P Tracking Table'!$AG82*'BMP P Tracking Table'!$AH82+VLOOKUP(CONCATENATE('BMP P Tracking Table'!$U82," ",'BMP P Tracking Table'!$AD82),'Performance Curves'!$C$1:$L$46,_xlfn.SINGLE(MATCH('BMP P Tracking Table'!$AF82,'Performance Curves'!$D$1:$L$1,1))+1,FALSE)),"")</f>
        <v>0.97717641062597338</v>
      </c>
      <c r="AJ82" s="104">
        <f>IFERROR('BMP P Tracking Table'!$AI82*'BMP P Tracking Table'!$AE82,"")</f>
        <v>0.3553404299600289</v>
      </c>
      <c r="AK82" s="65"/>
      <c r="AL82" s="98"/>
      <c r="AM82" s="98"/>
      <c r="AN82" s="64">
        <v>1</v>
      </c>
      <c r="AO82" s="102">
        <f t="shared" si="5"/>
        <v>0.3553404299600289</v>
      </c>
      <c r="AP82" s="98"/>
      <c r="AQ82" s="98"/>
      <c r="AR82" s="98"/>
      <c r="AS82" s="98"/>
      <c r="AT82" s="98"/>
      <c r="AU82" s="98"/>
      <c r="AV82" s="98"/>
      <c r="AW82" s="65"/>
      <c r="AX82" s="99"/>
      <c r="AY82" s="99"/>
      <c r="AZ82" s="104" t="str">
        <f>IF('BMP P Tracking Table'!$AL82="Yes",IF('BMP P Tracking Table'!$AM82="No",'BMP P Tracking Table'!$V82*VLOOKUP('BMP P Tracking Table'!$R82,'Loading Rates'!$B$1:$L$24,4,FALSE)+IF('BMP P Tracking Table'!$W82="By HSG",'BMP P Tracking Table'!$X82*VLOOKUP('BMP P Tracking Table'!$R82,'Loading Rates'!$B$1:$L$24,6,FALSE)+'BMP P Tracking Table'!$Y82*VLOOKUP('BMP P Tracking Table'!$R82,'Loading Rates'!$B$1:$L$24,7,FALSE)+'BMP P Tracking Table'!$Z82*VLOOKUP('BMP P Tracking Table'!$R82,'Loading Rates'!$B$1:$L$24,8,FALSE)+'BMP P Tracking Table'!$AA82*VLOOKUP('BMP P Tracking Table'!$R82,'Loading Rates'!$B$1:$L$24,9,FALSE),'BMP P Tracking Table'!$AB82*VLOOKUP('BMP P Tracking Table'!$R82,'Loading Rates'!$B$1:$L$24,10,FALSE)),'BMP P Tracking Table'!$AP82*VLOOKUP('BMP P Tracking Table'!$R82,'Loading Rates'!$B$1:$L$24,4,FALSE)+IF('BMP P Tracking Table'!$AQ82="By HSG",'BMP P Tracking Table'!$AR82*VLOOKUP('BMP P Tracking Table'!$R82,'Loading Rates'!$B$1:$L$24,6,FALSE)+'BMP P Tracking Table'!$AS82*VLOOKUP('BMP P Tracking Table'!$R82,'Loading Rates'!$B$1:$L$24,7,FALSE)+'BMP P Tracking Table'!$AT82*VLOOKUP('BMP P Tracking Table'!$R82,'Loading Rates'!$B$1:$L$24,8,FALSE)+'BMP P Tracking Table'!$AU82*VLOOKUP('BMP P Tracking Table'!$R82,'Loading Rates'!$B$1:$L$24,9,FALSE),'BMP P Tracking Table'!$AV82*VLOOKUP('BMP P Tracking Table'!$R82,'Loading Rates'!$B$1:$L$24,10,FALSE))),"")</f>
        <v/>
      </c>
      <c r="BA82" s="104">
        <f>IFERROR(IF('BMP P Tracking Table'!$AM82="Yes",MIN(2,IF('BMP P Tracking Table'!$AQ82="Total Pervious",(-(3630*'BMP P Tracking Table'!$AP82+20.691*'BMP P Tracking Table'!$AV82)+SQRT((3630*'BMP P Tracking Table'!$AP82+20.691*'BMP P Tracking Table'!$AV82)^2-(4*(996.798*'BMP P Tracking Table'!$AV82)*-'BMP P Tracking Table'!$AX82)))/(2*(996.798*'BMP P Tracking Table'!$AV82)),IF(SUM('BMP P Tracking Table'!$AR82:$AU82)=0,'BMP P Tracking Table'!$AV82/(-3630*'BMP P Tracking Table'!$AP82),(-(3630*'BMP P Tracking Table'!$AP82+20.691*'BMP P Tracking Table'!$AU82-216.711*'BMP P Tracking Table'!$AT82-83.853*'BMP P Tracking Table'!$AS82-42.834*'BMP P Tracking Table'!$AR82)+SQRT((3630*'BMP P Tracking Table'!$AP82+20.691*'BMP P Tracking Table'!$AU82-216.711*'BMP P Tracking Table'!$AT82-83.853*'BMP P Tracking Table'!$AS82-42.834*'BMP P Tracking Table'!$AR82)^2-(4*(149.919*'BMP P Tracking Table'!$AR82+236.676*'BMP P Tracking Table'!$AS82+726*'BMP P Tracking Table'!$AT82+996.798*'BMP P Tracking Table'!$AU82)*-'BMP P Tracking Table'!$AX82)))/(2*(149.919*'BMP P Tracking Table'!$AR82+236.676*'BMP P Tracking Table'!$AS82+726*'BMP P Tracking Table'!$AT82+996.798*'BMP P Tracking Table'!$AU82))))),MIN(2,IF('BMP P Tracking Table'!$AQ82="Total Pervious",(-(3630*'BMP P Tracking Table'!$V82+20.691*'BMP P Tracking Table'!$AB82)+SQRT((3630*'BMP P Tracking Table'!$V82+20.691*'BMP P Tracking Table'!$AB82)^2-(4*(996.798*'BMP P Tracking Table'!$AB82)*-'BMP P Tracking Table'!$AX82)))/(2*(996.798*'BMP P Tracking Table'!$AB82)),IF(SUM('BMP P Tracking Table'!$X82:$AA82)=0,'BMP P Tracking Table'!$AX82/(-3630*'BMP P Tracking Table'!$V82),(-(3630*'BMP P Tracking Table'!$V82+20.691*'BMP P Tracking Table'!$AA82-216.711*'BMP P Tracking Table'!$Z82-83.853*'BMP P Tracking Table'!$Y82-42.834*'BMP P Tracking Table'!$X82)+SQRT((3630*'BMP P Tracking Table'!$V82+20.691*'BMP P Tracking Table'!$AA82-216.711*'BMP P Tracking Table'!$Z82-83.853*'BMP P Tracking Table'!$Y82-42.834*'BMP P Tracking Table'!$X82)^2-(4*(149.919*'BMP P Tracking Table'!$X82+236.676*'BMP P Tracking Table'!$Y82+726*'BMP P Tracking Table'!$Z82+996.798*'BMP P Tracking Table'!$AA82)*-'BMP P Tracking Table'!$AX82)))/(2*(149.919*'BMP P Tracking Table'!$X82+236.676*'BMP P Tracking Table'!$Y82+726*'BMP P Tracking Table'!$Z82+996.798*'BMP P Tracking Table'!$AA82)))))),"")</f>
        <v>0</v>
      </c>
      <c r="BB82" s="102" t="str">
        <f>IFERROR((VLOOKUP(CONCATENATE('BMP P Tracking Table'!$AW82," ",'BMP P Tracking Table'!$AY82),'Performance Curves'!$C$1:$L$46,_xlfn.SINGLE(MATCH('BMP P Tracking Table'!$BA82,'Performance Curves'!$D$1:$L$1,1))+2,FALSE)-VLOOKUP(CONCATENATE('BMP P Tracking Table'!$AW82," ",'BMP P Tracking Table'!$AY82),'Performance Curves'!$C$1:$L$46,_xlfn.SINGLE(MATCH('BMP P Tracking Table'!$BA82,'Performance Curves'!$D$1:$L$1,1))+1,FALSE)),"")</f>
        <v/>
      </c>
      <c r="BC82" s="102">
        <f>IFERROR(('BMP P Tracking Table'!$BA82-INDEX('Performance Curves'!$D$1:$L$1,1,MATCH('BMP P Tracking Table'!$BA82,'Performance Curves'!$D$1:$L$1,1)))/(INDEX('Performance Curves'!$D$1:$L$1,1,MATCH('BMP P Tracking Table'!$BA82,'Performance Curves'!$D$1:$L$1,1)+1)-INDEX('Performance Curves'!$D$1:$L$1,1,MATCH('BMP P Tracking Table'!$BA82,'Performance Curves'!$D$1:$L$1,1))),"")</f>
        <v>0</v>
      </c>
      <c r="BD82" s="103" t="str" cm="1">
        <f t="array" ref="BD82">IFERROR(IF('BMP P Tracking Table'!$BA82=2,VLOOKUP(CONCATENATE('BMP P Tracking Table'!$AW82," ",'BMP P Tracking Table'!$AY82),'Performance Curves'!$C$1:$L$44,_xlfn.SINGLE(MATCH('BMP P Tracking Table'!$BA82,'Performance Curves'!$D$1:$L$1,1))+1,FALSE),'BMP P Tracking Table'!$BB82*'BMP P Tracking Table'!$BC82+VLOOKUP(CONCATENATE('BMP P Tracking Table'!$AW82," ",'BMP P Tracking Table'!$AY82),'Performance Curves'!$C$1:$L$44,_xlfn.SINGLE(MATCH('BMP P Tracking Table'!$BA82,'Performance Curves'!$D$1:$L$1,1))+1,FALSE)),"")</f>
        <v/>
      </c>
      <c r="BE82" s="104" t="str">
        <f>IFERROR('BMP P Tracking Table'!$BD82*'BMP P Tracking Table'!$AZ82,"")</f>
        <v/>
      </c>
      <c r="BF82" s="98"/>
      <c r="BG82" s="37">
        <f t="shared" si="6"/>
        <v>0</v>
      </c>
      <c r="BI82" s="36" t="str">
        <f t="shared" si="7"/>
        <v>EJ-WR-018</v>
      </c>
      <c r="BJ82" s="36" t="str">
        <f t="shared" si="8"/>
        <v>CB521 Elm St drywell</v>
      </c>
      <c r="BK82" s="36" t="s">
        <v>842</v>
      </c>
      <c r="BP82" s="36" t="s">
        <v>874</v>
      </c>
      <c r="BQ82" s="36">
        <f t="shared" si="9"/>
        <v>0.63</v>
      </c>
      <c r="BR82" s="36">
        <f t="shared" si="10"/>
        <v>0.31</v>
      </c>
      <c r="BS82" s="101">
        <f t="shared" si="11"/>
        <v>0.50793650793650791</v>
      </c>
      <c r="BT82" s="238">
        <f t="shared" si="12"/>
        <v>72500</v>
      </c>
      <c r="BU82" s="238">
        <f t="shared" si="13"/>
        <v>65289.502808925216</v>
      </c>
    </row>
    <row r="83" spans="2:73">
      <c r="B83" s="65" t="s">
        <v>752</v>
      </c>
      <c r="C83" s="65" t="s">
        <v>666</v>
      </c>
      <c r="D83" s="65" t="s">
        <v>325</v>
      </c>
      <c r="E83" s="65" t="s">
        <v>10</v>
      </c>
      <c r="F83" s="94"/>
      <c r="G83" s="94"/>
      <c r="H83" s="65"/>
      <c r="I83" s="65"/>
      <c r="J83" s="65" t="s">
        <v>66</v>
      </c>
      <c r="K83" s="95">
        <f>ROUNDUP((VLOOKUP($U83,Dropdowns!$G$3:$I$17, 3, FALSE))*$AC83,-2)</f>
        <v>92600</v>
      </c>
      <c r="L83" s="65" t="s">
        <v>49</v>
      </c>
      <c r="M83" s="65"/>
      <c r="N83" s="65"/>
      <c r="O83" s="65"/>
      <c r="P83" s="65"/>
      <c r="Q83" s="65" t="s">
        <v>119</v>
      </c>
      <c r="R83" s="65" t="s">
        <v>146</v>
      </c>
      <c r="S83" s="65" t="str">
        <f>IFERROR(VLOOKUP('BMP P Tracking Table'!$R83,Dropdowns!$Q$3:$R$23,2,FALSE),"")</f>
        <v>Main Lake</v>
      </c>
      <c r="T83" s="65" t="s">
        <v>66</v>
      </c>
      <c r="U83" s="65" t="s">
        <v>47</v>
      </c>
      <c r="V83" s="65">
        <f>0.63+0.7</f>
        <v>1.33</v>
      </c>
      <c r="W83" s="65" t="s">
        <v>220</v>
      </c>
      <c r="X83" s="65">
        <v>0.23</v>
      </c>
      <c r="Y83" s="65">
        <v>0</v>
      </c>
      <c r="Z83" s="65">
        <v>0</v>
      </c>
      <c r="AA83" s="65">
        <v>0</v>
      </c>
      <c r="AB83" s="65"/>
      <c r="AC83" s="97">
        <f t="shared" si="14"/>
        <v>4628.25</v>
      </c>
      <c r="AD83" s="65" t="s">
        <v>205</v>
      </c>
      <c r="AE83" s="104">
        <f>IFERROR('BMP P Tracking Table'!$V83*VLOOKUP('BMP P Tracking Table'!$R83,'Loading Rates'!$B$1:$L$24,4,FALSE)+IF('BMP P Tracking Table'!$W83="By HSG",'BMP P Tracking Table'!$X83*VLOOKUP('BMP P Tracking Table'!$R83,'Loading Rates'!$B$1:$L$24,6,FALSE)+'BMP P Tracking Table'!$Y83*VLOOKUP('BMP P Tracking Table'!$R83,'Loading Rates'!$B$1:$L$24,7,FALSE)+'BMP P Tracking Table'!$Z83*VLOOKUP('BMP P Tracking Table'!$R83,'Loading Rates'!$B$1:$L$24,8,FALSE)+'BMP P Tracking Table'!$AA83*VLOOKUP('BMP P Tracking Table'!$R83,'Loading Rates'!$B$1:$L$24,9,FALSE),'BMP P Tracking Table'!$AB83*VLOOKUP('BMP P Tracking Table'!$R83,'Loading Rates'!$B$1:$L$24,10,FALSE)),"")</f>
        <v>1.49021</v>
      </c>
      <c r="AF83" s="104">
        <f>IFERROR(MIN(2,IF('BMP P Tracking Table'!$W83="Total Pervious",(-(3630*'BMP P Tracking Table'!$V83+20.691*'BMP P Tracking Table'!$AB83)+SQRT((3630*'BMP P Tracking Table'!$V83+20.691*'BMP P Tracking Table'!$AB83)^2-(4*(996.798*'BMP P Tracking Table'!$AB83)*-'BMP P Tracking Table'!$AC83)))/(2*(996.798*'BMP P Tracking Table'!$AB83)),IF(SUM('BMP P Tracking Table'!$X83:$AA83)=0,'BMP P Tracking Table'!$AC83/(-3630*'BMP P Tracking Table'!$V83),(-(3630*'BMP P Tracking Table'!$V83+20.691*'BMP P Tracking Table'!$AA83-216.711*'BMP P Tracking Table'!$Z83-83.853*'BMP P Tracking Table'!$Y83-42.834*'BMP P Tracking Table'!$X83)+SQRT((3630*'BMP P Tracking Table'!$V83+20.691*'BMP P Tracking Table'!$AA83-216.711*'BMP P Tracking Table'!$Z83-83.853*'BMP P Tracking Table'!$Y83-42.834*'BMP P Tracking Table'!$X83)^2-(4*(149.919*'BMP P Tracking Table'!$X83+236.676*'BMP P Tracking Table'!$Y83+726*'BMP P Tracking Table'!$Z83+996.798*'BMP P Tracking Table'!$AA83)*-'BMP P Tracking Table'!$AC83)))/(2*(149.919*'BMP P Tracking Table'!$X83+236.676*'BMP P Tracking Table'!$Y83+726*'BMP P Tracking Table'!$Z83+996.798*'BMP P Tracking Table'!$AA83))))),"")</f>
        <v>0.95409213847590979</v>
      </c>
      <c r="AG83" s="104">
        <f>IFERROR((VLOOKUP(CONCATENATE('BMP P Tracking Table'!$U83," ",'BMP P Tracking Table'!$AD83),'Performance Curves'!$C$1:$L$46,_xlfn.SINGLE(MATCH('BMP P Tracking Table'!$AF83,'Performance Curves'!$D$1:$L$1,1))+2,FALSE)-VLOOKUP(CONCATENATE('BMP P Tracking Table'!$U83," ",'BMP P Tracking Table'!$AD83),'Performance Curves'!$C$1:$L$46,_xlfn.SINGLE(MATCH('BMP P Tracking Table'!$AF83,'Performance Curves'!$D$1:$L$1,1))+1,FALSE)),"")</f>
        <v>1.0000000000000009E-2</v>
      </c>
      <c r="AH83" s="104">
        <f>IFERROR(('BMP P Tracking Table'!$AF83-INDEX('Performance Curves'!$D$1:$L$1,1,MATCH('BMP P Tracking Table'!$AF83,'Performance Curves'!$D$1:$L$1,1)))/(INDEX('Performance Curves'!$D$1:$L$1,1,MATCH('BMP P Tracking Table'!$AF83,'Performance Curves'!$D$1:$L$1,1)+1)-INDEX('Performance Curves'!$D$1:$L$1,1,MATCH('BMP P Tracking Table'!$AF83,'Performance Curves'!$D$1:$L$1,1))),"")</f>
        <v>0.77046069237954895</v>
      </c>
      <c r="AI83" s="103">
        <f>IFERROR(IF('BMP P Tracking Table'!$AF83=2,VLOOKUP(CONCATENATE('BMP P Tracking Table'!$U83," ",'BMP P Tracking Table'!$AD83),'Performance Curves'!$C$1:$L$46,_xlfn.SINGLE(MATCH('BMP P Tracking Table'!$AF83,'Performance Curves'!$D$1:$L$1,1))+1,FALSE),'BMP P Tracking Table'!$AG83*'BMP P Tracking Table'!$AH83+VLOOKUP(CONCATENATE('BMP P Tracking Table'!$U83," ",'BMP P Tracking Table'!$AD83),'Performance Curves'!$C$1:$L$46,_xlfn.SINGLE(MATCH('BMP P Tracking Table'!$AF83,'Performance Curves'!$D$1:$L$1,1))+1,FALSE)),"")</f>
        <v>0.99770460692379548</v>
      </c>
      <c r="AJ83" s="104">
        <f>IFERROR('BMP P Tracking Table'!$AI83*'BMP P Tracking Table'!$AE83,"")</f>
        <v>1.4867893822839093</v>
      </c>
      <c r="AK83" s="65"/>
      <c r="AL83" s="98"/>
      <c r="AM83" s="98"/>
      <c r="AN83" s="64">
        <v>1</v>
      </c>
      <c r="AO83" s="102">
        <f t="shared" si="5"/>
        <v>1.4867893822839093</v>
      </c>
      <c r="AP83" s="98"/>
      <c r="AQ83" s="98"/>
      <c r="AR83" s="98"/>
      <c r="AS83" s="98"/>
      <c r="AT83" s="98"/>
      <c r="AU83" s="98"/>
      <c r="AV83" s="98"/>
      <c r="AW83" s="65"/>
      <c r="AX83" s="99"/>
      <c r="AY83" s="99"/>
      <c r="AZ83" s="104" t="str">
        <f>IF('BMP P Tracking Table'!$AL83="Yes",IF('BMP P Tracking Table'!$AM83="No",'BMP P Tracking Table'!$V83*VLOOKUP('BMP P Tracking Table'!$R83,'Loading Rates'!$B$1:$L$24,4,FALSE)+IF('BMP P Tracking Table'!$W83="By HSG",'BMP P Tracking Table'!$X83*VLOOKUP('BMP P Tracking Table'!$R83,'Loading Rates'!$B$1:$L$24,6,FALSE)+'BMP P Tracking Table'!$Y83*VLOOKUP('BMP P Tracking Table'!$R83,'Loading Rates'!$B$1:$L$24,7,FALSE)+'BMP P Tracking Table'!$Z83*VLOOKUP('BMP P Tracking Table'!$R83,'Loading Rates'!$B$1:$L$24,8,FALSE)+'BMP P Tracking Table'!$AA83*VLOOKUP('BMP P Tracking Table'!$R83,'Loading Rates'!$B$1:$L$24,9,FALSE),'BMP P Tracking Table'!$AB83*VLOOKUP('BMP P Tracking Table'!$R83,'Loading Rates'!$B$1:$L$24,10,FALSE)),'BMP P Tracking Table'!$AP83*VLOOKUP('BMP P Tracking Table'!$R83,'Loading Rates'!$B$1:$L$24,4,FALSE)+IF('BMP P Tracking Table'!$AQ83="By HSG",'BMP P Tracking Table'!$AR83*VLOOKUP('BMP P Tracking Table'!$R83,'Loading Rates'!$B$1:$L$24,6,FALSE)+'BMP P Tracking Table'!$AS83*VLOOKUP('BMP P Tracking Table'!$R83,'Loading Rates'!$B$1:$L$24,7,FALSE)+'BMP P Tracking Table'!$AT83*VLOOKUP('BMP P Tracking Table'!$R83,'Loading Rates'!$B$1:$L$24,8,FALSE)+'BMP P Tracking Table'!$AU83*VLOOKUP('BMP P Tracking Table'!$R83,'Loading Rates'!$B$1:$L$24,9,FALSE),'BMP P Tracking Table'!$AV83*VLOOKUP('BMP P Tracking Table'!$R83,'Loading Rates'!$B$1:$L$24,10,FALSE))),"")</f>
        <v/>
      </c>
      <c r="BA83" s="104">
        <f>IFERROR(IF('BMP P Tracking Table'!$AM83="Yes",MIN(2,IF('BMP P Tracking Table'!$AQ83="Total Pervious",(-(3630*'BMP P Tracking Table'!$AP83+20.691*'BMP P Tracking Table'!$AV83)+SQRT((3630*'BMP P Tracking Table'!$AP83+20.691*'BMP P Tracking Table'!$AV83)^2-(4*(996.798*'BMP P Tracking Table'!$AV83)*-'BMP P Tracking Table'!$AX83)))/(2*(996.798*'BMP P Tracking Table'!$AV83)),IF(SUM('BMP P Tracking Table'!$AR83:$AU83)=0,'BMP P Tracking Table'!$AV83/(-3630*'BMP P Tracking Table'!$AP83),(-(3630*'BMP P Tracking Table'!$AP83+20.691*'BMP P Tracking Table'!$AU83-216.711*'BMP P Tracking Table'!$AT83-83.853*'BMP P Tracking Table'!$AS83-42.834*'BMP P Tracking Table'!$AR83)+SQRT((3630*'BMP P Tracking Table'!$AP83+20.691*'BMP P Tracking Table'!$AU83-216.711*'BMP P Tracking Table'!$AT83-83.853*'BMP P Tracking Table'!$AS83-42.834*'BMP P Tracking Table'!$AR83)^2-(4*(149.919*'BMP P Tracking Table'!$AR83+236.676*'BMP P Tracking Table'!$AS83+726*'BMP P Tracking Table'!$AT83+996.798*'BMP P Tracking Table'!$AU83)*-'BMP P Tracking Table'!$AX83)))/(2*(149.919*'BMP P Tracking Table'!$AR83+236.676*'BMP P Tracking Table'!$AS83+726*'BMP P Tracking Table'!$AT83+996.798*'BMP P Tracking Table'!$AU83))))),MIN(2,IF('BMP P Tracking Table'!$AQ83="Total Pervious",(-(3630*'BMP P Tracking Table'!$V83+20.691*'BMP P Tracking Table'!$AB83)+SQRT((3630*'BMP P Tracking Table'!$V83+20.691*'BMP P Tracking Table'!$AB83)^2-(4*(996.798*'BMP P Tracking Table'!$AB83)*-'BMP P Tracking Table'!$AX83)))/(2*(996.798*'BMP P Tracking Table'!$AB83)),IF(SUM('BMP P Tracking Table'!$X83:$AA83)=0,'BMP P Tracking Table'!$AX83/(-3630*'BMP P Tracking Table'!$V83),(-(3630*'BMP P Tracking Table'!$V83+20.691*'BMP P Tracking Table'!$AA83-216.711*'BMP P Tracking Table'!$Z83-83.853*'BMP P Tracking Table'!$Y83-42.834*'BMP P Tracking Table'!$X83)+SQRT((3630*'BMP P Tracking Table'!$V83+20.691*'BMP P Tracking Table'!$AA83-216.711*'BMP P Tracking Table'!$Z83-83.853*'BMP P Tracking Table'!$Y83-42.834*'BMP P Tracking Table'!$X83)^2-(4*(149.919*'BMP P Tracking Table'!$X83+236.676*'BMP P Tracking Table'!$Y83+726*'BMP P Tracking Table'!$Z83+996.798*'BMP P Tracking Table'!$AA83)*-'BMP P Tracking Table'!$AX83)))/(2*(149.919*'BMP P Tracking Table'!$X83+236.676*'BMP P Tracking Table'!$Y83+726*'BMP P Tracking Table'!$Z83+996.798*'BMP P Tracking Table'!$AA83)))))),"")</f>
        <v>0</v>
      </c>
      <c r="BB83" s="102" t="str">
        <f>IFERROR((VLOOKUP(CONCATENATE('BMP P Tracking Table'!$AW83," ",'BMP P Tracking Table'!$AY83),'Performance Curves'!$C$1:$L$46,_xlfn.SINGLE(MATCH('BMP P Tracking Table'!$BA83,'Performance Curves'!$D$1:$L$1,1))+2,FALSE)-VLOOKUP(CONCATENATE('BMP P Tracking Table'!$AW83," ",'BMP P Tracking Table'!$AY83),'Performance Curves'!$C$1:$L$46,_xlfn.SINGLE(MATCH('BMP P Tracking Table'!$BA83,'Performance Curves'!$D$1:$L$1,1))+1,FALSE)),"")</f>
        <v/>
      </c>
      <c r="BC83" s="102">
        <f>IFERROR(('BMP P Tracking Table'!$BA83-INDEX('Performance Curves'!$D$1:$L$1,1,MATCH('BMP P Tracking Table'!$BA83,'Performance Curves'!$D$1:$L$1,1)))/(INDEX('Performance Curves'!$D$1:$L$1,1,MATCH('BMP P Tracking Table'!$BA83,'Performance Curves'!$D$1:$L$1,1)+1)-INDEX('Performance Curves'!$D$1:$L$1,1,MATCH('BMP P Tracking Table'!$BA83,'Performance Curves'!$D$1:$L$1,1))),"")</f>
        <v>0</v>
      </c>
      <c r="BD83" s="103" t="str" cm="1">
        <f t="array" ref="BD83">IFERROR(IF('BMP P Tracking Table'!$BA83=2,VLOOKUP(CONCATENATE('BMP P Tracking Table'!$AW83," ",'BMP P Tracking Table'!$AY83),'Performance Curves'!$C$1:$L$44,_xlfn.SINGLE(MATCH('BMP P Tracking Table'!$BA83,'Performance Curves'!$D$1:$L$1,1))+1,FALSE),'BMP P Tracking Table'!$BB83*'BMP P Tracking Table'!$BC83+VLOOKUP(CONCATENATE('BMP P Tracking Table'!$AW83," ",'BMP P Tracking Table'!$AY83),'Performance Curves'!$C$1:$L$44,_xlfn.SINGLE(MATCH('BMP P Tracking Table'!$BA83,'Performance Curves'!$D$1:$L$1,1))+1,FALSE)),"")</f>
        <v/>
      </c>
      <c r="BE83" s="104" t="str">
        <f>IFERROR('BMP P Tracking Table'!$BD83*'BMP P Tracking Table'!$AZ83,"")</f>
        <v/>
      </c>
      <c r="BF83" s="98"/>
      <c r="BG83" s="37">
        <f t="shared" si="6"/>
        <v>0</v>
      </c>
      <c r="BI83" s="36" t="str">
        <f t="shared" si="7"/>
        <v>EJ-WR-020</v>
      </c>
      <c r="BJ83" s="36" t="str">
        <f t="shared" si="8"/>
        <v>CB523 Elm and Jackson drywell</v>
      </c>
      <c r="BK83" s="36" t="s">
        <v>842</v>
      </c>
      <c r="BP83" s="36" t="s">
        <v>874</v>
      </c>
      <c r="BQ83" s="36">
        <f t="shared" si="9"/>
        <v>1.56</v>
      </c>
      <c r="BR83" s="36">
        <f t="shared" si="10"/>
        <v>0.23</v>
      </c>
      <c r="BS83" s="101">
        <f t="shared" si="11"/>
        <v>0.85256410256410253</v>
      </c>
      <c r="BT83" s="238">
        <f t="shared" si="12"/>
        <v>69624.060150375939</v>
      </c>
      <c r="BU83" s="238">
        <f t="shared" si="13"/>
        <v>62281.854513753584</v>
      </c>
    </row>
    <row r="84" spans="2:73">
      <c r="B84" s="65" t="s">
        <v>744</v>
      </c>
      <c r="C84" s="65" t="s">
        <v>669</v>
      </c>
      <c r="D84" s="65" t="s">
        <v>325</v>
      </c>
      <c r="E84" s="65" t="s">
        <v>10</v>
      </c>
      <c r="F84" s="94"/>
      <c r="G84" s="94"/>
      <c r="H84" s="65"/>
      <c r="I84" s="65"/>
      <c r="J84" s="65" t="s">
        <v>66</v>
      </c>
      <c r="K84" s="95">
        <f>ROUNDUP((VLOOKUP($U84,Dropdowns!$G$3:$I$17, 3, FALSE))*$AC84,-2)</f>
        <v>13600</v>
      </c>
      <c r="L84" s="65" t="s">
        <v>49</v>
      </c>
      <c r="M84" s="65"/>
      <c r="N84" s="65"/>
      <c r="O84" s="65"/>
      <c r="P84" s="65"/>
      <c r="Q84" s="65" t="s">
        <v>119</v>
      </c>
      <c r="R84" s="65" t="s">
        <v>146</v>
      </c>
      <c r="S84" s="65" t="str">
        <f>IFERROR(VLOOKUP('BMP P Tracking Table'!$R84,Dropdowns!$Q$3:$R$23,2,FALSE),"")</f>
        <v>Main Lake</v>
      </c>
      <c r="T84" s="65" t="s">
        <v>66</v>
      </c>
      <c r="U84" s="65" t="s">
        <v>47</v>
      </c>
      <c r="V84" s="65">
        <v>0.18</v>
      </c>
      <c r="W84" s="65" t="s">
        <v>220</v>
      </c>
      <c r="X84" s="65">
        <v>0.3</v>
      </c>
      <c r="Y84" s="65">
        <v>0</v>
      </c>
      <c r="Z84" s="65">
        <v>0</v>
      </c>
      <c r="AA84" s="65">
        <v>0</v>
      </c>
      <c r="AB84" s="65"/>
      <c r="AC84" s="97">
        <f t="shared" si="14"/>
        <v>675.18</v>
      </c>
      <c r="AD84" s="65" t="s">
        <v>206</v>
      </c>
      <c r="AE84" s="104">
        <f>IFERROR('BMP P Tracking Table'!$V84*VLOOKUP('BMP P Tracking Table'!$R84,'Loading Rates'!$B$1:$L$24,4,FALSE)+IF('BMP P Tracking Table'!$W84="By HSG",'BMP P Tracking Table'!$X84*VLOOKUP('BMP P Tracking Table'!$R84,'Loading Rates'!$B$1:$L$24,6,FALSE)+'BMP P Tracking Table'!$Y84*VLOOKUP('BMP P Tracking Table'!$R84,'Loading Rates'!$B$1:$L$24,7,FALSE)+'BMP P Tracking Table'!$Z84*VLOOKUP('BMP P Tracking Table'!$R84,'Loading Rates'!$B$1:$L$24,8,FALSE)+'BMP P Tracking Table'!$AA84*VLOOKUP('BMP P Tracking Table'!$R84,'Loading Rates'!$B$1:$L$24,9,FALSE),'BMP P Tracking Table'!$AB84*VLOOKUP('BMP P Tracking Table'!$R84,'Loading Rates'!$B$1:$L$24,10,FALSE)),"")</f>
        <v>0.20705999999999999</v>
      </c>
      <c r="AF84" s="104">
        <f>IFERROR(MIN(2,IF('BMP P Tracking Table'!$W84="Total Pervious",(-(3630*'BMP P Tracking Table'!$V84+20.691*'BMP P Tracking Table'!$AB84)+SQRT((3630*'BMP P Tracking Table'!$V84+20.691*'BMP P Tracking Table'!$AB84)^2-(4*(996.798*'BMP P Tracking Table'!$AB84)*-'BMP P Tracking Table'!$AC84)))/(2*(996.798*'BMP P Tracking Table'!$AB84)),IF(SUM('BMP P Tracking Table'!$X84:$AA84)=0,'BMP P Tracking Table'!$AC84/(-3630*'BMP P Tracking Table'!$V84),(-(3630*'BMP P Tracking Table'!$V84+20.691*'BMP P Tracking Table'!$AA84-216.711*'BMP P Tracking Table'!$Z84-83.853*'BMP P Tracking Table'!$Y84-42.834*'BMP P Tracking Table'!$X84)+SQRT((3630*'BMP P Tracking Table'!$V84+20.691*'BMP P Tracking Table'!$AA84-216.711*'BMP P Tracking Table'!$Z84-83.853*'BMP P Tracking Table'!$Y84-42.834*'BMP P Tracking Table'!$X84)^2-(4*(149.919*'BMP P Tracking Table'!$X84+236.676*'BMP P Tracking Table'!$Y84+726*'BMP P Tracking Table'!$Z84+996.798*'BMP P Tracking Table'!$AA84)*-'BMP P Tracking Table'!$AC84)))/(2*(149.919*'BMP P Tracking Table'!$X84+236.676*'BMP P Tracking Table'!$Y84+726*'BMP P Tracking Table'!$Z84+996.798*'BMP P Tracking Table'!$AA84))))),"")</f>
        <v>0.98582543541291634</v>
      </c>
      <c r="AG84" s="104">
        <f>IFERROR((VLOOKUP(CONCATENATE('BMP P Tracking Table'!$U84," ",'BMP P Tracking Table'!$AD84),'Performance Curves'!$C$1:$L$46,_xlfn.SINGLE(MATCH('BMP P Tracking Table'!$AF84,'Performance Curves'!$D$1:$L$1,1))+2,FALSE)-VLOOKUP(CONCATENATE('BMP P Tracking Table'!$U84," ",'BMP P Tracking Table'!$AD84),'Performance Curves'!$C$1:$L$46,_xlfn.SINGLE(MATCH('BMP P Tracking Table'!$AF84,'Performance Curves'!$D$1:$L$1,1))+1,FALSE)),"")</f>
        <v>2.0000000000000018E-2</v>
      </c>
      <c r="AH84" s="104">
        <f>IFERROR(('BMP P Tracking Table'!$AF84-INDEX('Performance Curves'!$D$1:$L$1,1,MATCH('BMP P Tracking Table'!$AF84,'Performance Curves'!$D$1:$L$1,1)))/(INDEX('Performance Curves'!$D$1:$L$1,1,MATCH('BMP P Tracking Table'!$AF84,'Performance Curves'!$D$1:$L$1,1)+1)-INDEX('Performance Curves'!$D$1:$L$1,1,MATCH('BMP P Tracking Table'!$AF84,'Performance Curves'!$D$1:$L$1,1))),"")</f>
        <v>0.9291271770645817</v>
      </c>
      <c r="AI84" s="103">
        <f>IFERROR(IF('BMP P Tracking Table'!$AF84=2,VLOOKUP(CONCATENATE('BMP P Tracking Table'!$U84," ",'BMP P Tracking Table'!$AD84),'Performance Curves'!$C$1:$L$46,_xlfn.SINGLE(MATCH('BMP P Tracking Table'!$AF84,'Performance Curves'!$D$1:$L$1,1))+1,FALSE),'BMP P Tracking Table'!$AG84*'BMP P Tracking Table'!$AH84+VLOOKUP(CONCATENATE('BMP P Tracking Table'!$U84," ",'BMP P Tracking Table'!$AD84),'Performance Curves'!$C$1:$L$46,_xlfn.SINGLE(MATCH('BMP P Tracking Table'!$AF84,'Performance Curves'!$D$1:$L$1,1))+1,FALSE)),"")</f>
        <v>0.97858254354129159</v>
      </c>
      <c r="AJ84" s="104">
        <f>IFERROR('BMP P Tracking Table'!$AI84*'BMP P Tracking Table'!$AE84,"")</f>
        <v>0.20262530146565982</v>
      </c>
      <c r="AK84" s="65"/>
      <c r="AL84" s="98"/>
      <c r="AM84" s="98"/>
      <c r="AN84" s="64">
        <v>1</v>
      </c>
      <c r="AO84" s="102">
        <f t="shared" si="5"/>
        <v>0.20262530146565982</v>
      </c>
      <c r="AP84" s="98"/>
      <c r="AQ84" s="98"/>
      <c r="AR84" s="98"/>
      <c r="AS84" s="98"/>
      <c r="AT84" s="98"/>
      <c r="AU84" s="98"/>
      <c r="AV84" s="98"/>
      <c r="AW84" s="65"/>
      <c r="AX84" s="99"/>
      <c r="AY84" s="99"/>
      <c r="AZ84" s="104" t="str">
        <f>IF('BMP P Tracking Table'!$AL84="Yes",IF('BMP P Tracking Table'!$AM84="No",'BMP P Tracking Table'!$V84*VLOOKUP('BMP P Tracking Table'!$R84,'Loading Rates'!$B$1:$L$24,4,FALSE)+IF('BMP P Tracking Table'!$W84="By HSG",'BMP P Tracking Table'!$X84*VLOOKUP('BMP P Tracking Table'!$R84,'Loading Rates'!$B$1:$L$24,6,FALSE)+'BMP P Tracking Table'!$Y84*VLOOKUP('BMP P Tracking Table'!$R84,'Loading Rates'!$B$1:$L$24,7,FALSE)+'BMP P Tracking Table'!$Z84*VLOOKUP('BMP P Tracking Table'!$R84,'Loading Rates'!$B$1:$L$24,8,FALSE)+'BMP P Tracking Table'!$AA84*VLOOKUP('BMP P Tracking Table'!$R84,'Loading Rates'!$B$1:$L$24,9,FALSE),'BMP P Tracking Table'!$AB84*VLOOKUP('BMP P Tracking Table'!$R84,'Loading Rates'!$B$1:$L$24,10,FALSE)),'BMP P Tracking Table'!$AP84*VLOOKUP('BMP P Tracking Table'!$R84,'Loading Rates'!$B$1:$L$24,4,FALSE)+IF('BMP P Tracking Table'!$AQ84="By HSG",'BMP P Tracking Table'!$AR84*VLOOKUP('BMP P Tracking Table'!$R84,'Loading Rates'!$B$1:$L$24,6,FALSE)+'BMP P Tracking Table'!$AS84*VLOOKUP('BMP P Tracking Table'!$R84,'Loading Rates'!$B$1:$L$24,7,FALSE)+'BMP P Tracking Table'!$AT84*VLOOKUP('BMP P Tracking Table'!$R84,'Loading Rates'!$B$1:$L$24,8,FALSE)+'BMP P Tracking Table'!$AU84*VLOOKUP('BMP P Tracking Table'!$R84,'Loading Rates'!$B$1:$L$24,9,FALSE),'BMP P Tracking Table'!$AV84*VLOOKUP('BMP P Tracking Table'!$R84,'Loading Rates'!$B$1:$L$24,10,FALSE))),"")</f>
        <v/>
      </c>
      <c r="BA84" s="104">
        <f>IFERROR(IF('BMP P Tracking Table'!$AM84="Yes",MIN(2,IF('BMP P Tracking Table'!$AQ84="Total Pervious",(-(3630*'BMP P Tracking Table'!$AP84+20.691*'BMP P Tracking Table'!$AV84)+SQRT((3630*'BMP P Tracking Table'!$AP84+20.691*'BMP P Tracking Table'!$AV84)^2-(4*(996.798*'BMP P Tracking Table'!$AV84)*-'BMP P Tracking Table'!$AX84)))/(2*(996.798*'BMP P Tracking Table'!$AV84)),IF(SUM('BMP P Tracking Table'!$AR84:$AU84)=0,'BMP P Tracking Table'!$AV84/(-3630*'BMP P Tracking Table'!$AP84),(-(3630*'BMP P Tracking Table'!$AP84+20.691*'BMP P Tracking Table'!$AU84-216.711*'BMP P Tracking Table'!$AT84-83.853*'BMP P Tracking Table'!$AS84-42.834*'BMP P Tracking Table'!$AR84)+SQRT((3630*'BMP P Tracking Table'!$AP84+20.691*'BMP P Tracking Table'!$AU84-216.711*'BMP P Tracking Table'!$AT84-83.853*'BMP P Tracking Table'!$AS84-42.834*'BMP P Tracking Table'!$AR84)^2-(4*(149.919*'BMP P Tracking Table'!$AR84+236.676*'BMP P Tracking Table'!$AS84+726*'BMP P Tracking Table'!$AT84+996.798*'BMP P Tracking Table'!$AU84)*-'BMP P Tracking Table'!$AX84)))/(2*(149.919*'BMP P Tracking Table'!$AR84+236.676*'BMP P Tracking Table'!$AS84+726*'BMP P Tracking Table'!$AT84+996.798*'BMP P Tracking Table'!$AU84))))),MIN(2,IF('BMP P Tracking Table'!$AQ84="Total Pervious",(-(3630*'BMP P Tracking Table'!$V84+20.691*'BMP P Tracking Table'!$AB84)+SQRT((3630*'BMP P Tracking Table'!$V84+20.691*'BMP P Tracking Table'!$AB84)^2-(4*(996.798*'BMP P Tracking Table'!$AB84)*-'BMP P Tracking Table'!$AX84)))/(2*(996.798*'BMP P Tracking Table'!$AB84)),IF(SUM('BMP P Tracking Table'!$X84:$AA84)=0,'BMP P Tracking Table'!$AX84/(-3630*'BMP P Tracking Table'!$V84),(-(3630*'BMP P Tracking Table'!$V84+20.691*'BMP P Tracking Table'!$AA84-216.711*'BMP P Tracking Table'!$Z84-83.853*'BMP P Tracking Table'!$Y84-42.834*'BMP P Tracking Table'!$X84)+SQRT((3630*'BMP P Tracking Table'!$V84+20.691*'BMP P Tracking Table'!$AA84-216.711*'BMP P Tracking Table'!$Z84-83.853*'BMP P Tracking Table'!$Y84-42.834*'BMP P Tracking Table'!$X84)^2-(4*(149.919*'BMP P Tracking Table'!$X84+236.676*'BMP P Tracking Table'!$Y84+726*'BMP P Tracking Table'!$Z84+996.798*'BMP P Tracking Table'!$AA84)*-'BMP P Tracking Table'!$AX84)))/(2*(149.919*'BMP P Tracking Table'!$X84+236.676*'BMP P Tracking Table'!$Y84+726*'BMP P Tracking Table'!$Z84+996.798*'BMP P Tracking Table'!$AA84)))))),"")</f>
        <v>0</v>
      </c>
      <c r="BB84" s="102" t="str">
        <f>IFERROR((VLOOKUP(CONCATENATE('BMP P Tracking Table'!$AW84," ",'BMP P Tracking Table'!$AY84),'Performance Curves'!$C$1:$L$46,_xlfn.SINGLE(MATCH('BMP P Tracking Table'!$BA84,'Performance Curves'!$D$1:$L$1,1))+2,FALSE)-VLOOKUP(CONCATENATE('BMP P Tracking Table'!$AW84," ",'BMP P Tracking Table'!$AY84),'Performance Curves'!$C$1:$L$46,_xlfn.SINGLE(MATCH('BMP P Tracking Table'!$BA84,'Performance Curves'!$D$1:$L$1,1))+1,FALSE)),"")</f>
        <v/>
      </c>
      <c r="BC84" s="102">
        <f>IFERROR(('BMP P Tracking Table'!$BA84-INDEX('Performance Curves'!$D$1:$L$1,1,MATCH('BMP P Tracking Table'!$BA84,'Performance Curves'!$D$1:$L$1,1)))/(INDEX('Performance Curves'!$D$1:$L$1,1,MATCH('BMP P Tracking Table'!$BA84,'Performance Curves'!$D$1:$L$1,1)+1)-INDEX('Performance Curves'!$D$1:$L$1,1,MATCH('BMP P Tracking Table'!$BA84,'Performance Curves'!$D$1:$L$1,1))),"")</f>
        <v>0</v>
      </c>
      <c r="BD84" s="103" t="str" cm="1">
        <f t="array" ref="BD84">IFERROR(IF('BMP P Tracking Table'!$BA84=2,VLOOKUP(CONCATENATE('BMP P Tracking Table'!$AW84," ",'BMP P Tracking Table'!$AY84),'Performance Curves'!$C$1:$L$44,_xlfn.SINGLE(MATCH('BMP P Tracking Table'!$BA84,'Performance Curves'!$D$1:$L$1,1))+1,FALSE),'BMP P Tracking Table'!$BB84*'BMP P Tracking Table'!$BC84+VLOOKUP(CONCATENATE('BMP P Tracking Table'!$AW84," ",'BMP P Tracking Table'!$AY84),'Performance Curves'!$C$1:$L$44,_xlfn.SINGLE(MATCH('BMP P Tracking Table'!$BA84,'Performance Curves'!$D$1:$L$1,1))+1,FALSE)),"")</f>
        <v/>
      </c>
      <c r="BE84" s="104" t="str">
        <f>IFERROR('BMP P Tracking Table'!$BD84*'BMP P Tracking Table'!$AZ84,"")</f>
        <v/>
      </c>
      <c r="BF84" s="98"/>
      <c r="BG84" s="37">
        <f t="shared" si="6"/>
        <v>0</v>
      </c>
      <c r="BI84" s="36" t="str">
        <f t="shared" si="7"/>
        <v>EJ-WR-017</v>
      </c>
      <c r="BJ84" s="36" t="str">
        <f t="shared" si="8"/>
        <v>CB525 Elm and Jackson drywell</v>
      </c>
      <c r="BK84" s="36" t="s">
        <v>842</v>
      </c>
      <c r="BL84" s="36" t="s">
        <v>822</v>
      </c>
      <c r="BM84" s="36" t="s">
        <v>845</v>
      </c>
      <c r="BN84" s="36" t="s">
        <v>844</v>
      </c>
      <c r="BO84" s="36" t="s">
        <v>819</v>
      </c>
      <c r="BP84" s="36" t="s">
        <v>874</v>
      </c>
      <c r="BQ84" s="36">
        <f t="shared" si="9"/>
        <v>0.48</v>
      </c>
      <c r="BR84" s="36">
        <f t="shared" si="10"/>
        <v>0.3</v>
      </c>
      <c r="BS84" s="101">
        <f t="shared" si="11"/>
        <v>0.375</v>
      </c>
      <c r="BT84" s="238">
        <f t="shared" si="12"/>
        <v>75555.555555555562</v>
      </c>
      <c r="BU84" s="238">
        <f t="shared" si="13"/>
        <v>67118.962447564219</v>
      </c>
    </row>
    <row r="85" spans="2:73">
      <c r="B85" s="65" t="s">
        <v>746</v>
      </c>
      <c r="C85" s="65" t="s">
        <v>670</v>
      </c>
      <c r="D85" s="65" t="s">
        <v>325</v>
      </c>
      <c r="E85" s="65" t="s">
        <v>10</v>
      </c>
      <c r="F85" s="94"/>
      <c r="G85" s="94"/>
      <c r="H85" s="65"/>
      <c r="I85" s="65"/>
      <c r="J85" s="65" t="s">
        <v>66</v>
      </c>
      <c r="K85" s="95">
        <f>ROUNDUP((VLOOKUP($U85,Dropdowns!$G$3:$I$17, 3, FALSE))*$AC85,-2)</f>
        <v>49300</v>
      </c>
      <c r="L85" s="65" t="s">
        <v>49</v>
      </c>
      <c r="M85" s="65"/>
      <c r="N85" s="65"/>
      <c r="O85" s="65"/>
      <c r="P85" s="65"/>
      <c r="Q85" s="65" t="s">
        <v>119</v>
      </c>
      <c r="R85" s="65" t="s">
        <v>146</v>
      </c>
      <c r="S85" s="65" t="s">
        <v>129</v>
      </c>
      <c r="T85" s="65" t="s">
        <v>66</v>
      </c>
      <c r="U85" s="65" t="s">
        <v>47</v>
      </c>
      <c r="V85" s="65">
        <v>0.68</v>
      </c>
      <c r="W85" s="65" t="s">
        <v>220</v>
      </c>
      <c r="X85" s="65">
        <v>0.64</v>
      </c>
      <c r="Y85" s="65">
        <v>0</v>
      </c>
      <c r="Z85" s="65">
        <v>0</v>
      </c>
      <c r="AA85" s="65">
        <v>0</v>
      </c>
      <c r="AB85" s="65"/>
      <c r="AC85" s="97">
        <f t="shared" si="14"/>
        <v>2461.14</v>
      </c>
      <c r="AD85" s="65" t="s">
        <v>206</v>
      </c>
      <c r="AE85" s="104">
        <f>IFERROR('BMP P Tracking Table'!$V85*VLOOKUP('BMP P Tracking Table'!$R85,'Loading Rates'!$B$1:$L$24,4,FALSE)+IF('BMP P Tracking Table'!$W85="By HSG",'BMP P Tracking Table'!$X85*VLOOKUP('BMP P Tracking Table'!$R85,'Loading Rates'!$B$1:$L$24,6,FALSE)+'BMP P Tracking Table'!$Y85*VLOOKUP('BMP P Tracking Table'!$R85,'Loading Rates'!$B$1:$L$24,7,FALSE)+'BMP P Tracking Table'!$Z85*VLOOKUP('BMP P Tracking Table'!$R85,'Loading Rates'!$B$1:$L$24,8,FALSE)+'BMP P Tracking Table'!$AA85*VLOOKUP('BMP P Tracking Table'!$R85,'Loading Rates'!$B$1:$L$24,9,FALSE),'BMP P Tracking Table'!$AB85*VLOOKUP('BMP P Tracking Table'!$R85,'Loading Rates'!$B$1:$L$24,10,FALSE)),"")</f>
        <v>0.77236000000000005</v>
      </c>
      <c r="AF85" s="104">
        <f>IFERROR(MIN(2,IF('BMP P Tracking Table'!$W85="Total Pervious",(-(3630*'BMP P Tracking Table'!$V85+20.691*'BMP P Tracking Table'!$AB85)+SQRT((3630*'BMP P Tracking Table'!$V85+20.691*'BMP P Tracking Table'!$AB85)^2-(4*(996.798*'BMP P Tracking Table'!$AB85)*-'BMP P Tracking Table'!$AC85)))/(2*(996.798*'BMP P Tracking Table'!$AB85)),IF(SUM('BMP P Tracking Table'!$X85:$AA85)=0,'BMP P Tracking Table'!$AC85/(-3630*'BMP P Tracking Table'!$V85),(-(3630*'BMP P Tracking Table'!$V85+20.691*'BMP P Tracking Table'!$AA85-216.711*'BMP P Tracking Table'!$Z85-83.853*'BMP P Tracking Table'!$Y85-42.834*'BMP P Tracking Table'!$X85)+SQRT((3630*'BMP P Tracking Table'!$V85+20.691*'BMP P Tracking Table'!$AA85-216.711*'BMP P Tracking Table'!$Z85-83.853*'BMP P Tracking Table'!$Y85-42.834*'BMP P Tracking Table'!$X85)^2-(4*(149.919*'BMP P Tracking Table'!$X85+236.676*'BMP P Tracking Table'!$Y85+726*'BMP P Tracking Table'!$Z85+996.798*'BMP P Tracking Table'!$AA85)*-'BMP P Tracking Table'!$AC85)))/(2*(149.919*'BMP P Tracking Table'!$X85+236.676*'BMP P Tracking Table'!$Y85+726*'BMP P Tracking Table'!$Z85+996.798*'BMP P Tracking Table'!$AA85))))),"")</f>
        <v>0.97118212440740581</v>
      </c>
      <c r="AG85" s="104">
        <f>IFERROR((VLOOKUP(CONCATENATE('BMP P Tracking Table'!$U85," ",'BMP P Tracking Table'!$AD85),'Performance Curves'!$C$1:$L$46,_xlfn.SINGLE(MATCH('BMP P Tracking Table'!$AF85,'Performance Curves'!$D$1:$L$1,1))+2,FALSE)-VLOOKUP(CONCATENATE('BMP P Tracking Table'!$U85," ",'BMP P Tracking Table'!$AD85),'Performance Curves'!$C$1:$L$46,_xlfn.SINGLE(MATCH('BMP P Tracking Table'!$AF85,'Performance Curves'!$D$1:$L$1,1))+1,FALSE)),"")</f>
        <v>2.0000000000000018E-2</v>
      </c>
      <c r="AH85" s="104">
        <f>IFERROR(('BMP P Tracking Table'!$AF85-INDEX('Performance Curves'!$D$1:$L$1,1,MATCH('BMP P Tracking Table'!$AF85,'Performance Curves'!$D$1:$L$1,1)))/(INDEX('Performance Curves'!$D$1:$L$1,1,MATCH('BMP P Tracking Table'!$AF85,'Performance Curves'!$D$1:$L$1,1)+1)-INDEX('Performance Curves'!$D$1:$L$1,1,MATCH('BMP P Tracking Table'!$AF85,'Performance Curves'!$D$1:$L$1,1))),"")</f>
        <v>0.85591062203702906</v>
      </c>
      <c r="AI85" s="103">
        <f>IFERROR(IF('BMP P Tracking Table'!$AF85=2,VLOOKUP(CONCATENATE('BMP P Tracking Table'!$U85," ",'BMP P Tracking Table'!$AD85),'Performance Curves'!$C$1:$L$46,_xlfn.SINGLE(MATCH('BMP P Tracking Table'!$AF85,'Performance Curves'!$D$1:$L$1,1))+1,FALSE),'BMP P Tracking Table'!$AG85*'BMP P Tracking Table'!$AH85+VLOOKUP(CONCATENATE('BMP P Tracking Table'!$U85," ",'BMP P Tracking Table'!$AD85),'Performance Curves'!$C$1:$L$46,_xlfn.SINGLE(MATCH('BMP P Tracking Table'!$AF85,'Performance Curves'!$D$1:$L$1,1))+1,FALSE)),"")</f>
        <v>0.9771182124407406</v>
      </c>
      <c r="AJ85" s="104">
        <f>IFERROR('BMP P Tracking Table'!$AI85*'BMP P Tracking Table'!$AE85,"")</f>
        <v>0.7546870225607305</v>
      </c>
      <c r="AK85" s="65"/>
      <c r="AL85" s="98"/>
      <c r="AM85" s="98"/>
      <c r="AN85" s="64">
        <v>1</v>
      </c>
      <c r="AO85" s="102">
        <f t="shared" si="5"/>
        <v>0.7546870225607305</v>
      </c>
      <c r="AP85" s="98"/>
      <c r="AQ85" s="98"/>
      <c r="AR85" s="98"/>
      <c r="AS85" s="98"/>
      <c r="AT85" s="98"/>
      <c r="AU85" s="98"/>
      <c r="AV85" s="98"/>
      <c r="AW85" s="65"/>
      <c r="AX85" s="99"/>
      <c r="AY85" s="99"/>
      <c r="AZ85" s="104" t="str">
        <f>IF('BMP P Tracking Table'!$AL85="Yes",IF('BMP P Tracking Table'!$AM85="No",'BMP P Tracking Table'!$V85*VLOOKUP('BMP P Tracking Table'!$R85,'Loading Rates'!$B$1:$L$24,4,FALSE)+IF('BMP P Tracking Table'!$W85="By HSG",'BMP P Tracking Table'!$X85*VLOOKUP('BMP P Tracking Table'!$R85,'Loading Rates'!$B$1:$L$24,6,FALSE)+'BMP P Tracking Table'!$Y85*VLOOKUP('BMP P Tracking Table'!$R85,'Loading Rates'!$B$1:$L$24,7,FALSE)+'BMP P Tracking Table'!$Z85*VLOOKUP('BMP P Tracking Table'!$R85,'Loading Rates'!$B$1:$L$24,8,FALSE)+'BMP P Tracking Table'!$AA85*VLOOKUP('BMP P Tracking Table'!$R85,'Loading Rates'!$B$1:$L$24,9,FALSE),'BMP P Tracking Table'!$AB85*VLOOKUP('BMP P Tracking Table'!$R85,'Loading Rates'!$B$1:$L$24,10,FALSE)),'BMP P Tracking Table'!$AP85*VLOOKUP('BMP P Tracking Table'!$R85,'Loading Rates'!$B$1:$L$24,4,FALSE)+IF('BMP P Tracking Table'!$AQ85="By HSG",'BMP P Tracking Table'!$AR85*VLOOKUP('BMP P Tracking Table'!$R85,'Loading Rates'!$B$1:$L$24,6,FALSE)+'BMP P Tracking Table'!$AS85*VLOOKUP('BMP P Tracking Table'!$R85,'Loading Rates'!$B$1:$L$24,7,FALSE)+'BMP P Tracking Table'!$AT85*VLOOKUP('BMP P Tracking Table'!$R85,'Loading Rates'!$B$1:$L$24,8,FALSE)+'BMP P Tracking Table'!$AU85*VLOOKUP('BMP P Tracking Table'!$R85,'Loading Rates'!$B$1:$L$24,9,FALSE),'BMP P Tracking Table'!$AV85*VLOOKUP('BMP P Tracking Table'!$R85,'Loading Rates'!$B$1:$L$24,10,FALSE))),"")</f>
        <v/>
      </c>
      <c r="BA85" s="104">
        <f>IFERROR(IF('BMP P Tracking Table'!$AM85="Yes",MIN(2,IF('BMP P Tracking Table'!$AQ85="Total Pervious",(-(3630*'BMP P Tracking Table'!$AP85+20.691*'BMP P Tracking Table'!$AV85)+SQRT((3630*'BMP P Tracking Table'!$AP85+20.691*'BMP P Tracking Table'!$AV85)^2-(4*(996.798*'BMP P Tracking Table'!$AV85)*-'BMP P Tracking Table'!$AX85)))/(2*(996.798*'BMP P Tracking Table'!$AV85)),IF(SUM('BMP P Tracking Table'!$AR85:$AU85)=0,'BMP P Tracking Table'!$AV85/(-3630*'BMP P Tracking Table'!$AP85),(-(3630*'BMP P Tracking Table'!$AP85+20.691*'BMP P Tracking Table'!$AU85-216.711*'BMP P Tracking Table'!$AT85-83.853*'BMP P Tracking Table'!$AS85-42.834*'BMP P Tracking Table'!$AR85)+SQRT((3630*'BMP P Tracking Table'!$AP85+20.691*'BMP P Tracking Table'!$AU85-216.711*'BMP P Tracking Table'!$AT85-83.853*'BMP P Tracking Table'!$AS85-42.834*'BMP P Tracking Table'!$AR85)^2-(4*(149.919*'BMP P Tracking Table'!$AR85+236.676*'BMP P Tracking Table'!$AS85+726*'BMP P Tracking Table'!$AT85+996.798*'BMP P Tracking Table'!$AU85)*-'BMP P Tracking Table'!$AX85)))/(2*(149.919*'BMP P Tracking Table'!$AR85+236.676*'BMP P Tracking Table'!$AS85+726*'BMP P Tracking Table'!$AT85+996.798*'BMP P Tracking Table'!$AU85))))),MIN(2,IF('BMP P Tracking Table'!$AQ85="Total Pervious",(-(3630*'BMP P Tracking Table'!$V85+20.691*'BMP P Tracking Table'!$AB85)+SQRT((3630*'BMP P Tracking Table'!$V85+20.691*'BMP P Tracking Table'!$AB85)^2-(4*(996.798*'BMP P Tracking Table'!$AB85)*-'BMP P Tracking Table'!$AX85)))/(2*(996.798*'BMP P Tracking Table'!$AB85)),IF(SUM('BMP P Tracking Table'!$X85:$AA85)=0,'BMP P Tracking Table'!$AX85/(-3630*'BMP P Tracking Table'!$V85),(-(3630*'BMP P Tracking Table'!$V85+20.691*'BMP P Tracking Table'!$AA85-216.711*'BMP P Tracking Table'!$Z85-83.853*'BMP P Tracking Table'!$Y85-42.834*'BMP P Tracking Table'!$X85)+SQRT((3630*'BMP P Tracking Table'!$V85+20.691*'BMP P Tracking Table'!$AA85-216.711*'BMP P Tracking Table'!$Z85-83.853*'BMP P Tracking Table'!$Y85-42.834*'BMP P Tracking Table'!$X85)^2-(4*(149.919*'BMP P Tracking Table'!$X85+236.676*'BMP P Tracking Table'!$Y85+726*'BMP P Tracking Table'!$Z85+996.798*'BMP P Tracking Table'!$AA85)*-'BMP P Tracking Table'!$AX85)))/(2*(149.919*'BMP P Tracking Table'!$X85+236.676*'BMP P Tracking Table'!$Y85+726*'BMP P Tracking Table'!$Z85+996.798*'BMP P Tracking Table'!$AA85)))))),"")</f>
        <v>0</v>
      </c>
      <c r="BB85" s="102" t="str">
        <f>IFERROR((VLOOKUP(CONCATENATE('BMP P Tracking Table'!$AW85," ",'BMP P Tracking Table'!$AY85),'Performance Curves'!$C$1:$L$46,_xlfn.SINGLE(MATCH('BMP P Tracking Table'!$BA85,'Performance Curves'!$D$1:$L$1,1))+2,FALSE)-VLOOKUP(CONCATENATE('BMP P Tracking Table'!$AW85," ",'BMP P Tracking Table'!$AY85),'Performance Curves'!$C$1:$L$46,_xlfn.SINGLE(MATCH('BMP P Tracking Table'!$BA85,'Performance Curves'!$D$1:$L$1,1))+1,FALSE)),"")</f>
        <v/>
      </c>
      <c r="BC85" s="102">
        <f>IFERROR(('BMP P Tracking Table'!$BA85-INDEX('Performance Curves'!$D$1:$L$1,1,MATCH('BMP P Tracking Table'!$BA85,'Performance Curves'!$D$1:$L$1,1)))/(INDEX('Performance Curves'!$D$1:$L$1,1,MATCH('BMP P Tracking Table'!$BA85,'Performance Curves'!$D$1:$L$1,1)+1)-INDEX('Performance Curves'!$D$1:$L$1,1,MATCH('BMP P Tracking Table'!$BA85,'Performance Curves'!$D$1:$L$1,1))),"")</f>
        <v>0</v>
      </c>
      <c r="BD85" s="103" t="str" cm="1">
        <f t="array" ref="BD85">IFERROR(IF('BMP P Tracking Table'!$BA85=2,VLOOKUP(CONCATENATE('BMP P Tracking Table'!$AW85," ",'BMP P Tracking Table'!$AY85),'Performance Curves'!$C$1:$L$44,_xlfn.SINGLE(MATCH('BMP P Tracking Table'!$BA85,'Performance Curves'!$D$1:$L$1,1))+1,FALSE),'BMP P Tracking Table'!$BB85*'BMP P Tracking Table'!$BC85+VLOOKUP(CONCATENATE('BMP P Tracking Table'!$AW85," ",'BMP P Tracking Table'!$AY85),'Performance Curves'!$C$1:$L$44,_xlfn.SINGLE(MATCH('BMP P Tracking Table'!$BA85,'Performance Curves'!$D$1:$L$1,1))+1,FALSE)),"")</f>
        <v/>
      </c>
      <c r="BE85" s="104" t="str">
        <f>IFERROR('BMP P Tracking Table'!$BD85*'BMP P Tracking Table'!$AZ85,"")</f>
        <v/>
      </c>
      <c r="BF85" s="98"/>
      <c r="BG85" s="37">
        <f t="shared" si="6"/>
        <v>0</v>
      </c>
      <c r="BI85" s="36" t="str">
        <f t="shared" si="7"/>
        <v>EJ-WR-015</v>
      </c>
      <c r="BJ85" s="36" t="str">
        <f t="shared" si="8"/>
        <v>CB533 Jackson and McGregor drywell</v>
      </c>
      <c r="BK85" s="36" t="s">
        <v>841</v>
      </c>
      <c r="BP85" s="36" t="s">
        <v>874</v>
      </c>
      <c r="BQ85" s="36">
        <f t="shared" si="9"/>
        <v>1.32</v>
      </c>
      <c r="BR85" s="36">
        <f t="shared" si="10"/>
        <v>0.64</v>
      </c>
      <c r="BS85" s="101">
        <f t="shared" si="11"/>
        <v>0.51515151515151514</v>
      </c>
      <c r="BT85" s="238">
        <f t="shared" si="12"/>
        <v>72500</v>
      </c>
      <c r="BU85" s="238">
        <f t="shared" si="13"/>
        <v>65325.093086561952</v>
      </c>
    </row>
    <row r="86" spans="2:73">
      <c r="B86" s="65" t="s">
        <v>745</v>
      </c>
      <c r="C86" s="65" t="s">
        <v>671</v>
      </c>
      <c r="D86" s="65" t="s">
        <v>325</v>
      </c>
      <c r="E86" s="65" t="s">
        <v>10</v>
      </c>
      <c r="F86" s="94"/>
      <c r="G86" s="94"/>
      <c r="H86" s="65"/>
      <c r="I86" s="65"/>
      <c r="J86" s="65" t="s">
        <v>66</v>
      </c>
      <c r="K86" s="95">
        <f>ROUNDUP((VLOOKUP($U86,Dropdowns!$G$3:$I$17, 3, FALSE))*$AC86,-2)</f>
        <v>23800</v>
      </c>
      <c r="L86" s="65" t="s">
        <v>49</v>
      </c>
      <c r="M86" s="65"/>
      <c r="N86" s="65"/>
      <c r="O86" s="65"/>
      <c r="P86" s="65"/>
      <c r="Q86" s="65" t="s">
        <v>119</v>
      </c>
      <c r="R86" s="65" t="s">
        <v>146</v>
      </c>
      <c r="S86" s="65" t="str">
        <f>IFERROR(VLOOKUP('BMP P Tracking Table'!$R86,Dropdowns!$Q$3:$R$23,2,FALSE),"")</f>
        <v>Main Lake</v>
      </c>
      <c r="T86" s="65" t="s">
        <v>66</v>
      </c>
      <c r="U86" s="65" t="s">
        <v>47</v>
      </c>
      <c r="V86" s="65">
        <v>0.33</v>
      </c>
      <c r="W86" s="65" t="s">
        <v>220</v>
      </c>
      <c r="X86" s="65">
        <v>0.26</v>
      </c>
      <c r="Y86" s="65">
        <v>0</v>
      </c>
      <c r="Z86" s="65">
        <v>0</v>
      </c>
      <c r="AA86" s="65">
        <v>0</v>
      </c>
      <c r="AB86" s="65"/>
      <c r="AC86" s="97">
        <f t="shared" si="14"/>
        <v>1185.1949999999999</v>
      </c>
      <c r="AD86" s="65" t="s">
        <v>206</v>
      </c>
      <c r="AE86" s="104">
        <f>IFERROR('BMP P Tracking Table'!$V86*VLOOKUP('BMP P Tracking Table'!$R86,'Loading Rates'!$B$1:$L$24,4,FALSE)+IF('BMP P Tracking Table'!$W86="By HSG",'BMP P Tracking Table'!$X86*VLOOKUP('BMP P Tracking Table'!$R86,'Loading Rates'!$B$1:$L$24,6,FALSE)+'BMP P Tracking Table'!$Y86*VLOOKUP('BMP P Tracking Table'!$R86,'Loading Rates'!$B$1:$L$24,7,FALSE)+'BMP P Tracking Table'!$Z86*VLOOKUP('BMP P Tracking Table'!$R86,'Loading Rates'!$B$1:$L$24,8,FALSE)+'BMP P Tracking Table'!$AA86*VLOOKUP('BMP P Tracking Table'!$R86,'Loading Rates'!$B$1:$L$24,9,FALSE),'BMP P Tracking Table'!$AB86*VLOOKUP('BMP P Tracking Table'!$R86,'Loading Rates'!$B$1:$L$24,10,FALSE)),"")</f>
        <v>0.37380999999999998</v>
      </c>
      <c r="AF86" s="104">
        <f>IFERROR(MIN(2,IF('BMP P Tracking Table'!$W86="Total Pervious",(-(3630*'BMP P Tracking Table'!$V86+20.691*'BMP P Tracking Table'!$AB86)+SQRT((3630*'BMP P Tracking Table'!$V86+20.691*'BMP P Tracking Table'!$AB86)^2-(4*(996.798*'BMP P Tracking Table'!$AB86)*-'BMP P Tracking Table'!$AC86)))/(2*(996.798*'BMP P Tracking Table'!$AB86)),IF(SUM('BMP P Tracking Table'!$X86:$AA86)=0,'BMP P Tracking Table'!$AC86/(-3630*'BMP P Tracking Table'!$V86),(-(3630*'BMP P Tracking Table'!$V86+20.691*'BMP P Tracking Table'!$AA86-216.711*'BMP P Tracking Table'!$Z86-83.853*'BMP P Tracking Table'!$Y86-42.834*'BMP P Tracking Table'!$X86)+SQRT((3630*'BMP P Tracking Table'!$V86+20.691*'BMP P Tracking Table'!$AA86-216.711*'BMP P Tracking Table'!$Z86-83.853*'BMP P Tracking Table'!$Y86-42.834*'BMP P Tracking Table'!$X86)^2-(4*(149.919*'BMP P Tracking Table'!$X86+236.676*'BMP P Tracking Table'!$Y86+726*'BMP P Tracking Table'!$Z86+996.798*'BMP P Tracking Table'!$AA86)*-'BMP P Tracking Table'!$AC86)))/(2*(149.919*'BMP P Tracking Table'!$X86+236.676*'BMP P Tracking Table'!$Y86+726*'BMP P Tracking Table'!$Z86+996.798*'BMP P Tracking Table'!$AA86))))),"")</f>
        <v>0.96790814525464408</v>
      </c>
      <c r="AG86" s="104">
        <f>IFERROR((VLOOKUP(CONCATENATE('BMP P Tracking Table'!$U86," ",'BMP P Tracking Table'!$AD86),'Performance Curves'!$C$1:$L$46,_xlfn.SINGLE(MATCH('BMP P Tracking Table'!$AF86,'Performance Curves'!$D$1:$L$1,1))+2,FALSE)-VLOOKUP(CONCATENATE('BMP P Tracking Table'!$U86," ",'BMP P Tracking Table'!$AD86),'Performance Curves'!$C$1:$L$46,_xlfn.SINGLE(MATCH('BMP P Tracking Table'!$AF86,'Performance Curves'!$D$1:$L$1,1))+1,FALSE)),"")</f>
        <v>2.0000000000000018E-2</v>
      </c>
      <c r="AH86" s="104">
        <f>IFERROR(('BMP P Tracking Table'!$AF86-INDEX('Performance Curves'!$D$1:$L$1,1,MATCH('BMP P Tracking Table'!$AF86,'Performance Curves'!$D$1:$L$1,1)))/(INDEX('Performance Curves'!$D$1:$L$1,1,MATCH('BMP P Tracking Table'!$AF86,'Performance Curves'!$D$1:$L$1,1)+1)-INDEX('Performance Curves'!$D$1:$L$1,1,MATCH('BMP P Tracking Table'!$AF86,'Performance Curves'!$D$1:$L$1,1))),"")</f>
        <v>0.83954072627322041</v>
      </c>
      <c r="AI86" s="103">
        <f>IFERROR(IF('BMP P Tracking Table'!$AF86=2,VLOOKUP(CONCATENATE('BMP P Tracking Table'!$U86," ",'BMP P Tracking Table'!$AD86),'Performance Curves'!$C$1:$L$46,_xlfn.SINGLE(MATCH('BMP P Tracking Table'!$AF86,'Performance Curves'!$D$1:$L$1,1))+1,FALSE),'BMP P Tracking Table'!$AG86*'BMP P Tracking Table'!$AH86+VLOOKUP(CONCATENATE('BMP P Tracking Table'!$U86," ",'BMP P Tracking Table'!$AD86),'Performance Curves'!$C$1:$L$46,_xlfn.SINGLE(MATCH('BMP P Tracking Table'!$AF86,'Performance Curves'!$D$1:$L$1,1))+1,FALSE)),"")</f>
        <v>0.97679081452546435</v>
      </c>
      <c r="AJ86" s="104">
        <f>IFERROR('BMP P Tracking Table'!$AI86*'BMP P Tracking Table'!$AE86,"")</f>
        <v>0.3651341743777638</v>
      </c>
      <c r="AK86" s="65"/>
      <c r="AL86" s="98"/>
      <c r="AM86" s="98"/>
      <c r="AN86" s="64">
        <v>1</v>
      </c>
      <c r="AO86" s="102">
        <f t="shared" si="5"/>
        <v>0.3651341743777638</v>
      </c>
      <c r="AP86" s="98"/>
      <c r="AQ86" s="98"/>
      <c r="AR86" s="98"/>
      <c r="AS86" s="98"/>
      <c r="AT86" s="98"/>
      <c r="AU86" s="98"/>
      <c r="AV86" s="98"/>
      <c r="AW86" s="65"/>
      <c r="AX86" s="99"/>
      <c r="AY86" s="99"/>
      <c r="AZ86" s="104" t="str">
        <f>IF('BMP P Tracking Table'!$AL86="Yes",IF('BMP P Tracking Table'!$AM86="No",'BMP P Tracking Table'!$V86*VLOOKUP('BMP P Tracking Table'!$R86,'Loading Rates'!$B$1:$L$24,4,FALSE)+IF('BMP P Tracking Table'!$W86="By HSG",'BMP P Tracking Table'!$X86*VLOOKUP('BMP P Tracking Table'!$R86,'Loading Rates'!$B$1:$L$24,6,FALSE)+'BMP P Tracking Table'!$Y86*VLOOKUP('BMP P Tracking Table'!$R86,'Loading Rates'!$B$1:$L$24,7,FALSE)+'BMP P Tracking Table'!$Z86*VLOOKUP('BMP P Tracking Table'!$R86,'Loading Rates'!$B$1:$L$24,8,FALSE)+'BMP P Tracking Table'!$AA86*VLOOKUP('BMP P Tracking Table'!$R86,'Loading Rates'!$B$1:$L$24,9,FALSE),'BMP P Tracking Table'!$AB86*VLOOKUP('BMP P Tracking Table'!$R86,'Loading Rates'!$B$1:$L$24,10,FALSE)),'BMP P Tracking Table'!$AP86*VLOOKUP('BMP P Tracking Table'!$R86,'Loading Rates'!$B$1:$L$24,4,FALSE)+IF('BMP P Tracking Table'!$AQ86="By HSG",'BMP P Tracking Table'!$AR86*VLOOKUP('BMP P Tracking Table'!$R86,'Loading Rates'!$B$1:$L$24,6,FALSE)+'BMP P Tracking Table'!$AS86*VLOOKUP('BMP P Tracking Table'!$R86,'Loading Rates'!$B$1:$L$24,7,FALSE)+'BMP P Tracking Table'!$AT86*VLOOKUP('BMP P Tracking Table'!$R86,'Loading Rates'!$B$1:$L$24,8,FALSE)+'BMP P Tracking Table'!$AU86*VLOOKUP('BMP P Tracking Table'!$R86,'Loading Rates'!$B$1:$L$24,9,FALSE),'BMP P Tracking Table'!$AV86*VLOOKUP('BMP P Tracking Table'!$R86,'Loading Rates'!$B$1:$L$24,10,FALSE))),"")</f>
        <v/>
      </c>
      <c r="BA86" s="104">
        <f>IFERROR(IF('BMP P Tracking Table'!$AM86="Yes",MIN(2,IF('BMP P Tracking Table'!$AQ86="Total Pervious",(-(3630*'BMP P Tracking Table'!$AP86+20.691*'BMP P Tracking Table'!$AV86)+SQRT((3630*'BMP P Tracking Table'!$AP86+20.691*'BMP P Tracking Table'!$AV86)^2-(4*(996.798*'BMP P Tracking Table'!$AV86)*-'BMP P Tracking Table'!$AX86)))/(2*(996.798*'BMP P Tracking Table'!$AV86)),IF(SUM('BMP P Tracking Table'!$AR86:$AU86)=0,'BMP P Tracking Table'!$AV86/(-3630*'BMP P Tracking Table'!$AP86),(-(3630*'BMP P Tracking Table'!$AP86+20.691*'BMP P Tracking Table'!$AU86-216.711*'BMP P Tracking Table'!$AT86-83.853*'BMP P Tracking Table'!$AS86-42.834*'BMP P Tracking Table'!$AR86)+SQRT((3630*'BMP P Tracking Table'!$AP86+20.691*'BMP P Tracking Table'!$AU86-216.711*'BMP P Tracking Table'!$AT86-83.853*'BMP P Tracking Table'!$AS86-42.834*'BMP P Tracking Table'!$AR86)^2-(4*(149.919*'BMP P Tracking Table'!$AR86+236.676*'BMP P Tracking Table'!$AS86+726*'BMP P Tracking Table'!$AT86+996.798*'BMP P Tracking Table'!$AU86)*-'BMP P Tracking Table'!$AX86)))/(2*(149.919*'BMP P Tracking Table'!$AR86+236.676*'BMP P Tracking Table'!$AS86+726*'BMP P Tracking Table'!$AT86+996.798*'BMP P Tracking Table'!$AU86))))),MIN(2,IF('BMP P Tracking Table'!$AQ86="Total Pervious",(-(3630*'BMP P Tracking Table'!$V86+20.691*'BMP P Tracking Table'!$AB86)+SQRT((3630*'BMP P Tracking Table'!$V86+20.691*'BMP P Tracking Table'!$AB86)^2-(4*(996.798*'BMP P Tracking Table'!$AB86)*-'BMP P Tracking Table'!$AX86)))/(2*(996.798*'BMP P Tracking Table'!$AB86)),IF(SUM('BMP P Tracking Table'!$X86:$AA86)=0,'BMP P Tracking Table'!$AX86/(-3630*'BMP P Tracking Table'!$V86),(-(3630*'BMP P Tracking Table'!$V86+20.691*'BMP P Tracking Table'!$AA86-216.711*'BMP P Tracking Table'!$Z86-83.853*'BMP P Tracking Table'!$Y86-42.834*'BMP P Tracking Table'!$X86)+SQRT((3630*'BMP P Tracking Table'!$V86+20.691*'BMP P Tracking Table'!$AA86-216.711*'BMP P Tracking Table'!$Z86-83.853*'BMP P Tracking Table'!$Y86-42.834*'BMP P Tracking Table'!$X86)^2-(4*(149.919*'BMP P Tracking Table'!$X86+236.676*'BMP P Tracking Table'!$Y86+726*'BMP P Tracking Table'!$Z86+996.798*'BMP P Tracking Table'!$AA86)*-'BMP P Tracking Table'!$AX86)))/(2*(149.919*'BMP P Tracking Table'!$X86+236.676*'BMP P Tracking Table'!$Y86+726*'BMP P Tracking Table'!$Z86+996.798*'BMP P Tracking Table'!$AA86)))))),"")</f>
        <v>0</v>
      </c>
      <c r="BB86" s="102" t="str">
        <f>IFERROR((VLOOKUP(CONCATENATE('BMP P Tracking Table'!$AW86," ",'BMP P Tracking Table'!$AY86),'Performance Curves'!$C$1:$L$46,_xlfn.SINGLE(MATCH('BMP P Tracking Table'!$BA86,'Performance Curves'!$D$1:$L$1,1))+2,FALSE)-VLOOKUP(CONCATENATE('BMP P Tracking Table'!$AW86," ",'BMP P Tracking Table'!$AY86),'Performance Curves'!$C$1:$L$46,_xlfn.SINGLE(MATCH('BMP P Tracking Table'!$BA86,'Performance Curves'!$D$1:$L$1,1))+1,FALSE)),"")</f>
        <v/>
      </c>
      <c r="BC86" s="102">
        <f>IFERROR(('BMP P Tracking Table'!$BA86-INDEX('Performance Curves'!$D$1:$L$1,1,MATCH('BMP P Tracking Table'!$BA86,'Performance Curves'!$D$1:$L$1,1)))/(INDEX('Performance Curves'!$D$1:$L$1,1,MATCH('BMP P Tracking Table'!$BA86,'Performance Curves'!$D$1:$L$1,1)+1)-INDEX('Performance Curves'!$D$1:$L$1,1,MATCH('BMP P Tracking Table'!$BA86,'Performance Curves'!$D$1:$L$1,1))),"")</f>
        <v>0</v>
      </c>
      <c r="BD86" s="103" t="str" cm="1">
        <f t="array" ref="BD86">IFERROR(IF('BMP P Tracking Table'!$BA86=2,VLOOKUP(CONCATENATE('BMP P Tracking Table'!$AW86," ",'BMP P Tracking Table'!$AY86),'Performance Curves'!$C$1:$L$44,_xlfn.SINGLE(MATCH('BMP P Tracking Table'!$BA86,'Performance Curves'!$D$1:$L$1,1))+1,FALSE),'BMP P Tracking Table'!$BB86*'BMP P Tracking Table'!$BC86+VLOOKUP(CONCATENATE('BMP P Tracking Table'!$AW86," ",'BMP P Tracking Table'!$AY86),'Performance Curves'!$C$1:$L$44,_xlfn.SINGLE(MATCH('BMP P Tracking Table'!$BA86,'Performance Curves'!$D$1:$L$1,1))+1,FALSE)),"")</f>
        <v/>
      </c>
      <c r="BE86" s="104" t="str">
        <f>IFERROR('BMP P Tracking Table'!$BD86*'BMP P Tracking Table'!$AZ86,"")</f>
        <v/>
      </c>
      <c r="BF86" s="92"/>
      <c r="BG86" s="37">
        <f t="shared" si="6"/>
        <v>0</v>
      </c>
      <c r="BI86" s="36" t="str">
        <f t="shared" si="7"/>
        <v>EJ-WR-014</v>
      </c>
      <c r="BJ86" s="36" t="str">
        <f t="shared" si="8"/>
        <v>CB546 McGregor and Grant drywell</v>
      </c>
      <c r="BK86" s="36" t="s">
        <v>841</v>
      </c>
      <c r="BP86" s="36" t="s">
        <v>874</v>
      </c>
      <c r="BQ86" s="36">
        <f t="shared" si="9"/>
        <v>0.59000000000000008</v>
      </c>
      <c r="BR86" s="36">
        <f t="shared" si="10"/>
        <v>0.26</v>
      </c>
      <c r="BS86" s="101">
        <f t="shared" si="11"/>
        <v>0.55932203389830504</v>
      </c>
      <c r="BT86" s="238">
        <f t="shared" si="12"/>
        <v>72121.212121212113</v>
      </c>
      <c r="BU86" s="238">
        <f t="shared" si="13"/>
        <v>65181.518658335117</v>
      </c>
    </row>
    <row r="87" spans="2:73">
      <c r="B87" s="65" t="s">
        <v>741</v>
      </c>
      <c r="C87" s="65" t="s">
        <v>672</v>
      </c>
      <c r="D87" s="65" t="s">
        <v>325</v>
      </c>
      <c r="E87" s="65" t="s">
        <v>10</v>
      </c>
      <c r="F87" s="94"/>
      <c r="G87" s="94"/>
      <c r="H87" s="65"/>
      <c r="I87" s="65"/>
      <c r="J87" s="65" t="s">
        <v>66</v>
      </c>
      <c r="K87" s="95">
        <f>ROUNDUP((VLOOKUP($U87,Dropdowns!$G$3:$I$17, 3, FALSE))*$AC87,-2)</f>
        <v>10200</v>
      </c>
      <c r="L87" s="65" t="s">
        <v>49</v>
      </c>
      <c r="M87" s="65"/>
      <c r="N87" s="65"/>
      <c r="O87" s="65"/>
      <c r="P87" s="65"/>
      <c r="Q87" s="65" t="s">
        <v>119</v>
      </c>
      <c r="R87" s="65" t="s">
        <v>146</v>
      </c>
      <c r="S87" s="65" t="str">
        <f>IFERROR(VLOOKUP('BMP P Tracking Table'!$R87,Dropdowns!$Q$3:$R$23,2,FALSE),"")</f>
        <v>Main Lake</v>
      </c>
      <c r="T87" s="65" t="s">
        <v>66</v>
      </c>
      <c r="U87" s="65" t="s">
        <v>47</v>
      </c>
      <c r="V87" s="65">
        <v>0.14000000000000001</v>
      </c>
      <c r="W87" s="65" t="s">
        <v>220</v>
      </c>
      <c r="X87" s="65">
        <v>0.13</v>
      </c>
      <c r="Y87" s="65">
        <v>0</v>
      </c>
      <c r="Z87" s="65">
        <v>0</v>
      </c>
      <c r="AA87" s="65">
        <v>0</v>
      </c>
      <c r="AB87" s="65"/>
      <c r="AC87" s="97">
        <f t="shared" si="14"/>
        <v>506.38499999999993</v>
      </c>
      <c r="AD87" s="65" t="s">
        <v>206</v>
      </c>
      <c r="AE87" s="104">
        <f>IFERROR('BMP P Tracking Table'!$V87*VLOOKUP('BMP P Tracking Table'!$R87,'Loading Rates'!$B$1:$L$24,4,FALSE)+IF('BMP P Tracking Table'!$W87="By HSG",'BMP P Tracking Table'!$X87*VLOOKUP('BMP P Tracking Table'!$R87,'Loading Rates'!$B$1:$L$24,6,FALSE)+'BMP P Tracking Table'!$Y87*VLOOKUP('BMP P Tracking Table'!$R87,'Loading Rates'!$B$1:$L$24,7,FALSE)+'BMP P Tracking Table'!$Z87*VLOOKUP('BMP P Tracking Table'!$R87,'Loading Rates'!$B$1:$L$24,8,FALSE)+'BMP P Tracking Table'!$AA87*VLOOKUP('BMP P Tracking Table'!$R87,'Loading Rates'!$B$1:$L$24,9,FALSE),'BMP P Tracking Table'!$AB87*VLOOKUP('BMP P Tracking Table'!$R87,'Loading Rates'!$B$1:$L$24,10,FALSE)),"")</f>
        <v>0.15898000000000001</v>
      </c>
      <c r="AF87" s="104">
        <f>IFERROR(MIN(2,IF('BMP P Tracking Table'!$W87="Total Pervious",(-(3630*'BMP P Tracking Table'!$V87+20.691*'BMP P Tracking Table'!$AB87)+SQRT((3630*'BMP P Tracking Table'!$V87+20.691*'BMP P Tracking Table'!$AB87)^2-(4*(996.798*'BMP P Tracking Table'!$AB87)*-'BMP P Tracking Table'!$AC87)))/(2*(996.798*'BMP P Tracking Table'!$AB87)),IF(SUM('BMP P Tracking Table'!$X87:$AA87)=0,'BMP P Tracking Table'!$AC87/(-3630*'BMP P Tracking Table'!$V87),(-(3630*'BMP P Tracking Table'!$V87+20.691*'BMP P Tracking Table'!$AA87-216.711*'BMP P Tracking Table'!$Z87-83.853*'BMP P Tracking Table'!$Y87-42.834*'BMP P Tracking Table'!$X87)+SQRT((3630*'BMP P Tracking Table'!$V87+20.691*'BMP P Tracking Table'!$AA87-216.711*'BMP P Tracking Table'!$Z87-83.853*'BMP P Tracking Table'!$Y87-42.834*'BMP P Tracking Table'!$X87)^2-(4*(149.919*'BMP P Tracking Table'!$X87+236.676*'BMP P Tracking Table'!$Y87+726*'BMP P Tracking Table'!$Z87+996.798*'BMP P Tracking Table'!$AA87)*-'BMP P Tracking Table'!$AC87)))/(2*(149.919*'BMP P Tracking Table'!$X87+236.676*'BMP P Tracking Table'!$Y87+726*'BMP P Tracking Table'!$Z87+996.798*'BMP P Tracking Table'!$AA87))))),"")</f>
        <v>0.97091537949089002</v>
      </c>
      <c r="AG87" s="104">
        <f>IFERROR((VLOOKUP(CONCATENATE('BMP P Tracking Table'!$U87," ",'BMP P Tracking Table'!$AD87),'Performance Curves'!$C$1:$L$46,_xlfn.SINGLE(MATCH('BMP P Tracking Table'!$AF87,'Performance Curves'!$D$1:$L$1,1))+2,FALSE)-VLOOKUP(CONCATENATE('BMP P Tracking Table'!$U87," ",'BMP P Tracking Table'!$AD87),'Performance Curves'!$C$1:$L$46,_xlfn.SINGLE(MATCH('BMP P Tracking Table'!$AF87,'Performance Curves'!$D$1:$L$1,1))+1,FALSE)),"")</f>
        <v>2.0000000000000018E-2</v>
      </c>
      <c r="AH87" s="104">
        <f>IFERROR(('BMP P Tracking Table'!$AF87-INDEX('Performance Curves'!$D$1:$L$1,1,MATCH('BMP P Tracking Table'!$AF87,'Performance Curves'!$D$1:$L$1,1)))/(INDEX('Performance Curves'!$D$1:$L$1,1,MATCH('BMP P Tracking Table'!$AF87,'Performance Curves'!$D$1:$L$1,1)+1)-INDEX('Performance Curves'!$D$1:$L$1,1,MATCH('BMP P Tracking Table'!$AF87,'Performance Curves'!$D$1:$L$1,1))),"")</f>
        <v>0.85457689745445009</v>
      </c>
      <c r="AI87" s="103">
        <f>IFERROR(IF('BMP P Tracking Table'!$AF87=2,VLOOKUP(CONCATENATE('BMP P Tracking Table'!$U87," ",'BMP P Tracking Table'!$AD87),'Performance Curves'!$C$1:$L$46,_xlfn.SINGLE(MATCH('BMP P Tracking Table'!$AF87,'Performance Curves'!$D$1:$L$1,1))+1,FALSE),'BMP P Tracking Table'!$AG87*'BMP P Tracking Table'!$AH87+VLOOKUP(CONCATENATE('BMP P Tracking Table'!$U87," ",'BMP P Tracking Table'!$AD87),'Performance Curves'!$C$1:$L$46,_xlfn.SINGLE(MATCH('BMP P Tracking Table'!$AF87,'Performance Curves'!$D$1:$L$1,1))+1,FALSE)),"")</f>
        <v>0.97709153794908898</v>
      </c>
      <c r="AJ87" s="104">
        <f>IFERROR('BMP P Tracking Table'!$AI87*'BMP P Tracking Table'!$AE87,"")</f>
        <v>0.15533801270314618</v>
      </c>
      <c r="AK87" s="65"/>
      <c r="AL87" s="98"/>
      <c r="AM87" s="98"/>
      <c r="AN87" s="64">
        <v>1</v>
      </c>
      <c r="AO87" s="102">
        <f t="shared" si="5"/>
        <v>0.15533801270314618</v>
      </c>
      <c r="AP87" s="98"/>
      <c r="AQ87" s="98"/>
      <c r="AR87" s="98"/>
      <c r="AS87" s="98"/>
      <c r="AT87" s="98"/>
      <c r="AU87" s="98"/>
      <c r="AV87" s="98"/>
      <c r="AW87" s="65"/>
      <c r="AX87" s="99"/>
      <c r="AY87" s="99"/>
      <c r="AZ87" s="104" t="str">
        <f>IF('BMP P Tracking Table'!$AL87="Yes",IF('BMP P Tracking Table'!$AM87="No",'BMP P Tracking Table'!$V87*VLOOKUP('BMP P Tracking Table'!$R87,'Loading Rates'!$B$1:$L$24,4,FALSE)+IF('BMP P Tracking Table'!$W87="By HSG",'BMP P Tracking Table'!$X87*VLOOKUP('BMP P Tracking Table'!$R87,'Loading Rates'!$B$1:$L$24,6,FALSE)+'BMP P Tracking Table'!$Y87*VLOOKUP('BMP P Tracking Table'!$R87,'Loading Rates'!$B$1:$L$24,7,FALSE)+'BMP P Tracking Table'!$Z87*VLOOKUP('BMP P Tracking Table'!$R87,'Loading Rates'!$B$1:$L$24,8,FALSE)+'BMP P Tracking Table'!$AA87*VLOOKUP('BMP P Tracking Table'!$R87,'Loading Rates'!$B$1:$L$24,9,FALSE),'BMP P Tracking Table'!$AB87*VLOOKUP('BMP P Tracking Table'!$R87,'Loading Rates'!$B$1:$L$24,10,FALSE)),'BMP P Tracking Table'!$AP87*VLOOKUP('BMP P Tracking Table'!$R87,'Loading Rates'!$B$1:$L$24,4,FALSE)+IF('BMP P Tracking Table'!$AQ87="By HSG",'BMP P Tracking Table'!$AR87*VLOOKUP('BMP P Tracking Table'!$R87,'Loading Rates'!$B$1:$L$24,6,FALSE)+'BMP P Tracking Table'!$AS87*VLOOKUP('BMP P Tracking Table'!$R87,'Loading Rates'!$B$1:$L$24,7,FALSE)+'BMP P Tracking Table'!$AT87*VLOOKUP('BMP P Tracking Table'!$R87,'Loading Rates'!$B$1:$L$24,8,FALSE)+'BMP P Tracking Table'!$AU87*VLOOKUP('BMP P Tracking Table'!$R87,'Loading Rates'!$B$1:$L$24,9,FALSE),'BMP P Tracking Table'!$AV87*VLOOKUP('BMP P Tracking Table'!$R87,'Loading Rates'!$B$1:$L$24,10,FALSE))),"")</f>
        <v/>
      </c>
      <c r="BA87" s="104">
        <f>IFERROR(IF('BMP P Tracking Table'!$AM87="Yes",MIN(2,IF('BMP P Tracking Table'!$AQ87="Total Pervious",(-(3630*'BMP P Tracking Table'!$AP87+20.691*'BMP P Tracking Table'!$AV87)+SQRT((3630*'BMP P Tracking Table'!$AP87+20.691*'BMP P Tracking Table'!$AV87)^2-(4*(996.798*'BMP P Tracking Table'!$AV87)*-'BMP P Tracking Table'!$AX87)))/(2*(996.798*'BMP P Tracking Table'!$AV87)),IF(SUM('BMP P Tracking Table'!$AR87:$AU87)=0,'BMP P Tracking Table'!$AV87/(-3630*'BMP P Tracking Table'!$AP87),(-(3630*'BMP P Tracking Table'!$AP87+20.691*'BMP P Tracking Table'!$AU87-216.711*'BMP P Tracking Table'!$AT87-83.853*'BMP P Tracking Table'!$AS87-42.834*'BMP P Tracking Table'!$AR87)+SQRT((3630*'BMP P Tracking Table'!$AP87+20.691*'BMP P Tracking Table'!$AU87-216.711*'BMP P Tracking Table'!$AT87-83.853*'BMP P Tracking Table'!$AS87-42.834*'BMP P Tracking Table'!$AR87)^2-(4*(149.919*'BMP P Tracking Table'!$AR87+236.676*'BMP P Tracking Table'!$AS87+726*'BMP P Tracking Table'!$AT87+996.798*'BMP P Tracking Table'!$AU87)*-'BMP P Tracking Table'!$AX87)))/(2*(149.919*'BMP P Tracking Table'!$AR87+236.676*'BMP P Tracking Table'!$AS87+726*'BMP P Tracking Table'!$AT87+996.798*'BMP P Tracking Table'!$AU87))))),MIN(2,IF('BMP P Tracking Table'!$AQ87="Total Pervious",(-(3630*'BMP P Tracking Table'!$V87+20.691*'BMP P Tracking Table'!$AB87)+SQRT((3630*'BMP P Tracking Table'!$V87+20.691*'BMP P Tracking Table'!$AB87)^2-(4*(996.798*'BMP P Tracking Table'!$AB87)*-'BMP P Tracking Table'!$AX87)))/(2*(996.798*'BMP P Tracking Table'!$AB87)),IF(SUM('BMP P Tracking Table'!$X87:$AA87)=0,'BMP P Tracking Table'!$AX87/(-3630*'BMP P Tracking Table'!$V87),(-(3630*'BMP P Tracking Table'!$V87+20.691*'BMP P Tracking Table'!$AA87-216.711*'BMP P Tracking Table'!$Z87-83.853*'BMP P Tracking Table'!$Y87-42.834*'BMP P Tracking Table'!$X87)+SQRT((3630*'BMP P Tracking Table'!$V87+20.691*'BMP P Tracking Table'!$AA87-216.711*'BMP P Tracking Table'!$Z87-83.853*'BMP P Tracking Table'!$Y87-42.834*'BMP P Tracking Table'!$X87)^2-(4*(149.919*'BMP P Tracking Table'!$X87+236.676*'BMP P Tracking Table'!$Y87+726*'BMP P Tracking Table'!$Z87+996.798*'BMP P Tracking Table'!$AA87)*-'BMP P Tracking Table'!$AX87)))/(2*(149.919*'BMP P Tracking Table'!$X87+236.676*'BMP P Tracking Table'!$Y87+726*'BMP P Tracking Table'!$Z87+996.798*'BMP P Tracking Table'!$AA87)))))),"")</f>
        <v>0</v>
      </c>
      <c r="BB87" s="102" t="str">
        <f>IFERROR((VLOOKUP(CONCATENATE('BMP P Tracking Table'!$AW87," ",'BMP P Tracking Table'!$AY87),'Performance Curves'!$C$1:$L$46,_xlfn.SINGLE(MATCH('BMP P Tracking Table'!$BA87,'Performance Curves'!$D$1:$L$1,1))+2,FALSE)-VLOOKUP(CONCATENATE('BMP P Tracking Table'!$AW87," ",'BMP P Tracking Table'!$AY87),'Performance Curves'!$C$1:$L$46,_xlfn.SINGLE(MATCH('BMP P Tracking Table'!$BA87,'Performance Curves'!$D$1:$L$1,1))+1,FALSE)),"")</f>
        <v/>
      </c>
      <c r="BC87" s="102">
        <f>IFERROR(('BMP P Tracking Table'!$BA87-INDEX('Performance Curves'!$D$1:$L$1,1,MATCH('BMP P Tracking Table'!$BA87,'Performance Curves'!$D$1:$L$1,1)))/(INDEX('Performance Curves'!$D$1:$L$1,1,MATCH('BMP P Tracking Table'!$BA87,'Performance Curves'!$D$1:$L$1,1)+1)-INDEX('Performance Curves'!$D$1:$L$1,1,MATCH('BMP P Tracking Table'!$BA87,'Performance Curves'!$D$1:$L$1,1))),"")</f>
        <v>0</v>
      </c>
      <c r="BD87" s="103" t="str" cm="1">
        <f t="array" ref="BD87">IFERROR(IF('BMP P Tracking Table'!$BA87=2,VLOOKUP(CONCATENATE('BMP P Tracking Table'!$AW87," ",'BMP P Tracking Table'!$AY87),'Performance Curves'!$C$1:$L$44,_xlfn.SINGLE(MATCH('BMP P Tracking Table'!$BA87,'Performance Curves'!$D$1:$L$1,1))+1,FALSE),'BMP P Tracking Table'!$BB87*'BMP P Tracking Table'!$BC87+VLOOKUP(CONCATENATE('BMP P Tracking Table'!$AW87," ",'BMP P Tracking Table'!$AY87),'Performance Curves'!$C$1:$L$44,_xlfn.SINGLE(MATCH('BMP P Tracking Table'!$BA87,'Performance Curves'!$D$1:$L$1,1))+1,FALSE)),"")</f>
        <v/>
      </c>
      <c r="BE87" s="104" t="str">
        <f>IFERROR('BMP P Tracking Table'!$BD87*'BMP P Tracking Table'!$AZ87,"")</f>
        <v/>
      </c>
      <c r="BF87" s="98"/>
      <c r="BG87" s="37">
        <f t="shared" si="6"/>
        <v>0</v>
      </c>
      <c r="BI87" s="36" t="str">
        <f t="shared" si="7"/>
        <v>EJ-WR-013</v>
      </c>
      <c r="BJ87" s="36" t="str">
        <f t="shared" si="8"/>
        <v>CB532 MCGregor and Jackson drywell</v>
      </c>
      <c r="BK87" s="36" t="s">
        <v>841</v>
      </c>
      <c r="BP87" s="36" t="s">
        <v>874</v>
      </c>
      <c r="BQ87" s="36">
        <f t="shared" si="9"/>
        <v>0.27</v>
      </c>
      <c r="BR87" s="36">
        <f t="shared" si="10"/>
        <v>0.13</v>
      </c>
      <c r="BS87" s="101">
        <f t="shared" si="11"/>
        <v>0.51851851851851849</v>
      </c>
      <c r="BT87" s="238">
        <f t="shared" si="12"/>
        <v>72857.142857142855</v>
      </c>
      <c r="BU87" s="238">
        <f t="shared" si="13"/>
        <v>65663.257965662211</v>
      </c>
    </row>
    <row r="88" spans="2:73">
      <c r="B88" s="65" t="s">
        <v>739</v>
      </c>
      <c r="C88" s="65" t="s">
        <v>673</v>
      </c>
      <c r="D88" s="65" t="s">
        <v>325</v>
      </c>
      <c r="E88" s="65" t="s">
        <v>10</v>
      </c>
      <c r="F88" s="94"/>
      <c r="G88" s="94"/>
      <c r="H88" s="65"/>
      <c r="I88" s="65"/>
      <c r="J88" s="65" t="s">
        <v>66</v>
      </c>
      <c r="K88" s="95">
        <f>ROUNDUP((VLOOKUP($U88,Dropdowns!$G$3:$I$17, 3, FALSE))*$AC88,-2)</f>
        <v>11200</v>
      </c>
      <c r="L88" s="65" t="s">
        <v>49</v>
      </c>
      <c r="M88" s="65"/>
      <c r="N88" s="65"/>
      <c r="O88" s="65"/>
      <c r="P88" s="65"/>
      <c r="Q88" s="65" t="s">
        <v>119</v>
      </c>
      <c r="R88" s="65" t="s">
        <v>146</v>
      </c>
      <c r="S88" s="65" t="str">
        <f>IFERROR(VLOOKUP('BMP P Tracking Table'!$R88,Dropdowns!$Q$3:$R$23,2,FALSE),"")</f>
        <v>Main Lake</v>
      </c>
      <c r="T88" s="65" t="s">
        <v>66</v>
      </c>
      <c r="U88" s="65" t="s">
        <v>47</v>
      </c>
      <c r="V88" s="65">
        <v>0.15</v>
      </c>
      <c r="W88" s="65" t="s">
        <v>220</v>
      </c>
      <c r="X88" s="65">
        <v>0.21</v>
      </c>
      <c r="Y88" s="65">
        <v>0</v>
      </c>
      <c r="Z88" s="65">
        <v>0</v>
      </c>
      <c r="AA88" s="65">
        <v>0</v>
      </c>
      <c r="AB88" s="65"/>
      <c r="AC88" s="97">
        <f t="shared" si="14"/>
        <v>555.39</v>
      </c>
      <c r="AD88" s="65" t="s">
        <v>206</v>
      </c>
      <c r="AE88" s="104">
        <f>IFERROR('BMP P Tracking Table'!$V88*VLOOKUP('BMP P Tracking Table'!$R88,'Loading Rates'!$B$1:$L$24,4,FALSE)+IF('BMP P Tracking Table'!$W88="By HSG",'BMP P Tracking Table'!$X88*VLOOKUP('BMP P Tracking Table'!$R88,'Loading Rates'!$B$1:$L$24,6,FALSE)+'BMP P Tracking Table'!$Y88*VLOOKUP('BMP P Tracking Table'!$R88,'Loading Rates'!$B$1:$L$24,7,FALSE)+'BMP P Tracking Table'!$Z88*VLOOKUP('BMP P Tracking Table'!$R88,'Loading Rates'!$B$1:$L$24,8,FALSE)+'BMP P Tracking Table'!$AA88*VLOOKUP('BMP P Tracking Table'!$R88,'Loading Rates'!$B$1:$L$24,9,FALSE),'BMP P Tracking Table'!$AB88*VLOOKUP('BMP P Tracking Table'!$R88,'Loading Rates'!$B$1:$L$24,10,FALSE)),"")</f>
        <v>0.17175000000000001</v>
      </c>
      <c r="AF88" s="104">
        <f>IFERROR(MIN(2,IF('BMP P Tracking Table'!$W88="Total Pervious",(-(3630*'BMP P Tracking Table'!$V88+20.691*'BMP P Tracking Table'!$AB88)+SQRT((3630*'BMP P Tracking Table'!$V88+20.691*'BMP P Tracking Table'!$AB88)^2-(4*(996.798*'BMP P Tracking Table'!$AB88)*-'BMP P Tracking Table'!$AC88)))/(2*(996.798*'BMP P Tracking Table'!$AB88)),IF(SUM('BMP P Tracking Table'!$X88:$AA88)=0,'BMP P Tracking Table'!$AC88/(-3630*'BMP P Tracking Table'!$V88),(-(3630*'BMP P Tracking Table'!$V88+20.691*'BMP P Tracking Table'!$AA88-216.711*'BMP P Tracking Table'!$Z88-83.853*'BMP P Tracking Table'!$Y88-42.834*'BMP P Tracking Table'!$X88)+SQRT((3630*'BMP P Tracking Table'!$V88+20.691*'BMP P Tracking Table'!$AA88-216.711*'BMP P Tracking Table'!$Z88-83.853*'BMP P Tracking Table'!$Y88-42.834*'BMP P Tracking Table'!$X88)^2-(4*(149.919*'BMP P Tracking Table'!$X88+236.676*'BMP P Tracking Table'!$Y88+726*'BMP P Tracking Table'!$Z88+996.798*'BMP P Tracking Table'!$AA88)*-'BMP P Tracking Table'!$AC88)))/(2*(149.919*'BMP P Tracking Table'!$X88+236.676*'BMP P Tracking Table'!$Y88+726*'BMP P Tracking Table'!$Z88+996.798*'BMP P Tracking Table'!$AA88))))),"")</f>
        <v>0.98060106380676837</v>
      </c>
      <c r="AG88" s="104">
        <f>IFERROR((VLOOKUP(CONCATENATE('BMP P Tracking Table'!$U88," ",'BMP P Tracking Table'!$AD88),'Performance Curves'!$C$1:$L$46,_xlfn.SINGLE(MATCH('BMP P Tracking Table'!$AF88,'Performance Curves'!$D$1:$L$1,1))+2,FALSE)-VLOOKUP(CONCATENATE('BMP P Tracking Table'!$U88," ",'BMP P Tracking Table'!$AD88),'Performance Curves'!$C$1:$L$46,_xlfn.SINGLE(MATCH('BMP P Tracking Table'!$AF88,'Performance Curves'!$D$1:$L$1,1))+1,FALSE)),"")</f>
        <v>2.0000000000000018E-2</v>
      </c>
      <c r="AH88" s="104">
        <f>IFERROR(('BMP P Tracking Table'!$AF88-INDEX('Performance Curves'!$D$1:$L$1,1,MATCH('BMP P Tracking Table'!$AF88,'Performance Curves'!$D$1:$L$1,1)))/(INDEX('Performance Curves'!$D$1:$L$1,1,MATCH('BMP P Tracking Table'!$AF88,'Performance Curves'!$D$1:$L$1,1)+1)-INDEX('Performance Curves'!$D$1:$L$1,1,MATCH('BMP P Tracking Table'!$AF88,'Performance Curves'!$D$1:$L$1,1))),"")</f>
        <v>0.90300531903384185</v>
      </c>
      <c r="AI88" s="103">
        <f>IFERROR(IF('BMP P Tracking Table'!$AF88=2,VLOOKUP(CONCATENATE('BMP P Tracking Table'!$U88," ",'BMP P Tracking Table'!$AD88),'Performance Curves'!$C$1:$L$46,_xlfn.SINGLE(MATCH('BMP P Tracking Table'!$AF88,'Performance Curves'!$D$1:$L$1,1))+1,FALSE),'BMP P Tracking Table'!$AG88*'BMP P Tracking Table'!$AH88+VLOOKUP(CONCATENATE('BMP P Tracking Table'!$U88," ",'BMP P Tracking Table'!$AD88),'Performance Curves'!$C$1:$L$46,_xlfn.SINGLE(MATCH('BMP P Tracking Table'!$AF88,'Performance Curves'!$D$1:$L$1,1))+1,FALSE)),"")</f>
        <v>0.97806010638067686</v>
      </c>
      <c r="AJ88" s="104">
        <f>IFERROR('BMP P Tracking Table'!$AI88*'BMP P Tracking Table'!$AE88,"")</f>
        <v>0.16798182327088126</v>
      </c>
      <c r="AK88" s="65"/>
      <c r="AL88" s="98"/>
      <c r="AM88" s="98"/>
      <c r="AN88" s="64">
        <v>1</v>
      </c>
      <c r="AO88" s="102">
        <f t="shared" si="5"/>
        <v>0.16798182327088126</v>
      </c>
      <c r="AP88" s="98"/>
      <c r="AQ88" s="98"/>
      <c r="AR88" s="98"/>
      <c r="AS88" s="98"/>
      <c r="AT88" s="98"/>
      <c r="AU88" s="98"/>
      <c r="AV88" s="98"/>
      <c r="AW88" s="65"/>
      <c r="AX88" s="99"/>
      <c r="AY88" s="99"/>
      <c r="AZ88" s="104" t="str">
        <f>IF('BMP P Tracking Table'!$AL88="Yes",IF('BMP P Tracking Table'!$AM88="No",'BMP P Tracking Table'!$V88*VLOOKUP('BMP P Tracking Table'!$R88,'Loading Rates'!$B$1:$L$24,4,FALSE)+IF('BMP P Tracking Table'!$W88="By HSG",'BMP P Tracking Table'!$X88*VLOOKUP('BMP P Tracking Table'!$R88,'Loading Rates'!$B$1:$L$24,6,FALSE)+'BMP P Tracking Table'!$Y88*VLOOKUP('BMP P Tracking Table'!$R88,'Loading Rates'!$B$1:$L$24,7,FALSE)+'BMP P Tracking Table'!$Z88*VLOOKUP('BMP P Tracking Table'!$R88,'Loading Rates'!$B$1:$L$24,8,FALSE)+'BMP P Tracking Table'!$AA88*VLOOKUP('BMP P Tracking Table'!$R88,'Loading Rates'!$B$1:$L$24,9,FALSE),'BMP P Tracking Table'!$AB88*VLOOKUP('BMP P Tracking Table'!$R88,'Loading Rates'!$B$1:$L$24,10,FALSE)),'BMP P Tracking Table'!$AP88*VLOOKUP('BMP P Tracking Table'!$R88,'Loading Rates'!$B$1:$L$24,4,FALSE)+IF('BMP P Tracking Table'!$AQ88="By HSG",'BMP P Tracking Table'!$AR88*VLOOKUP('BMP P Tracking Table'!$R88,'Loading Rates'!$B$1:$L$24,6,FALSE)+'BMP P Tracking Table'!$AS88*VLOOKUP('BMP P Tracking Table'!$R88,'Loading Rates'!$B$1:$L$24,7,FALSE)+'BMP P Tracking Table'!$AT88*VLOOKUP('BMP P Tracking Table'!$R88,'Loading Rates'!$B$1:$L$24,8,FALSE)+'BMP P Tracking Table'!$AU88*VLOOKUP('BMP P Tracking Table'!$R88,'Loading Rates'!$B$1:$L$24,9,FALSE),'BMP P Tracking Table'!$AV88*VLOOKUP('BMP P Tracking Table'!$R88,'Loading Rates'!$B$1:$L$24,10,FALSE))),"")</f>
        <v/>
      </c>
      <c r="BA88" s="104">
        <f>IFERROR(IF('BMP P Tracking Table'!$AM88="Yes",MIN(2,IF('BMP P Tracking Table'!$AQ88="Total Pervious",(-(3630*'BMP P Tracking Table'!$AP88+20.691*'BMP P Tracking Table'!$AV88)+SQRT((3630*'BMP P Tracking Table'!$AP88+20.691*'BMP P Tracking Table'!$AV88)^2-(4*(996.798*'BMP P Tracking Table'!$AV88)*-'BMP P Tracking Table'!$AX88)))/(2*(996.798*'BMP P Tracking Table'!$AV88)),IF(SUM('BMP P Tracking Table'!$AR88:$AU88)=0,'BMP P Tracking Table'!$AV88/(-3630*'BMP P Tracking Table'!$AP88),(-(3630*'BMP P Tracking Table'!$AP88+20.691*'BMP P Tracking Table'!$AU88-216.711*'BMP P Tracking Table'!$AT88-83.853*'BMP P Tracking Table'!$AS88-42.834*'BMP P Tracking Table'!$AR88)+SQRT((3630*'BMP P Tracking Table'!$AP88+20.691*'BMP P Tracking Table'!$AU88-216.711*'BMP P Tracking Table'!$AT88-83.853*'BMP P Tracking Table'!$AS88-42.834*'BMP P Tracking Table'!$AR88)^2-(4*(149.919*'BMP P Tracking Table'!$AR88+236.676*'BMP P Tracking Table'!$AS88+726*'BMP P Tracking Table'!$AT88+996.798*'BMP P Tracking Table'!$AU88)*-'BMP P Tracking Table'!$AX88)))/(2*(149.919*'BMP P Tracking Table'!$AR88+236.676*'BMP P Tracking Table'!$AS88+726*'BMP P Tracking Table'!$AT88+996.798*'BMP P Tracking Table'!$AU88))))),MIN(2,IF('BMP P Tracking Table'!$AQ88="Total Pervious",(-(3630*'BMP P Tracking Table'!$V88+20.691*'BMP P Tracking Table'!$AB88)+SQRT((3630*'BMP P Tracking Table'!$V88+20.691*'BMP P Tracking Table'!$AB88)^2-(4*(996.798*'BMP P Tracking Table'!$AB88)*-'BMP P Tracking Table'!$AX88)))/(2*(996.798*'BMP P Tracking Table'!$AB88)),IF(SUM('BMP P Tracking Table'!$X88:$AA88)=0,'BMP P Tracking Table'!$AX88/(-3630*'BMP P Tracking Table'!$V88),(-(3630*'BMP P Tracking Table'!$V88+20.691*'BMP P Tracking Table'!$AA88-216.711*'BMP P Tracking Table'!$Z88-83.853*'BMP P Tracking Table'!$Y88-42.834*'BMP P Tracking Table'!$X88)+SQRT((3630*'BMP P Tracking Table'!$V88+20.691*'BMP P Tracking Table'!$AA88-216.711*'BMP P Tracking Table'!$Z88-83.853*'BMP P Tracking Table'!$Y88-42.834*'BMP P Tracking Table'!$X88)^2-(4*(149.919*'BMP P Tracking Table'!$X88+236.676*'BMP P Tracking Table'!$Y88+726*'BMP P Tracking Table'!$Z88+996.798*'BMP P Tracking Table'!$AA88)*-'BMP P Tracking Table'!$AX88)))/(2*(149.919*'BMP P Tracking Table'!$X88+236.676*'BMP P Tracking Table'!$Y88+726*'BMP P Tracking Table'!$Z88+996.798*'BMP P Tracking Table'!$AA88)))))),"")</f>
        <v>0</v>
      </c>
      <c r="BB88" s="102" t="str">
        <f>IFERROR((VLOOKUP(CONCATENATE('BMP P Tracking Table'!$AW88," ",'BMP P Tracking Table'!$AY88),'Performance Curves'!$C$1:$L$46,_xlfn.SINGLE(MATCH('BMP P Tracking Table'!$BA88,'Performance Curves'!$D$1:$L$1,1))+2,FALSE)-VLOOKUP(CONCATENATE('BMP P Tracking Table'!$AW88," ",'BMP P Tracking Table'!$AY88),'Performance Curves'!$C$1:$L$46,_xlfn.SINGLE(MATCH('BMP P Tracking Table'!$BA88,'Performance Curves'!$D$1:$L$1,1))+1,FALSE)),"")</f>
        <v/>
      </c>
      <c r="BC88" s="102">
        <f>IFERROR(('BMP P Tracking Table'!$BA88-INDEX('Performance Curves'!$D$1:$L$1,1,MATCH('BMP P Tracking Table'!$BA88,'Performance Curves'!$D$1:$L$1,1)))/(INDEX('Performance Curves'!$D$1:$L$1,1,MATCH('BMP P Tracking Table'!$BA88,'Performance Curves'!$D$1:$L$1,1)+1)-INDEX('Performance Curves'!$D$1:$L$1,1,MATCH('BMP P Tracking Table'!$BA88,'Performance Curves'!$D$1:$L$1,1))),"")</f>
        <v>0</v>
      </c>
      <c r="BD88" s="103" t="str" cm="1">
        <f t="array" ref="BD88">IFERROR(IF('BMP P Tracking Table'!$BA88=2,VLOOKUP(CONCATENATE('BMP P Tracking Table'!$AW88," ",'BMP P Tracking Table'!$AY88),'Performance Curves'!$C$1:$L$44,_xlfn.SINGLE(MATCH('BMP P Tracking Table'!$BA88,'Performance Curves'!$D$1:$L$1,1))+1,FALSE),'BMP P Tracking Table'!$BB88*'BMP P Tracking Table'!$BC88+VLOOKUP(CONCATENATE('BMP P Tracking Table'!$AW88," ",'BMP P Tracking Table'!$AY88),'Performance Curves'!$C$1:$L$44,_xlfn.SINGLE(MATCH('BMP P Tracking Table'!$BA88,'Performance Curves'!$D$1:$L$1,1))+1,FALSE)),"")</f>
        <v/>
      </c>
      <c r="BE88" s="104" t="str">
        <f>IFERROR('BMP P Tracking Table'!$BD88*'BMP P Tracking Table'!$AZ88,"")</f>
        <v/>
      </c>
      <c r="BF88" s="98"/>
      <c r="BG88" s="37">
        <f t="shared" si="6"/>
        <v>0</v>
      </c>
      <c r="BI88" s="36" t="str">
        <f t="shared" si="7"/>
        <v>EJ-WR-011</v>
      </c>
      <c r="BJ88" s="36" t="str">
        <f t="shared" si="8"/>
        <v>CB535 Grant and Jackson drywell</v>
      </c>
      <c r="BK88" s="36" t="s">
        <v>841</v>
      </c>
      <c r="BP88" s="36" t="s">
        <v>874</v>
      </c>
      <c r="BQ88" s="36">
        <f t="shared" si="9"/>
        <v>0.36</v>
      </c>
      <c r="BR88" s="36">
        <f t="shared" si="10"/>
        <v>0.21</v>
      </c>
      <c r="BS88" s="101">
        <f t="shared" si="11"/>
        <v>0.41666666666666669</v>
      </c>
      <c r="BT88" s="238">
        <f t="shared" si="12"/>
        <v>74666.666666666672</v>
      </c>
      <c r="BU88" s="238">
        <f t="shared" si="13"/>
        <v>66673.880434904524</v>
      </c>
    </row>
    <row r="89" spans="2:73">
      <c r="B89" s="65" t="s">
        <v>737</v>
      </c>
      <c r="C89" s="65" t="s">
        <v>674</v>
      </c>
      <c r="D89" s="65" t="s">
        <v>325</v>
      </c>
      <c r="E89" s="65" t="s">
        <v>10</v>
      </c>
      <c r="F89" s="94"/>
      <c r="G89" s="94"/>
      <c r="H89" s="65"/>
      <c r="I89" s="65"/>
      <c r="J89" s="65" t="s">
        <v>66</v>
      </c>
      <c r="K89" s="95">
        <f>ROUNDUP((VLOOKUP($U89,Dropdowns!$G$3:$I$17, 3, FALSE))*$AC89,-2)</f>
        <v>20100</v>
      </c>
      <c r="L89" s="65" t="s">
        <v>49</v>
      </c>
      <c r="M89" s="65"/>
      <c r="N89" s="65"/>
      <c r="O89" s="65"/>
      <c r="P89" s="65"/>
      <c r="Q89" s="65" t="s">
        <v>119</v>
      </c>
      <c r="R89" s="65" t="s">
        <v>146</v>
      </c>
      <c r="S89" s="65" t="str">
        <f>IFERROR(VLOOKUP('BMP P Tracking Table'!$R89,Dropdowns!$Q$3:$R$23,2,FALSE),"")</f>
        <v>Main Lake</v>
      </c>
      <c r="T89" s="65" t="s">
        <v>66</v>
      </c>
      <c r="U89" s="65" t="s">
        <v>47</v>
      </c>
      <c r="V89" s="65">
        <v>0.25</v>
      </c>
      <c r="W89" s="65" t="s">
        <v>220</v>
      </c>
      <c r="X89" s="65">
        <v>0.77</v>
      </c>
      <c r="Y89" s="65">
        <v>0</v>
      </c>
      <c r="Z89" s="65">
        <v>0</v>
      </c>
      <c r="AA89" s="65">
        <v>0</v>
      </c>
      <c r="AB89" s="65"/>
      <c r="AC89" s="97">
        <f t="shared" si="14"/>
        <v>1001.8799999999999</v>
      </c>
      <c r="AD89" s="65" t="s">
        <v>206</v>
      </c>
      <c r="AE89" s="104">
        <f>IFERROR('BMP P Tracking Table'!$V89*VLOOKUP('BMP P Tracking Table'!$R89,'Loading Rates'!$B$1:$L$24,4,FALSE)+IF('BMP P Tracking Table'!$W89="By HSG",'BMP P Tracking Table'!$X89*VLOOKUP('BMP P Tracking Table'!$R89,'Loading Rates'!$B$1:$L$24,6,FALSE)+'BMP P Tracking Table'!$Y89*VLOOKUP('BMP P Tracking Table'!$R89,'Loading Rates'!$B$1:$L$24,7,FALSE)+'BMP P Tracking Table'!$Z89*VLOOKUP('BMP P Tracking Table'!$R89,'Loading Rates'!$B$1:$L$24,8,FALSE)+'BMP P Tracking Table'!$AA89*VLOOKUP('BMP P Tracking Table'!$R89,'Loading Rates'!$B$1:$L$24,9,FALSE),'BMP P Tracking Table'!$AB89*VLOOKUP('BMP P Tracking Table'!$R89,'Loading Rates'!$B$1:$L$24,10,FALSE)),"")</f>
        <v>0.29465000000000002</v>
      </c>
      <c r="AF89" s="104">
        <f>IFERROR(MIN(2,IF('BMP P Tracking Table'!$W89="Total Pervious",(-(3630*'BMP P Tracking Table'!$V89+20.691*'BMP P Tracking Table'!$AB89)+SQRT((3630*'BMP P Tracking Table'!$V89+20.691*'BMP P Tracking Table'!$AB89)^2-(4*(996.798*'BMP P Tracking Table'!$AB89)*-'BMP P Tracking Table'!$AC89)))/(2*(996.798*'BMP P Tracking Table'!$AB89)),IF(SUM('BMP P Tracking Table'!$X89:$AA89)=0,'BMP P Tracking Table'!$AC89/(-3630*'BMP P Tracking Table'!$V89),(-(3630*'BMP P Tracking Table'!$V89+20.691*'BMP P Tracking Table'!$AA89-216.711*'BMP P Tracking Table'!$Z89-83.853*'BMP P Tracking Table'!$Y89-42.834*'BMP P Tracking Table'!$X89)+SQRT((3630*'BMP P Tracking Table'!$V89+20.691*'BMP P Tracking Table'!$AA89-216.711*'BMP P Tracking Table'!$Z89-83.853*'BMP P Tracking Table'!$Y89-42.834*'BMP P Tracking Table'!$X89)^2-(4*(149.919*'BMP P Tracking Table'!$X89+236.676*'BMP P Tracking Table'!$Y89+726*'BMP P Tracking Table'!$Z89+996.798*'BMP P Tracking Table'!$AA89)*-'BMP P Tracking Table'!$AC89)))/(2*(149.919*'BMP P Tracking Table'!$X89+236.676*'BMP P Tracking Table'!$Y89+726*'BMP P Tracking Table'!$Z89+996.798*'BMP P Tracking Table'!$AA89))))),"")</f>
        <v>1.0107754848734625</v>
      </c>
      <c r="AG89" s="104">
        <f>IFERROR((VLOOKUP(CONCATENATE('BMP P Tracking Table'!$U89," ",'BMP P Tracking Table'!$AD89),'Performance Curves'!$C$1:$L$46,_xlfn.SINGLE(MATCH('BMP P Tracking Table'!$AF89,'Performance Curves'!$D$1:$L$1,1))+2,FALSE)-VLOOKUP(CONCATENATE('BMP P Tracking Table'!$U89," ",'BMP P Tracking Table'!$AD89),'Performance Curves'!$C$1:$L$46,_xlfn.SINGLE(MATCH('BMP P Tracking Table'!$AF89,'Performance Curves'!$D$1:$L$1,1))+1,FALSE)),"")</f>
        <v>2.0000000000000018E-2</v>
      </c>
      <c r="AH89" s="104">
        <f>IFERROR(('BMP P Tracking Table'!$AF89-INDEX('Performance Curves'!$D$1:$L$1,1,MATCH('BMP P Tracking Table'!$AF89,'Performance Curves'!$D$1:$L$1,1)))/(INDEX('Performance Curves'!$D$1:$L$1,1,MATCH('BMP P Tracking Table'!$AF89,'Performance Curves'!$D$1:$L$1,1)+1)-INDEX('Performance Curves'!$D$1:$L$1,1,MATCH('BMP P Tracking Table'!$AF89,'Performance Curves'!$D$1:$L$1,1))),"")</f>
        <v>2.1550969746924942E-2</v>
      </c>
      <c r="AI89" s="103">
        <f>IFERROR(IF('BMP P Tracking Table'!$AF89=2,VLOOKUP(CONCATENATE('BMP P Tracking Table'!$U89," ",'BMP P Tracking Table'!$AD89),'Performance Curves'!$C$1:$L$46,_xlfn.SINGLE(MATCH('BMP P Tracking Table'!$AF89,'Performance Curves'!$D$1:$L$1,1))+1,FALSE),'BMP P Tracking Table'!$AG89*'BMP P Tracking Table'!$AH89+VLOOKUP(CONCATENATE('BMP P Tracking Table'!$U89," ",'BMP P Tracking Table'!$AD89),'Performance Curves'!$C$1:$L$46,_xlfn.SINGLE(MATCH('BMP P Tracking Table'!$AF89,'Performance Curves'!$D$1:$L$1,1))+1,FALSE)),"")</f>
        <v>0.98043101939493849</v>
      </c>
      <c r="AJ89" s="104">
        <f>IFERROR('BMP P Tracking Table'!$AI89*'BMP P Tracking Table'!$AE89,"")</f>
        <v>0.28888399986471863</v>
      </c>
      <c r="AK89" s="65"/>
      <c r="AL89" s="98"/>
      <c r="AM89" s="98"/>
      <c r="AN89" s="64">
        <v>1</v>
      </c>
      <c r="AO89" s="102">
        <f t="shared" si="5"/>
        <v>0.28888399986471863</v>
      </c>
      <c r="AP89" s="98"/>
      <c r="AQ89" s="98"/>
      <c r="AR89" s="98"/>
      <c r="AS89" s="98"/>
      <c r="AT89" s="98"/>
      <c r="AU89" s="98"/>
      <c r="AV89" s="98"/>
      <c r="AW89" s="65"/>
      <c r="AX89" s="99"/>
      <c r="AY89" s="99"/>
      <c r="AZ89" s="104" t="str">
        <f>IF('BMP P Tracking Table'!$AL89="Yes",IF('BMP P Tracking Table'!$AM89="No",'BMP P Tracking Table'!$V89*VLOOKUP('BMP P Tracking Table'!$R89,'Loading Rates'!$B$1:$L$24,4,FALSE)+IF('BMP P Tracking Table'!$W89="By HSG",'BMP P Tracking Table'!$X89*VLOOKUP('BMP P Tracking Table'!$R89,'Loading Rates'!$B$1:$L$24,6,FALSE)+'BMP P Tracking Table'!$Y89*VLOOKUP('BMP P Tracking Table'!$R89,'Loading Rates'!$B$1:$L$24,7,FALSE)+'BMP P Tracking Table'!$Z89*VLOOKUP('BMP P Tracking Table'!$R89,'Loading Rates'!$B$1:$L$24,8,FALSE)+'BMP P Tracking Table'!$AA89*VLOOKUP('BMP P Tracking Table'!$R89,'Loading Rates'!$B$1:$L$24,9,FALSE),'BMP P Tracking Table'!$AB89*VLOOKUP('BMP P Tracking Table'!$R89,'Loading Rates'!$B$1:$L$24,10,FALSE)),'BMP P Tracking Table'!$AP89*VLOOKUP('BMP P Tracking Table'!$R89,'Loading Rates'!$B$1:$L$24,4,FALSE)+IF('BMP P Tracking Table'!$AQ89="By HSG",'BMP P Tracking Table'!$AR89*VLOOKUP('BMP P Tracking Table'!$R89,'Loading Rates'!$B$1:$L$24,6,FALSE)+'BMP P Tracking Table'!$AS89*VLOOKUP('BMP P Tracking Table'!$R89,'Loading Rates'!$B$1:$L$24,7,FALSE)+'BMP P Tracking Table'!$AT89*VLOOKUP('BMP P Tracking Table'!$R89,'Loading Rates'!$B$1:$L$24,8,FALSE)+'BMP P Tracking Table'!$AU89*VLOOKUP('BMP P Tracking Table'!$R89,'Loading Rates'!$B$1:$L$24,9,FALSE),'BMP P Tracking Table'!$AV89*VLOOKUP('BMP P Tracking Table'!$R89,'Loading Rates'!$B$1:$L$24,10,FALSE))),"")</f>
        <v/>
      </c>
      <c r="BA89" s="104">
        <f>IFERROR(IF('BMP P Tracking Table'!$AM89="Yes",MIN(2,IF('BMP P Tracking Table'!$AQ89="Total Pervious",(-(3630*'BMP P Tracking Table'!$AP89+20.691*'BMP P Tracking Table'!$AV89)+SQRT((3630*'BMP P Tracking Table'!$AP89+20.691*'BMP P Tracking Table'!$AV89)^2-(4*(996.798*'BMP P Tracking Table'!$AV89)*-'BMP P Tracking Table'!$AX89)))/(2*(996.798*'BMP P Tracking Table'!$AV89)),IF(SUM('BMP P Tracking Table'!$AR89:$AU89)=0,'BMP P Tracking Table'!$AV89/(-3630*'BMP P Tracking Table'!$AP89),(-(3630*'BMP P Tracking Table'!$AP89+20.691*'BMP P Tracking Table'!$AU89-216.711*'BMP P Tracking Table'!$AT89-83.853*'BMP P Tracking Table'!$AS89-42.834*'BMP P Tracking Table'!$AR89)+SQRT((3630*'BMP P Tracking Table'!$AP89+20.691*'BMP P Tracking Table'!$AU89-216.711*'BMP P Tracking Table'!$AT89-83.853*'BMP P Tracking Table'!$AS89-42.834*'BMP P Tracking Table'!$AR89)^2-(4*(149.919*'BMP P Tracking Table'!$AR89+236.676*'BMP P Tracking Table'!$AS89+726*'BMP P Tracking Table'!$AT89+996.798*'BMP P Tracking Table'!$AU89)*-'BMP P Tracking Table'!$AX89)))/(2*(149.919*'BMP P Tracking Table'!$AR89+236.676*'BMP P Tracking Table'!$AS89+726*'BMP P Tracking Table'!$AT89+996.798*'BMP P Tracking Table'!$AU89))))),MIN(2,IF('BMP P Tracking Table'!$AQ89="Total Pervious",(-(3630*'BMP P Tracking Table'!$V89+20.691*'BMP P Tracking Table'!$AB89)+SQRT((3630*'BMP P Tracking Table'!$V89+20.691*'BMP P Tracking Table'!$AB89)^2-(4*(996.798*'BMP P Tracking Table'!$AB89)*-'BMP P Tracking Table'!$AX89)))/(2*(996.798*'BMP P Tracking Table'!$AB89)),IF(SUM('BMP P Tracking Table'!$X89:$AA89)=0,'BMP P Tracking Table'!$AX89/(-3630*'BMP P Tracking Table'!$V89),(-(3630*'BMP P Tracking Table'!$V89+20.691*'BMP P Tracking Table'!$AA89-216.711*'BMP P Tracking Table'!$Z89-83.853*'BMP P Tracking Table'!$Y89-42.834*'BMP P Tracking Table'!$X89)+SQRT((3630*'BMP P Tracking Table'!$V89+20.691*'BMP P Tracking Table'!$AA89-216.711*'BMP P Tracking Table'!$Z89-83.853*'BMP P Tracking Table'!$Y89-42.834*'BMP P Tracking Table'!$X89)^2-(4*(149.919*'BMP P Tracking Table'!$X89+236.676*'BMP P Tracking Table'!$Y89+726*'BMP P Tracking Table'!$Z89+996.798*'BMP P Tracking Table'!$AA89)*-'BMP P Tracking Table'!$AX89)))/(2*(149.919*'BMP P Tracking Table'!$X89+236.676*'BMP P Tracking Table'!$Y89+726*'BMP P Tracking Table'!$Z89+996.798*'BMP P Tracking Table'!$AA89)))))),"")</f>
        <v>0</v>
      </c>
      <c r="BB89" s="102" t="str">
        <f>IFERROR((VLOOKUP(CONCATENATE('BMP P Tracking Table'!$AW89," ",'BMP P Tracking Table'!$AY89),'Performance Curves'!$C$1:$L$46,_xlfn.SINGLE(MATCH('BMP P Tracking Table'!$BA89,'Performance Curves'!$D$1:$L$1,1))+2,FALSE)-VLOOKUP(CONCATENATE('BMP P Tracking Table'!$AW89," ",'BMP P Tracking Table'!$AY89),'Performance Curves'!$C$1:$L$46,_xlfn.SINGLE(MATCH('BMP P Tracking Table'!$BA89,'Performance Curves'!$D$1:$L$1,1))+1,FALSE)),"")</f>
        <v/>
      </c>
      <c r="BC89" s="102">
        <f>IFERROR(('BMP P Tracking Table'!$BA89-INDEX('Performance Curves'!$D$1:$L$1,1,MATCH('BMP P Tracking Table'!$BA89,'Performance Curves'!$D$1:$L$1,1)))/(INDEX('Performance Curves'!$D$1:$L$1,1,MATCH('BMP P Tracking Table'!$BA89,'Performance Curves'!$D$1:$L$1,1)+1)-INDEX('Performance Curves'!$D$1:$L$1,1,MATCH('BMP P Tracking Table'!$BA89,'Performance Curves'!$D$1:$L$1,1))),"")</f>
        <v>0</v>
      </c>
      <c r="BD89" s="103" t="str" cm="1">
        <f t="array" ref="BD89">IFERROR(IF('BMP P Tracking Table'!$BA89=2,VLOOKUP(CONCATENATE('BMP P Tracking Table'!$AW89," ",'BMP P Tracking Table'!$AY89),'Performance Curves'!$C$1:$L$44,_xlfn.SINGLE(MATCH('BMP P Tracking Table'!$BA89,'Performance Curves'!$D$1:$L$1,1))+1,FALSE),'BMP P Tracking Table'!$BB89*'BMP P Tracking Table'!$BC89+VLOOKUP(CONCATENATE('BMP P Tracking Table'!$AW89," ",'BMP P Tracking Table'!$AY89),'Performance Curves'!$C$1:$L$44,_xlfn.SINGLE(MATCH('BMP P Tracking Table'!$BA89,'Performance Curves'!$D$1:$L$1,1))+1,FALSE)),"")</f>
        <v/>
      </c>
      <c r="BE89" s="104" t="str">
        <f>IFERROR('BMP P Tracking Table'!$BD89*'BMP P Tracking Table'!$AZ89,"")</f>
        <v/>
      </c>
      <c r="BF89" s="98"/>
      <c r="BG89" s="37">
        <f t="shared" si="6"/>
        <v>0</v>
      </c>
      <c r="BI89" s="36" t="str">
        <f t="shared" si="7"/>
        <v>EJ-WR-009</v>
      </c>
      <c r="BJ89" s="36" t="str">
        <f t="shared" si="8"/>
        <v>CB536 Jackson drywell</v>
      </c>
      <c r="BK89" s="36" t="s">
        <v>841</v>
      </c>
      <c r="BL89" s="36" t="s">
        <v>822</v>
      </c>
      <c r="BM89" s="36" t="s">
        <v>846</v>
      </c>
      <c r="BN89" s="36" t="s">
        <v>844</v>
      </c>
      <c r="BO89" s="36" t="s">
        <v>819</v>
      </c>
      <c r="BP89" s="36" t="s">
        <v>874</v>
      </c>
      <c r="BQ89" s="36">
        <f t="shared" si="9"/>
        <v>1.02</v>
      </c>
      <c r="BR89" s="36">
        <f t="shared" si="10"/>
        <v>0.77</v>
      </c>
      <c r="BS89" s="101">
        <f t="shared" si="11"/>
        <v>0.24509803921568626</v>
      </c>
      <c r="BT89" s="238">
        <f t="shared" si="12"/>
        <v>80400</v>
      </c>
      <c r="BU89" s="238">
        <f t="shared" si="13"/>
        <v>69578.100585053588</v>
      </c>
    </row>
    <row r="90" spans="2:73">
      <c r="B90" s="65" t="s">
        <v>740</v>
      </c>
      <c r="C90" s="65" t="s">
        <v>675</v>
      </c>
      <c r="D90" s="65" t="s">
        <v>325</v>
      </c>
      <c r="E90" s="65" t="s">
        <v>10</v>
      </c>
      <c r="F90" s="94"/>
      <c r="G90" s="94"/>
      <c r="H90" s="65"/>
      <c r="I90" s="65"/>
      <c r="J90" s="65" t="s">
        <v>66</v>
      </c>
      <c r="K90" s="95">
        <f>ROUNDUP((VLOOKUP($U90,Dropdowns!$G$3:$I$17, 3, FALSE))*$AC90,-2)</f>
        <v>11200</v>
      </c>
      <c r="L90" s="65" t="s">
        <v>49</v>
      </c>
      <c r="M90" s="65"/>
      <c r="N90" s="65"/>
      <c r="O90" s="65"/>
      <c r="P90" s="65"/>
      <c r="Q90" s="65" t="s">
        <v>119</v>
      </c>
      <c r="R90" s="65" t="s">
        <v>146</v>
      </c>
      <c r="S90" s="65" t="str">
        <f>IFERROR(VLOOKUP('BMP P Tracking Table'!$R90,Dropdowns!$Q$3:$R$23,2,FALSE),"")</f>
        <v>Main Lake</v>
      </c>
      <c r="T90" s="65" t="s">
        <v>66</v>
      </c>
      <c r="U90" s="65" t="s">
        <v>47</v>
      </c>
      <c r="V90" s="65">
        <v>0.15</v>
      </c>
      <c r="W90" s="65" t="s">
        <v>220</v>
      </c>
      <c r="X90" s="65">
        <v>0.21</v>
      </c>
      <c r="Y90" s="65">
        <v>0</v>
      </c>
      <c r="Z90" s="65">
        <v>0</v>
      </c>
      <c r="AA90" s="65">
        <v>0</v>
      </c>
      <c r="AB90" s="65"/>
      <c r="AC90" s="97">
        <f t="shared" ref="AC90:AC96" si="15">((1*(0.05+0.009*((V90/(V90+X90))*100))*(V90+X90))/12)*43560</f>
        <v>555.39</v>
      </c>
      <c r="AD90" s="65" t="s">
        <v>206</v>
      </c>
      <c r="AE90" s="104">
        <f>IFERROR('BMP P Tracking Table'!$V90*VLOOKUP('BMP P Tracking Table'!$R90,'Loading Rates'!$B$1:$L$24,4,FALSE)+IF('BMP P Tracking Table'!$W90="By HSG",'BMP P Tracking Table'!$X90*VLOOKUP('BMP P Tracking Table'!$R90,'Loading Rates'!$B$1:$L$24,6,FALSE)+'BMP P Tracking Table'!$Y90*VLOOKUP('BMP P Tracking Table'!$R90,'Loading Rates'!$B$1:$L$24,7,FALSE)+'BMP P Tracking Table'!$Z90*VLOOKUP('BMP P Tracking Table'!$R90,'Loading Rates'!$B$1:$L$24,8,FALSE)+'BMP P Tracking Table'!$AA90*VLOOKUP('BMP P Tracking Table'!$R90,'Loading Rates'!$B$1:$L$24,9,FALSE),'BMP P Tracking Table'!$AB90*VLOOKUP('BMP P Tracking Table'!$R90,'Loading Rates'!$B$1:$L$24,10,FALSE)),"")</f>
        <v>0.17175000000000001</v>
      </c>
      <c r="AF90" s="104">
        <f>IFERROR(MIN(2,IF('BMP P Tracking Table'!$W90="Total Pervious",(-(3630*'BMP P Tracking Table'!$V90+20.691*'BMP P Tracking Table'!$AB90)+SQRT((3630*'BMP P Tracking Table'!$V90+20.691*'BMP P Tracking Table'!$AB90)^2-(4*(996.798*'BMP P Tracking Table'!$AB90)*-'BMP P Tracking Table'!$AC90)))/(2*(996.798*'BMP P Tracking Table'!$AB90)),IF(SUM('BMP P Tracking Table'!$X90:$AA90)=0,'BMP P Tracking Table'!$AC90/(-3630*'BMP P Tracking Table'!$V90),(-(3630*'BMP P Tracking Table'!$V90+20.691*'BMP P Tracking Table'!$AA90-216.711*'BMP P Tracking Table'!$Z90-83.853*'BMP P Tracking Table'!$Y90-42.834*'BMP P Tracking Table'!$X90)+SQRT((3630*'BMP P Tracking Table'!$V90+20.691*'BMP P Tracking Table'!$AA90-216.711*'BMP P Tracking Table'!$Z90-83.853*'BMP P Tracking Table'!$Y90-42.834*'BMP P Tracking Table'!$X90)^2-(4*(149.919*'BMP P Tracking Table'!$X90+236.676*'BMP P Tracking Table'!$Y90+726*'BMP P Tracking Table'!$Z90+996.798*'BMP P Tracking Table'!$AA90)*-'BMP P Tracking Table'!$AC90)))/(2*(149.919*'BMP P Tracking Table'!$X90+236.676*'BMP P Tracking Table'!$Y90+726*'BMP P Tracking Table'!$Z90+996.798*'BMP P Tracking Table'!$AA90))))),"")</f>
        <v>0.98060106380676837</v>
      </c>
      <c r="AG90" s="104">
        <f>IFERROR((VLOOKUP(CONCATENATE('BMP P Tracking Table'!$U90," ",'BMP P Tracking Table'!$AD90),'Performance Curves'!$C$1:$L$46,_xlfn.SINGLE(MATCH('BMP P Tracking Table'!$AF90,'Performance Curves'!$D$1:$L$1,1))+2,FALSE)-VLOOKUP(CONCATENATE('BMP P Tracking Table'!$U90," ",'BMP P Tracking Table'!$AD90),'Performance Curves'!$C$1:$L$46,_xlfn.SINGLE(MATCH('BMP P Tracking Table'!$AF90,'Performance Curves'!$D$1:$L$1,1))+1,FALSE)),"")</f>
        <v>2.0000000000000018E-2</v>
      </c>
      <c r="AH90" s="104">
        <f>IFERROR(('BMP P Tracking Table'!$AF90-INDEX('Performance Curves'!$D$1:$L$1,1,MATCH('BMP P Tracking Table'!$AF90,'Performance Curves'!$D$1:$L$1,1)))/(INDEX('Performance Curves'!$D$1:$L$1,1,MATCH('BMP P Tracking Table'!$AF90,'Performance Curves'!$D$1:$L$1,1)+1)-INDEX('Performance Curves'!$D$1:$L$1,1,MATCH('BMP P Tracking Table'!$AF90,'Performance Curves'!$D$1:$L$1,1))),"")</f>
        <v>0.90300531903384185</v>
      </c>
      <c r="AI90" s="103">
        <f>IFERROR(IF('BMP P Tracking Table'!$AF90=2,VLOOKUP(CONCATENATE('BMP P Tracking Table'!$U90," ",'BMP P Tracking Table'!$AD90),'Performance Curves'!$C$1:$L$46,_xlfn.SINGLE(MATCH('BMP P Tracking Table'!$AF90,'Performance Curves'!$D$1:$L$1,1))+1,FALSE),'BMP P Tracking Table'!$AG90*'BMP P Tracking Table'!$AH90+VLOOKUP(CONCATENATE('BMP P Tracking Table'!$U90," ",'BMP P Tracking Table'!$AD90),'Performance Curves'!$C$1:$L$46,_xlfn.SINGLE(MATCH('BMP P Tracking Table'!$AF90,'Performance Curves'!$D$1:$L$1,1))+1,FALSE)),"")</f>
        <v>0.97806010638067686</v>
      </c>
      <c r="AJ90" s="104">
        <f>IFERROR('BMP P Tracking Table'!$AI90*'BMP P Tracking Table'!$AE90,"")</f>
        <v>0.16798182327088126</v>
      </c>
      <c r="AK90" s="65"/>
      <c r="AL90" s="98"/>
      <c r="AM90" s="98"/>
      <c r="AN90" s="64">
        <v>1</v>
      </c>
      <c r="AO90" s="102">
        <f t="shared" si="5"/>
        <v>0.16798182327088126</v>
      </c>
      <c r="AP90" s="98"/>
      <c r="AQ90" s="98"/>
      <c r="AR90" s="98"/>
      <c r="AS90" s="98"/>
      <c r="AT90" s="98"/>
      <c r="AU90" s="98"/>
      <c r="AV90" s="98"/>
      <c r="AW90" s="65"/>
      <c r="AX90" s="99"/>
      <c r="AY90" s="99"/>
      <c r="AZ90" s="104" t="str">
        <f>IF('BMP P Tracking Table'!$AL90="Yes",IF('BMP P Tracking Table'!$AM90="No",'BMP P Tracking Table'!$V90*VLOOKUP('BMP P Tracking Table'!$R90,'Loading Rates'!$B$1:$L$24,4,FALSE)+IF('BMP P Tracking Table'!$W90="By HSG",'BMP P Tracking Table'!$X90*VLOOKUP('BMP P Tracking Table'!$R90,'Loading Rates'!$B$1:$L$24,6,FALSE)+'BMP P Tracking Table'!$Y90*VLOOKUP('BMP P Tracking Table'!$R90,'Loading Rates'!$B$1:$L$24,7,FALSE)+'BMP P Tracking Table'!$Z90*VLOOKUP('BMP P Tracking Table'!$R90,'Loading Rates'!$B$1:$L$24,8,FALSE)+'BMP P Tracking Table'!$AA90*VLOOKUP('BMP P Tracking Table'!$R90,'Loading Rates'!$B$1:$L$24,9,FALSE),'BMP P Tracking Table'!$AB90*VLOOKUP('BMP P Tracking Table'!$R90,'Loading Rates'!$B$1:$L$24,10,FALSE)),'BMP P Tracking Table'!$AP90*VLOOKUP('BMP P Tracking Table'!$R90,'Loading Rates'!$B$1:$L$24,4,FALSE)+IF('BMP P Tracking Table'!$AQ90="By HSG",'BMP P Tracking Table'!$AR90*VLOOKUP('BMP P Tracking Table'!$R90,'Loading Rates'!$B$1:$L$24,6,FALSE)+'BMP P Tracking Table'!$AS90*VLOOKUP('BMP P Tracking Table'!$R90,'Loading Rates'!$B$1:$L$24,7,FALSE)+'BMP P Tracking Table'!$AT90*VLOOKUP('BMP P Tracking Table'!$R90,'Loading Rates'!$B$1:$L$24,8,FALSE)+'BMP P Tracking Table'!$AU90*VLOOKUP('BMP P Tracking Table'!$R90,'Loading Rates'!$B$1:$L$24,9,FALSE),'BMP P Tracking Table'!$AV90*VLOOKUP('BMP P Tracking Table'!$R90,'Loading Rates'!$B$1:$L$24,10,FALSE))),"")</f>
        <v/>
      </c>
      <c r="BA90" s="104">
        <f>IFERROR(IF('BMP P Tracking Table'!$AM90="Yes",MIN(2,IF('BMP P Tracking Table'!$AQ90="Total Pervious",(-(3630*'BMP P Tracking Table'!$AP90+20.691*'BMP P Tracking Table'!$AV90)+SQRT((3630*'BMP P Tracking Table'!$AP90+20.691*'BMP P Tracking Table'!$AV90)^2-(4*(996.798*'BMP P Tracking Table'!$AV90)*-'BMP P Tracking Table'!$AX90)))/(2*(996.798*'BMP P Tracking Table'!$AV90)),IF(SUM('BMP P Tracking Table'!$AR90:$AU90)=0,'BMP P Tracking Table'!$AV90/(-3630*'BMP P Tracking Table'!$AP90),(-(3630*'BMP P Tracking Table'!$AP90+20.691*'BMP P Tracking Table'!$AU90-216.711*'BMP P Tracking Table'!$AT90-83.853*'BMP P Tracking Table'!$AS90-42.834*'BMP P Tracking Table'!$AR90)+SQRT((3630*'BMP P Tracking Table'!$AP90+20.691*'BMP P Tracking Table'!$AU90-216.711*'BMP P Tracking Table'!$AT90-83.853*'BMP P Tracking Table'!$AS90-42.834*'BMP P Tracking Table'!$AR90)^2-(4*(149.919*'BMP P Tracking Table'!$AR90+236.676*'BMP P Tracking Table'!$AS90+726*'BMP P Tracking Table'!$AT90+996.798*'BMP P Tracking Table'!$AU90)*-'BMP P Tracking Table'!$AX90)))/(2*(149.919*'BMP P Tracking Table'!$AR90+236.676*'BMP P Tracking Table'!$AS90+726*'BMP P Tracking Table'!$AT90+996.798*'BMP P Tracking Table'!$AU90))))),MIN(2,IF('BMP P Tracking Table'!$AQ90="Total Pervious",(-(3630*'BMP P Tracking Table'!$V90+20.691*'BMP P Tracking Table'!$AB90)+SQRT((3630*'BMP P Tracking Table'!$V90+20.691*'BMP P Tracking Table'!$AB90)^2-(4*(996.798*'BMP P Tracking Table'!$AB90)*-'BMP P Tracking Table'!$AX90)))/(2*(996.798*'BMP P Tracking Table'!$AB90)),IF(SUM('BMP P Tracking Table'!$X90:$AA90)=0,'BMP P Tracking Table'!$AX90/(-3630*'BMP P Tracking Table'!$V90),(-(3630*'BMP P Tracking Table'!$V90+20.691*'BMP P Tracking Table'!$AA90-216.711*'BMP P Tracking Table'!$Z90-83.853*'BMP P Tracking Table'!$Y90-42.834*'BMP P Tracking Table'!$X90)+SQRT((3630*'BMP P Tracking Table'!$V90+20.691*'BMP P Tracking Table'!$AA90-216.711*'BMP P Tracking Table'!$Z90-83.853*'BMP P Tracking Table'!$Y90-42.834*'BMP P Tracking Table'!$X90)^2-(4*(149.919*'BMP P Tracking Table'!$X90+236.676*'BMP P Tracking Table'!$Y90+726*'BMP P Tracking Table'!$Z90+996.798*'BMP P Tracking Table'!$AA90)*-'BMP P Tracking Table'!$AX90)))/(2*(149.919*'BMP P Tracking Table'!$X90+236.676*'BMP P Tracking Table'!$Y90+726*'BMP P Tracking Table'!$Z90+996.798*'BMP P Tracking Table'!$AA90)))))),"")</f>
        <v>0</v>
      </c>
      <c r="BB90" s="102" t="str">
        <f>IFERROR((VLOOKUP(CONCATENATE('BMP P Tracking Table'!$AW90," ",'BMP P Tracking Table'!$AY90),'Performance Curves'!$C$1:$L$46,_xlfn.SINGLE(MATCH('BMP P Tracking Table'!$BA90,'Performance Curves'!$D$1:$L$1,1))+2,FALSE)-VLOOKUP(CONCATENATE('BMP P Tracking Table'!$AW90," ",'BMP P Tracking Table'!$AY90),'Performance Curves'!$C$1:$L$46,_xlfn.SINGLE(MATCH('BMP P Tracking Table'!$BA90,'Performance Curves'!$D$1:$L$1,1))+1,FALSE)),"")</f>
        <v/>
      </c>
      <c r="BC90" s="102">
        <f>IFERROR(('BMP P Tracking Table'!$BA90-INDEX('Performance Curves'!$D$1:$L$1,1,MATCH('BMP P Tracking Table'!$BA90,'Performance Curves'!$D$1:$L$1,1)))/(INDEX('Performance Curves'!$D$1:$L$1,1,MATCH('BMP P Tracking Table'!$BA90,'Performance Curves'!$D$1:$L$1,1)+1)-INDEX('Performance Curves'!$D$1:$L$1,1,MATCH('BMP P Tracking Table'!$BA90,'Performance Curves'!$D$1:$L$1,1))),"")</f>
        <v>0</v>
      </c>
      <c r="BD90" s="103" t="str" cm="1">
        <f t="array" ref="BD90">IFERROR(IF('BMP P Tracking Table'!$BA90=2,VLOOKUP(CONCATENATE('BMP P Tracking Table'!$AW90," ",'BMP P Tracking Table'!$AY90),'Performance Curves'!$C$1:$L$44,_xlfn.SINGLE(MATCH('BMP P Tracking Table'!$BA90,'Performance Curves'!$D$1:$L$1,1))+1,FALSE),'BMP P Tracking Table'!$BB90*'BMP P Tracking Table'!$BC90+VLOOKUP(CONCATENATE('BMP P Tracking Table'!$AW90," ",'BMP P Tracking Table'!$AY90),'Performance Curves'!$C$1:$L$44,_xlfn.SINGLE(MATCH('BMP P Tracking Table'!$BA90,'Performance Curves'!$D$1:$L$1,1))+1,FALSE)),"")</f>
        <v/>
      </c>
      <c r="BE90" s="104" t="str">
        <f>IFERROR('BMP P Tracking Table'!$BD90*'BMP P Tracking Table'!$AZ90,"")</f>
        <v/>
      </c>
      <c r="BF90" s="98"/>
      <c r="BG90" s="37">
        <f t="shared" si="6"/>
        <v>0</v>
      </c>
      <c r="BI90" s="36" t="str">
        <f t="shared" si="7"/>
        <v>EJ-WR-012</v>
      </c>
      <c r="BJ90" s="36" t="str">
        <f t="shared" si="8"/>
        <v>CB531 Jackson and Wrisley drywell</v>
      </c>
      <c r="BK90" s="36" t="s">
        <v>841</v>
      </c>
      <c r="BP90" s="36" t="s">
        <v>874</v>
      </c>
      <c r="BQ90" s="36">
        <f t="shared" si="9"/>
        <v>0.36</v>
      </c>
      <c r="BR90" s="36">
        <f t="shared" si="10"/>
        <v>0.21</v>
      </c>
      <c r="BS90" s="101">
        <f t="shared" si="11"/>
        <v>0.41666666666666669</v>
      </c>
      <c r="BT90" s="238">
        <f t="shared" si="12"/>
        <v>74666.666666666672</v>
      </c>
      <c r="BU90" s="238">
        <f t="shared" si="13"/>
        <v>66673.880434904524</v>
      </c>
    </row>
    <row r="91" spans="2:73">
      <c r="B91" s="65" t="s">
        <v>738</v>
      </c>
      <c r="C91" s="65" t="s">
        <v>676</v>
      </c>
      <c r="D91" s="65" t="s">
        <v>325</v>
      </c>
      <c r="E91" s="65" t="s">
        <v>10</v>
      </c>
      <c r="F91" s="94"/>
      <c r="G91" s="94"/>
      <c r="H91" s="65"/>
      <c r="I91" s="65"/>
      <c r="J91" s="65" t="s">
        <v>66</v>
      </c>
      <c r="K91" s="95">
        <f>ROUNDUP((VLOOKUP($U91,Dropdowns!$G$3:$I$17, 3, FALSE))*$AC91,-2)</f>
        <v>16900</v>
      </c>
      <c r="L91" s="65" t="s">
        <v>49</v>
      </c>
      <c r="M91" s="65"/>
      <c r="N91" s="65"/>
      <c r="O91" s="65"/>
      <c r="P91" s="65"/>
      <c r="Q91" s="65" t="s">
        <v>119</v>
      </c>
      <c r="R91" s="65" t="s">
        <v>146</v>
      </c>
      <c r="S91" s="65" t="str">
        <f>IFERROR(VLOOKUP('BMP P Tracking Table'!$R91,Dropdowns!$Q$3:$R$23,2,FALSE),"")</f>
        <v>Main Lake</v>
      </c>
      <c r="T91" s="65" t="s">
        <v>66</v>
      </c>
      <c r="U91" s="65" t="s">
        <v>47</v>
      </c>
      <c r="V91" s="65">
        <v>0.23</v>
      </c>
      <c r="W91" s="65" t="s">
        <v>220</v>
      </c>
      <c r="X91" s="65">
        <v>0.27</v>
      </c>
      <c r="Y91" s="65">
        <v>0</v>
      </c>
      <c r="Z91" s="65">
        <v>0</v>
      </c>
      <c r="AA91" s="65">
        <v>0</v>
      </c>
      <c r="AB91" s="65"/>
      <c r="AC91" s="97">
        <f t="shared" si="15"/>
        <v>842.15999999999985</v>
      </c>
      <c r="AD91" s="65" t="s">
        <v>206</v>
      </c>
      <c r="AE91" s="104">
        <f>IFERROR('BMP P Tracking Table'!$V91*VLOOKUP('BMP P Tracking Table'!$R91,'Loading Rates'!$B$1:$L$24,4,FALSE)+IF('BMP P Tracking Table'!$W91="By HSG",'BMP P Tracking Table'!$X91*VLOOKUP('BMP P Tracking Table'!$R91,'Loading Rates'!$B$1:$L$24,6,FALSE)+'BMP P Tracking Table'!$Y91*VLOOKUP('BMP P Tracking Table'!$R91,'Loading Rates'!$B$1:$L$24,7,FALSE)+'BMP P Tracking Table'!$Z91*VLOOKUP('BMP P Tracking Table'!$R91,'Loading Rates'!$B$1:$L$24,8,FALSE)+'BMP P Tracking Table'!$AA91*VLOOKUP('BMP P Tracking Table'!$R91,'Loading Rates'!$B$1:$L$24,9,FALSE),'BMP P Tracking Table'!$AB91*VLOOKUP('BMP P Tracking Table'!$R91,'Loading Rates'!$B$1:$L$24,10,FALSE)),"")</f>
        <v>0.26231000000000004</v>
      </c>
      <c r="AF91" s="104">
        <f>IFERROR(MIN(2,IF('BMP P Tracking Table'!$W91="Total Pervious",(-(3630*'BMP P Tracking Table'!$V91+20.691*'BMP P Tracking Table'!$AB91)+SQRT((3630*'BMP P Tracking Table'!$V91+20.691*'BMP P Tracking Table'!$AB91)^2-(4*(996.798*'BMP P Tracking Table'!$AB91)*-'BMP P Tracking Table'!$AC91)))/(2*(996.798*'BMP P Tracking Table'!$AB91)),IF(SUM('BMP P Tracking Table'!$X91:$AA91)=0,'BMP P Tracking Table'!$AC91/(-3630*'BMP P Tracking Table'!$V91),(-(3630*'BMP P Tracking Table'!$V91+20.691*'BMP P Tracking Table'!$AA91-216.711*'BMP P Tracking Table'!$Z91-83.853*'BMP P Tracking Table'!$Y91-42.834*'BMP P Tracking Table'!$X91)+SQRT((3630*'BMP P Tracking Table'!$V91+20.691*'BMP P Tracking Table'!$AA91-216.711*'BMP P Tracking Table'!$Z91-83.853*'BMP P Tracking Table'!$Y91-42.834*'BMP P Tracking Table'!$X91)^2-(4*(149.919*'BMP P Tracking Table'!$X91+236.676*'BMP P Tracking Table'!$Y91+726*'BMP P Tracking Table'!$Z91+996.798*'BMP P Tracking Table'!$AA91)*-'BMP P Tracking Table'!$AC91)))/(2*(149.919*'BMP P Tracking Table'!$X91+236.676*'BMP P Tracking Table'!$Y91+726*'BMP P Tracking Table'!$Z91+996.798*'BMP P Tracking Table'!$AA91))))),"")</f>
        <v>0.97602961216491091</v>
      </c>
      <c r="AG91" s="104">
        <f>IFERROR((VLOOKUP(CONCATENATE('BMP P Tracking Table'!$U91," ",'BMP P Tracking Table'!$AD91),'Performance Curves'!$C$1:$L$46,_xlfn.SINGLE(MATCH('BMP P Tracking Table'!$AF91,'Performance Curves'!$D$1:$L$1,1))+2,FALSE)-VLOOKUP(CONCATENATE('BMP P Tracking Table'!$U91," ",'BMP P Tracking Table'!$AD91),'Performance Curves'!$C$1:$L$46,_xlfn.SINGLE(MATCH('BMP P Tracking Table'!$AF91,'Performance Curves'!$D$1:$L$1,1))+1,FALSE)),"")</f>
        <v>2.0000000000000018E-2</v>
      </c>
      <c r="AH91" s="104">
        <f>IFERROR(('BMP P Tracking Table'!$AF91-INDEX('Performance Curves'!$D$1:$L$1,1,MATCH('BMP P Tracking Table'!$AF91,'Performance Curves'!$D$1:$L$1,1)))/(INDEX('Performance Curves'!$D$1:$L$1,1,MATCH('BMP P Tracking Table'!$AF91,'Performance Curves'!$D$1:$L$1,1)+1)-INDEX('Performance Curves'!$D$1:$L$1,1,MATCH('BMP P Tracking Table'!$AF91,'Performance Curves'!$D$1:$L$1,1))),"")</f>
        <v>0.88014806082455455</v>
      </c>
      <c r="AI91" s="103">
        <f>IFERROR(IF('BMP P Tracking Table'!$AF91=2,VLOOKUP(CONCATENATE('BMP P Tracking Table'!$U91," ",'BMP P Tracking Table'!$AD91),'Performance Curves'!$C$1:$L$46,_xlfn.SINGLE(MATCH('BMP P Tracking Table'!$AF91,'Performance Curves'!$D$1:$L$1,1))+1,FALSE),'BMP P Tracking Table'!$AG91*'BMP P Tracking Table'!$AH91+VLOOKUP(CONCATENATE('BMP P Tracking Table'!$U91," ",'BMP P Tracking Table'!$AD91),'Performance Curves'!$C$1:$L$46,_xlfn.SINGLE(MATCH('BMP P Tracking Table'!$AF91,'Performance Curves'!$D$1:$L$1,1))+1,FALSE)),"")</f>
        <v>0.97760296121649104</v>
      </c>
      <c r="AJ91" s="104">
        <f>IFERROR('BMP P Tracking Table'!$AI91*'BMP P Tracking Table'!$AE91,"")</f>
        <v>0.25643503275669782</v>
      </c>
      <c r="AK91" s="65"/>
      <c r="AL91" s="98"/>
      <c r="AM91" s="98"/>
      <c r="AN91" s="64">
        <v>1</v>
      </c>
      <c r="AO91" s="102">
        <f t="shared" si="5"/>
        <v>0.25643503275669782</v>
      </c>
      <c r="AP91" s="98"/>
      <c r="AQ91" s="98"/>
      <c r="AR91" s="98"/>
      <c r="AS91" s="98"/>
      <c r="AT91" s="98"/>
      <c r="AU91" s="98"/>
      <c r="AV91" s="98"/>
      <c r="AW91" s="65"/>
      <c r="AX91" s="99"/>
      <c r="AY91" s="99"/>
      <c r="AZ91" s="104" t="str">
        <f>IF('BMP P Tracking Table'!$AL91="Yes",IF('BMP P Tracking Table'!$AM91="No",'BMP P Tracking Table'!$V91*VLOOKUP('BMP P Tracking Table'!$R91,'Loading Rates'!$B$1:$L$24,4,FALSE)+IF('BMP P Tracking Table'!$W91="By HSG",'BMP P Tracking Table'!$X91*VLOOKUP('BMP P Tracking Table'!$R91,'Loading Rates'!$B$1:$L$24,6,FALSE)+'BMP P Tracking Table'!$Y91*VLOOKUP('BMP P Tracking Table'!$R91,'Loading Rates'!$B$1:$L$24,7,FALSE)+'BMP P Tracking Table'!$Z91*VLOOKUP('BMP P Tracking Table'!$R91,'Loading Rates'!$B$1:$L$24,8,FALSE)+'BMP P Tracking Table'!$AA91*VLOOKUP('BMP P Tracking Table'!$R91,'Loading Rates'!$B$1:$L$24,9,FALSE),'BMP P Tracking Table'!$AB91*VLOOKUP('BMP P Tracking Table'!$R91,'Loading Rates'!$B$1:$L$24,10,FALSE)),'BMP P Tracking Table'!$AP91*VLOOKUP('BMP P Tracking Table'!$R91,'Loading Rates'!$B$1:$L$24,4,FALSE)+IF('BMP P Tracking Table'!$AQ91="By HSG",'BMP P Tracking Table'!$AR91*VLOOKUP('BMP P Tracking Table'!$R91,'Loading Rates'!$B$1:$L$24,6,FALSE)+'BMP P Tracking Table'!$AS91*VLOOKUP('BMP P Tracking Table'!$R91,'Loading Rates'!$B$1:$L$24,7,FALSE)+'BMP P Tracking Table'!$AT91*VLOOKUP('BMP P Tracking Table'!$R91,'Loading Rates'!$B$1:$L$24,8,FALSE)+'BMP P Tracking Table'!$AU91*VLOOKUP('BMP P Tracking Table'!$R91,'Loading Rates'!$B$1:$L$24,9,FALSE),'BMP P Tracking Table'!$AV91*VLOOKUP('BMP P Tracking Table'!$R91,'Loading Rates'!$B$1:$L$24,10,FALSE))),"")</f>
        <v/>
      </c>
      <c r="BA91" s="104">
        <f>IFERROR(IF('BMP P Tracking Table'!$AM91="Yes",MIN(2,IF('BMP P Tracking Table'!$AQ91="Total Pervious",(-(3630*'BMP P Tracking Table'!$AP91+20.691*'BMP P Tracking Table'!$AV91)+SQRT((3630*'BMP P Tracking Table'!$AP91+20.691*'BMP P Tracking Table'!$AV91)^2-(4*(996.798*'BMP P Tracking Table'!$AV91)*-'BMP P Tracking Table'!$AX91)))/(2*(996.798*'BMP P Tracking Table'!$AV91)),IF(SUM('BMP P Tracking Table'!$AR91:$AU91)=0,'BMP P Tracking Table'!$AV91/(-3630*'BMP P Tracking Table'!$AP91),(-(3630*'BMP P Tracking Table'!$AP91+20.691*'BMP P Tracking Table'!$AU91-216.711*'BMP P Tracking Table'!$AT91-83.853*'BMP P Tracking Table'!$AS91-42.834*'BMP P Tracking Table'!$AR91)+SQRT((3630*'BMP P Tracking Table'!$AP91+20.691*'BMP P Tracking Table'!$AU91-216.711*'BMP P Tracking Table'!$AT91-83.853*'BMP P Tracking Table'!$AS91-42.834*'BMP P Tracking Table'!$AR91)^2-(4*(149.919*'BMP P Tracking Table'!$AR91+236.676*'BMP P Tracking Table'!$AS91+726*'BMP P Tracking Table'!$AT91+996.798*'BMP P Tracking Table'!$AU91)*-'BMP P Tracking Table'!$AX91)))/(2*(149.919*'BMP P Tracking Table'!$AR91+236.676*'BMP P Tracking Table'!$AS91+726*'BMP P Tracking Table'!$AT91+996.798*'BMP P Tracking Table'!$AU91))))),MIN(2,IF('BMP P Tracking Table'!$AQ91="Total Pervious",(-(3630*'BMP P Tracking Table'!$V91+20.691*'BMP P Tracking Table'!$AB91)+SQRT((3630*'BMP P Tracking Table'!$V91+20.691*'BMP P Tracking Table'!$AB91)^2-(4*(996.798*'BMP P Tracking Table'!$AB91)*-'BMP P Tracking Table'!$AX91)))/(2*(996.798*'BMP P Tracking Table'!$AB91)),IF(SUM('BMP P Tracking Table'!$X91:$AA91)=0,'BMP P Tracking Table'!$AX91/(-3630*'BMP P Tracking Table'!$V91),(-(3630*'BMP P Tracking Table'!$V91+20.691*'BMP P Tracking Table'!$AA91-216.711*'BMP P Tracking Table'!$Z91-83.853*'BMP P Tracking Table'!$Y91-42.834*'BMP P Tracking Table'!$X91)+SQRT((3630*'BMP P Tracking Table'!$V91+20.691*'BMP P Tracking Table'!$AA91-216.711*'BMP P Tracking Table'!$Z91-83.853*'BMP P Tracking Table'!$Y91-42.834*'BMP P Tracking Table'!$X91)^2-(4*(149.919*'BMP P Tracking Table'!$X91+236.676*'BMP P Tracking Table'!$Y91+726*'BMP P Tracking Table'!$Z91+996.798*'BMP P Tracking Table'!$AA91)*-'BMP P Tracking Table'!$AX91)))/(2*(149.919*'BMP P Tracking Table'!$X91+236.676*'BMP P Tracking Table'!$Y91+726*'BMP P Tracking Table'!$Z91+996.798*'BMP P Tracking Table'!$AA91)))))),"")</f>
        <v>0</v>
      </c>
      <c r="BB91" s="102" t="str">
        <f>IFERROR((VLOOKUP(CONCATENATE('BMP P Tracking Table'!$AW91," ",'BMP P Tracking Table'!$AY91),'Performance Curves'!$C$1:$L$46,_xlfn.SINGLE(MATCH('BMP P Tracking Table'!$BA91,'Performance Curves'!$D$1:$L$1,1))+2,FALSE)-VLOOKUP(CONCATENATE('BMP P Tracking Table'!$AW91," ",'BMP P Tracking Table'!$AY91),'Performance Curves'!$C$1:$L$46,_xlfn.SINGLE(MATCH('BMP P Tracking Table'!$BA91,'Performance Curves'!$D$1:$L$1,1))+1,FALSE)),"")</f>
        <v/>
      </c>
      <c r="BC91" s="102">
        <f>IFERROR(('BMP P Tracking Table'!$BA91-INDEX('Performance Curves'!$D$1:$L$1,1,MATCH('BMP P Tracking Table'!$BA91,'Performance Curves'!$D$1:$L$1,1)))/(INDEX('Performance Curves'!$D$1:$L$1,1,MATCH('BMP P Tracking Table'!$BA91,'Performance Curves'!$D$1:$L$1,1)+1)-INDEX('Performance Curves'!$D$1:$L$1,1,MATCH('BMP P Tracking Table'!$BA91,'Performance Curves'!$D$1:$L$1,1))),"")</f>
        <v>0</v>
      </c>
      <c r="BD91" s="103" t="str" cm="1">
        <f t="array" ref="BD91">IFERROR(IF('BMP P Tracking Table'!$BA91=2,VLOOKUP(CONCATENATE('BMP P Tracking Table'!$AW91," ",'BMP P Tracking Table'!$AY91),'Performance Curves'!$C$1:$L$44,_xlfn.SINGLE(MATCH('BMP P Tracking Table'!$BA91,'Performance Curves'!$D$1:$L$1,1))+1,FALSE),'BMP P Tracking Table'!$BB91*'BMP P Tracking Table'!$BC91+VLOOKUP(CONCATENATE('BMP P Tracking Table'!$AW91," ",'BMP P Tracking Table'!$AY91),'Performance Curves'!$C$1:$L$44,_xlfn.SINGLE(MATCH('BMP P Tracking Table'!$BA91,'Performance Curves'!$D$1:$L$1,1))+1,FALSE)),"")</f>
        <v/>
      </c>
      <c r="BE91" s="104" t="str">
        <f>IFERROR('BMP P Tracking Table'!$BD91*'BMP P Tracking Table'!$AZ91,"")</f>
        <v/>
      </c>
      <c r="BF91" s="98"/>
      <c r="BG91" s="37">
        <f t="shared" si="6"/>
        <v>0</v>
      </c>
      <c r="BI91" s="36" t="str">
        <f t="shared" si="7"/>
        <v>EJ-WR-010</v>
      </c>
      <c r="BJ91" s="36" t="str">
        <f t="shared" si="8"/>
        <v>CB537 Jackson and Grant drywell</v>
      </c>
      <c r="BK91" s="36" t="s">
        <v>841</v>
      </c>
      <c r="BP91" s="36" t="s">
        <v>874</v>
      </c>
      <c r="BQ91" s="36">
        <f t="shared" si="9"/>
        <v>0.5</v>
      </c>
      <c r="BR91" s="36">
        <f t="shared" si="10"/>
        <v>0.27</v>
      </c>
      <c r="BS91" s="101">
        <f t="shared" si="11"/>
        <v>0.46</v>
      </c>
      <c r="BT91" s="238">
        <f t="shared" si="12"/>
        <v>73478.260869565216</v>
      </c>
      <c r="BU91" s="238">
        <f t="shared" si="13"/>
        <v>65903.631880260669</v>
      </c>
    </row>
    <row r="92" spans="2:73">
      <c r="B92" s="65" t="s">
        <v>735</v>
      </c>
      <c r="C92" s="65" t="s">
        <v>677</v>
      </c>
      <c r="D92" s="65" t="s">
        <v>325</v>
      </c>
      <c r="E92" s="65" t="s">
        <v>10</v>
      </c>
      <c r="F92" s="94"/>
      <c r="G92" s="94"/>
      <c r="H92" s="65"/>
      <c r="I92" s="65"/>
      <c r="J92" s="65" t="s">
        <v>66</v>
      </c>
      <c r="K92" s="95">
        <f>ROUNDUP((VLOOKUP($U92,Dropdowns!$G$3:$I$17, 3, FALSE))*$AC92,-2)</f>
        <v>6800</v>
      </c>
      <c r="L92" s="65" t="s">
        <v>49</v>
      </c>
      <c r="M92" s="65"/>
      <c r="N92" s="65"/>
      <c r="O92" s="65"/>
      <c r="P92" s="65"/>
      <c r="Q92" s="65" t="s">
        <v>119</v>
      </c>
      <c r="R92" s="65" t="s">
        <v>146</v>
      </c>
      <c r="S92" s="65" t="str">
        <f>IFERROR(VLOOKUP('BMP P Tracking Table'!$R92,Dropdowns!$Q$3:$R$23,2,FALSE),"")</f>
        <v>Main Lake</v>
      </c>
      <c r="T92" s="65" t="s">
        <v>66</v>
      </c>
      <c r="U92" s="65" t="s">
        <v>47</v>
      </c>
      <c r="V92" s="65">
        <v>0.09</v>
      </c>
      <c r="W92" s="65" t="s">
        <v>220</v>
      </c>
      <c r="X92" s="65">
        <v>0.16</v>
      </c>
      <c r="Y92" s="65">
        <v>0</v>
      </c>
      <c r="Z92" s="65">
        <v>0</v>
      </c>
      <c r="AA92" s="65">
        <v>0</v>
      </c>
      <c r="AB92" s="65"/>
      <c r="AC92" s="97">
        <f t="shared" si="15"/>
        <v>339.40499999999997</v>
      </c>
      <c r="AD92" s="65" t="s">
        <v>206</v>
      </c>
      <c r="AE92" s="104">
        <f>IFERROR('BMP P Tracking Table'!$V92*VLOOKUP('BMP P Tracking Table'!$R92,'Loading Rates'!$B$1:$L$24,4,FALSE)+IF('BMP P Tracking Table'!$W92="By HSG",'BMP P Tracking Table'!$X92*VLOOKUP('BMP P Tracking Table'!$R92,'Loading Rates'!$B$1:$L$24,6,FALSE)+'BMP P Tracking Table'!$Y92*VLOOKUP('BMP P Tracking Table'!$R92,'Loading Rates'!$B$1:$L$24,7,FALSE)+'BMP P Tracking Table'!$Z92*VLOOKUP('BMP P Tracking Table'!$R92,'Loading Rates'!$B$1:$L$24,8,FALSE)+'BMP P Tracking Table'!$AA92*VLOOKUP('BMP P Tracking Table'!$R92,'Loading Rates'!$B$1:$L$24,9,FALSE),'BMP P Tracking Table'!$AB92*VLOOKUP('BMP P Tracking Table'!$R92,'Loading Rates'!$B$1:$L$24,10,FALSE)),"")</f>
        <v>0.10372999999999999</v>
      </c>
      <c r="AF92" s="104">
        <f>IFERROR(MIN(2,IF('BMP P Tracking Table'!$W92="Total Pervious",(-(3630*'BMP P Tracking Table'!$V92+20.691*'BMP P Tracking Table'!$AB92)+SQRT((3630*'BMP P Tracking Table'!$V92+20.691*'BMP P Tracking Table'!$AB92)^2-(4*(996.798*'BMP P Tracking Table'!$AB92)*-'BMP P Tracking Table'!$AC92)))/(2*(996.798*'BMP P Tracking Table'!$AB92)),IF(SUM('BMP P Tracking Table'!$X92:$AA92)=0,'BMP P Tracking Table'!$AC92/(-3630*'BMP P Tracking Table'!$V92),(-(3630*'BMP P Tracking Table'!$V92+20.691*'BMP P Tracking Table'!$AA92-216.711*'BMP P Tracking Table'!$Z92-83.853*'BMP P Tracking Table'!$Y92-42.834*'BMP P Tracking Table'!$X92)+SQRT((3630*'BMP P Tracking Table'!$V92+20.691*'BMP P Tracking Table'!$AA92-216.711*'BMP P Tracking Table'!$Z92-83.853*'BMP P Tracking Table'!$Y92-42.834*'BMP P Tracking Table'!$X92)^2-(4*(149.919*'BMP P Tracking Table'!$X92+236.676*'BMP P Tracking Table'!$Y92+726*'BMP P Tracking Table'!$Z92+996.798*'BMP P Tracking Table'!$AA92)*-'BMP P Tracking Table'!$AC92)))/(2*(149.919*'BMP P Tracking Table'!$X92+236.676*'BMP P Tracking Table'!$Y92+726*'BMP P Tracking Table'!$Z92+996.798*'BMP P Tracking Table'!$AA92))))),"")</f>
        <v>0.98795042406256883</v>
      </c>
      <c r="AG92" s="104">
        <f>IFERROR((VLOOKUP(CONCATENATE('BMP P Tracking Table'!$U92," ",'BMP P Tracking Table'!$AD92),'Performance Curves'!$C$1:$L$46,_xlfn.SINGLE(MATCH('BMP P Tracking Table'!$AF92,'Performance Curves'!$D$1:$L$1,1))+2,FALSE)-VLOOKUP(CONCATENATE('BMP P Tracking Table'!$U92," ",'BMP P Tracking Table'!$AD92),'Performance Curves'!$C$1:$L$46,_xlfn.SINGLE(MATCH('BMP P Tracking Table'!$AF92,'Performance Curves'!$D$1:$L$1,1))+1,FALSE)),"")</f>
        <v>2.0000000000000018E-2</v>
      </c>
      <c r="AH92" s="104">
        <f>IFERROR(('BMP P Tracking Table'!$AF92-INDEX('Performance Curves'!$D$1:$L$1,1,MATCH('BMP P Tracking Table'!$AF92,'Performance Curves'!$D$1:$L$1,1)))/(INDEX('Performance Curves'!$D$1:$L$1,1,MATCH('BMP P Tracking Table'!$AF92,'Performance Curves'!$D$1:$L$1,1)+1)-INDEX('Performance Curves'!$D$1:$L$1,1,MATCH('BMP P Tracking Table'!$AF92,'Performance Curves'!$D$1:$L$1,1))),"")</f>
        <v>0.93975212031284416</v>
      </c>
      <c r="AI92" s="103">
        <f>IFERROR(IF('BMP P Tracking Table'!$AF92=2,VLOOKUP(CONCATENATE('BMP P Tracking Table'!$U92," ",'BMP P Tracking Table'!$AD92),'Performance Curves'!$C$1:$L$46,_xlfn.SINGLE(MATCH('BMP P Tracking Table'!$AF92,'Performance Curves'!$D$1:$L$1,1))+1,FALSE),'BMP P Tracking Table'!$AG92*'BMP P Tracking Table'!$AH92+VLOOKUP(CONCATENATE('BMP P Tracking Table'!$U92," ",'BMP P Tracking Table'!$AD92),'Performance Curves'!$C$1:$L$46,_xlfn.SINGLE(MATCH('BMP P Tracking Table'!$AF92,'Performance Curves'!$D$1:$L$1,1))+1,FALSE)),"")</f>
        <v>0.97879504240625681</v>
      </c>
      <c r="AJ92" s="104">
        <f>IFERROR('BMP P Tracking Table'!$AI92*'BMP P Tracking Table'!$AE92,"")</f>
        <v>0.10153040974880101</v>
      </c>
      <c r="AK92" s="65"/>
      <c r="AL92" s="98"/>
      <c r="AM92" s="98"/>
      <c r="AN92" s="64">
        <v>1</v>
      </c>
      <c r="AO92" s="102">
        <f t="shared" si="5"/>
        <v>0.10153040974880101</v>
      </c>
      <c r="AP92" s="98"/>
      <c r="AQ92" s="98"/>
      <c r="AR92" s="98"/>
      <c r="AS92" s="98"/>
      <c r="AT92" s="98"/>
      <c r="AU92" s="98"/>
      <c r="AV92" s="98"/>
      <c r="AW92" s="65"/>
      <c r="AX92" s="99"/>
      <c r="AY92" s="99"/>
      <c r="AZ92" s="104" t="str">
        <f>IF('BMP P Tracking Table'!$AL92="Yes",IF('BMP P Tracking Table'!$AM92="No",'BMP P Tracking Table'!$V92*VLOOKUP('BMP P Tracking Table'!$R92,'Loading Rates'!$B$1:$L$24,4,FALSE)+IF('BMP P Tracking Table'!$W92="By HSG",'BMP P Tracking Table'!$X92*VLOOKUP('BMP P Tracking Table'!$R92,'Loading Rates'!$B$1:$L$24,6,FALSE)+'BMP P Tracking Table'!$Y92*VLOOKUP('BMP P Tracking Table'!$R92,'Loading Rates'!$B$1:$L$24,7,FALSE)+'BMP P Tracking Table'!$Z92*VLOOKUP('BMP P Tracking Table'!$R92,'Loading Rates'!$B$1:$L$24,8,FALSE)+'BMP P Tracking Table'!$AA92*VLOOKUP('BMP P Tracking Table'!$R92,'Loading Rates'!$B$1:$L$24,9,FALSE),'BMP P Tracking Table'!$AB92*VLOOKUP('BMP P Tracking Table'!$R92,'Loading Rates'!$B$1:$L$24,10,FALSE)),'BMP P Tracking Table'!$AP92*VLOOKUP('BMP P Tracking Table'!$R92,'Loading Rates'!$B$1:$L$24,4,FALSE)+IF('BMP P Tracking Table'!$AQ92="By HSG",'BMP P Tracking Table'!$AR92*VLOOKUP('BMP P Tracking Table'!$R92,'Loading Rates'!$B$1:$L$24,6,FALSE)+'BMP P Tracking Table'!$AS92*VLOOKUP('BMP P Tracking Table'!$R92,'Loading Rates'!$B$1:$L$24,7,FALSE)+'BMP P Tracking Table'!$AT92*VLOOKUP('BMP P Tracking Table'!$R92,'Loading Rates'!$B$1:$L$24,8,FALSE)+'BMP P Tracking Table'!$AU92*VLOOKUP('BMP P Tracking Table'!$R92,'Loading Rates'!$B$1:$L$24,9,FALSE),'BMP P Tracking Table'!$AV92*VLOOKUP('BMP P Tracking Table'!$R92,'Loading Rates'!$B$1:$L$24,10,FALSE))),"")</f>
        <v/>
      </c>
      <c r="BA92" s="104">
        <f>IFERROR(IF('BMP P Tracking Table'!$AM92="Yes",MIN(2,IF('BMP P Tracking Table'!$AQ92="Total Pervious",(-(3630*'BMP P Tracking Table'!$AP92+20.691*'BMP P Tracking Table'!$AV92)+SQRT((3630*'BMP P Tracking Table'!$AP92+20.691*'BMP P Tracking Table'!$AV92)^2-(4*(996.798*'BMP P Tracking Table'!$AV92)*-'BMP P Tracking Table'!$AX92)))/(2*(996.798*'BMP P Tracking Table'!$AV92)),IF(SUM('BMP P Tracking Table'!$AR92:$AU92)=0,'BMP P Tracking Table'!$AV92/(-3630*'BMP P Tracking Table'!$AP92),(-(3630*'BMP P Tracking Table'!$AP92+20.691*'BMP P Tracking Table'!$AU92-216.711*'BMP P Tracking Table'!$AT92-83.853*'BMP P Tracking Table'!$AS92-42.834*'BMP P Tracking Table'!$AR92)+SQRT((3630*'BMP P Tracking Table'!$AP92+20.691*'BMP P Tracking Table'!$AU92-216.711*'BMP P Tracking Table'!$AT92-83.853*'BMP P Tracking Table'!$AS92-42.834*'BMP P Tracking Table'!$AR92)^2-(4*(149.919*'BMP P Tracking Table'!$AR92+236.676*'BMP P Tracking Table'!$AS92+726*'BMP P Tracking Table'!$AT92+996.798*'BMP P Tracking Table'!$AU92)*-'BMP P Tracking Table'!$AX92)))/(2*(149.919*'BMP P Tracking Table'!$AR92+236.676*'BMP P Tracking Table'!$AS92+726*'BMP P Tracking Table'!$AT92+996.798*'BMP P Tracking Table'!$AU92))))),MIN(2,IF('BMP P Tracking Table'!$AQ92="Total Pervious",(-(3630*'BMP P Tracking Table'!$V92+20.691*'BMP P Tracking Table'!$AB92)+SQRT((3630*'BMP P Tracking Table'!$V92+20.691*'BMP P Tracking Table'!$AB92)^2-(4*(996.798*'BMP P Tracking Table'!$AB92)*-'BMP P Tracking Table'!$AX92)))/(2*(996.798*'BMP P Tracking Table'!$AB92)),IF(SUM('BMP P Tracking Table'!$X92:$AA92)=0,'BMP P Tracking Table'!$AX92/(-3630*'BMP P Tracking Table'!$V92),(-(3630*'BMP P Tracking Table'!$V92+20.691*'BMP P Tracking Table'!$AA92-216.711*'BMP P Tracking Table'!$Z92-83.853*'BMP P Tracking Table'!$Y92-42.834*'BMP P Tracking Table'!$X92)+SQRT((3630*'BMP P Tracking Table'!$V92+20.691*'BMP P Tracking Table'!$AA92-216.711*'BMP P Tracking Table'!$Z92-83.853*'BMP P Tracking Table'!$Y92-42.834*'BMP P Tracking Table'!$X92)^2-(4*(149.919*'BMP P Tracking Table'!$X92+236.676*'BMP P Tracking Table'!$Y92+726*'BMP P Tracking Table'!$Z92+996.798*'BMP P Tracking Table'!$AA92)*-'BMP P Tracking Table'!$AX92)))/(2*(149.919*'BMP P Tracking Table'!$X92+236.676*'BMP P Tracking Table'!$Y92+726*'BMP P Tracking Table'!$Z92+996.798*'BMP P Tracking Table'!$AA92)))))),"")</f>
        <v>0</v>
      </c>
      <c r="BB92" s="102" t="str">
        <f>IFERROR((VLOOKUP(CONCATENATE('BMP P Tracking Table'!$AW92," ",'BMP P Tracking Table'!$AY92),'Performance Curves'!$C$1:$L$46,_xlfn.SINGLE(MATCH('BMP P Tracking Table'!$BA92,'Performance Curves'!$D$1:$L$1,1))+2,FALSE)-VLOOKUP(CONCATENATE('BMP P Tracking Table'!$AW92," ",'BMP P Tracking Table'!$AY92),'Performance Curves'!$C$1:$L$46,_xlfn.SINGLE(MATCH('BMP P Tracking Table'!$BA92,'Performance Curves'!$D$1:$L$1,1))+1,FALSE)),"")</f>
        <v/>
      </c>
      <c r="BC92" s="102">
        <f>IFERROR(('BMP P Tracking Table'!$BA92-INDEX('Performance Curves'!$D$1:$L$1,1,MATCH('BMP P Tracking Table'!$BA92,'Performance Curves'!$D$1:$L$1,1)))/(INDEX('Performance Curves'!$D$1:$L$1,1,MATCH('BMP P Tracking Table'!$BA92,'Performance Curves'!$D$1:$L$1,1)+1)-INDEX('Performance Curves'!$D$1:$L$1,1,MATCH('BMP P Tracking Table'!$BA92,'Performance Curves'!$D$1:$L$1,1))),"")</f>
        <v>0</v>
      </c>
      <c r="BD92" s="103" t="str" cm="1">
        <f t="array" ref="BD92">IFERROR(IF('BMP P Tracking Table'!$BA92=2,VLOOKUP(CONCATENATE('BMP P Tracking Table'!$AW92," ",'BMP P Tracking Table'!$AY92),'Performance Curves'!$C$1:$L$44,_xlfn.SINGLE(MATCH('BMP P Tracking Table'!$BA92,'Performance Curves'!$D$1:$L$1,1))+1,FALSE),'BMP P Tracking Table'!$BB92*'BMP P Tracking Table'!$BC92+VLOOKUP(CONCATENATE('BMP P Tracking Table'!$AW92," ",'BMP P Tracking Table'!$AY92),'Performance Curves'!$C$1:$L$44,_xlfn.SINGLE(MATCH('BMP P Tracking Table'!$BA92,'Performance Curves'!$D$1:$L$1,1))+1,FALSE)),"")</f>
        <v/>
      </c>
      <c r="BE92" s="104" t="str">
        <f>IFERROR('BMP P Tracking Table'!$BD92*'BMP P Tracking Table'!$AZ92,"")</f>
        <v/>
      </c>
      <c r="BF92" s="98"/>
      <c r="BG92" s="37">
        <f t="shared" si="6"/>
        <v>0</v>
      </c>
      <c r="BI92" s="36" t="str">
        <f t="shared" si="7"/>
        <v>EJ-WR-007</v>
      </c>
      <c r="BJ92" s="36" t="str">
        <f t="shared" si="8"/>
        <v>CB544 Camp drywell</v>
      </c>
      <c r="BK92" s="36" t="s">
        <v>840</v>
      </c>
      <c r="BP92" s="36" t="s">
        <v>874</v>
      </c>
      <c r="BQ92" s="36">
        <f t="shared" si="9"/>
        <v>0.25</v>
      </c>
      <c r="BR92" s="36">
        <f t="shared" si="10"/>
        <v>0.16</v>
      </c>
      <c r="BS92" s="101">
        <f t="shared" si="11"/>
        <v>0.36</v>
      </c>
      <c r="BT92" s="238">
        <f t="shared" si="12"/>
        <v>75555.555555555562</v>
      </c>
      <c r="BU92" s="238">
        <f t="shared" si="13"/>
        <v>66975.007949086925</v>
      </c>
    </row>
    <row r="93" spans="2:73">
      <c r="B93" s="65" t="s">
        <v>734</v>
      </c>
      <c r="C93" s="65" t="s">
        <v>678</v>
      </c>
      <c r="D93" s="65" t="s">
        <v>325</v>
      </c>
      <c r="E93" s="65" t="s">
        <v>10</v>
      </c>
      <c r="F93" s="94"/>
      <c r="G93" s="94"/>
      <c r="H93" s="65"/>
      <c r="I93" s="65"/>
      <c r="J93" s="65" t="s">
        <v>66</v>
      </c>
      <c r="K93" s="95">
        <f>ROUNDUP((VLOOKUP($U93,Dropdowns!$G$3:$I$17, 3, FALSE))*$AC93,-2)</f>
        <v>4200</v>
      </c>
      <c r="L93" s="65" t="s">
        <v>49</v>
      </c>
      <c r="M93" s="65"/>
      <c r="N93" s="65"/>
      <c r="O93" s="65"/>
      <c r="P93" s="65"/>
      <c r="Q93" s="65" t="s">
        <v>119</v>
      </c>
      <c r="R93" s="65" t="s">
        <v>146</v>
      </c>
      <c r="S93" s="65" t="str">
        <f>IFERROR(VLOOKUP('BMP P Tracking Table'!$R93,Dropdowns!$Q$3:$R$23,2,FALSE),"")</f>
        <v>Main Lake</v>
      </c>
      <c r="T93" s="65" t="s">
        <v>66</v>
      </c>
      <c r="U93" s="65" t="s">
        <v>47</v>
      </c>
      <c r="V93" s="65">
        <v>0.05</v>
      </c>
      <c r="W93" s="65" t="s">
        <v>220</v>
      </c>
      <c r="X93" s="65">
        <v>0.2</v>
      </c>
      <c r="Y93" s="65">
        <v>0</v>
      </c>
      <c r="Z93" s="65">
        <v>0</v>
      </c>
      <c r="AA93" s="65">
        <v>0</v>
      </c>
      <c r="AB93" s="65"/>
      <c r="AC93" s="97">
        <f t="shared" si="15"/>
        <v>208.72499999999999</v>
      </c>
      <c r="AD93" s="65" t="s">
        <v>206</v>
      </c>
      <c r="AE93" s="104">
        <f>IFERROR('BMP P Tracking Table'!$V93*VLOOKUP('BMP P Tracking Table'!$R93,'Loading Rates'!$B$1:$L$24,4,FALSE)+IF('BMP P Tracking Table'!$W93="By HSG",'BMP P Tracking Table'!$X93*VLOOKUP('BMP P Tracking Table'!$R93,'Loading Rates'!$B$1:$L$24,6,FALSE)+'BMP P Tracking Table'!$Y93*VLOOKUP('BMP P Tracking Table'!$R93,'Loading Rates'!$B$1:$L$24,7,FALSE)+'BMP P Tracking Table'!$Z93*VLOOKUP('BMP P Tracking Table'!$R93,'Loading Rates'!$B$1:$L$24,8,FALSE)+'BMP P Tracking Table'!$AA93*VLOOKUP('BMP P Tracking Table'!$R93,'Loading Rates'!$B$1:$L$24,9,FALSE),'BMP P Tracking Table'!$AB93*VLOOKUP('BMP P Tracking Table'!$R93,'Loading Rates'!$B$1:$L$24,10,FALSE)),"")</f>
        <v>5.985E-2</v>
      </c>
      <c r="AF93" s="104">
        <f>IFERROR(MIN(2,IF('BMP P Tracking Table'!$W93="Total Pervious",(-(3630*'BMP P Tracking Table'!$V93+20.691*'BMP P Tracking Table'!$AB93)+SQRT((3630*'BMP P Tracking Table'!$V93+20.691*'BMP P Tracking Table'!$AB93)^2-(4*(996.798*'BMP P Tracking Table'!$AB93)*-'BMP P Tracking Table'!$AC93)))/(2*(996.798*'BMP P Tracking Table'!$AB93)),IF(SUM('BMP P Tracking Table'!$X93:$AA93)=0,'BMP P Tracking Table'!$AC93/(-3630*'BMP P Tracking Table'!$V93),(-(3630*'BMP P Tracking Table'!$V93+20.691*'BMP P Tracking Table'!$AA93-216.711*'BMP P Tracking Table'!$Z93-83.853*'BMP P Tracking Table'!$Y93-42.834*'BMP P Tracking Table'!$X93)+SQRT((3630*'BMP P Tracking Table'!$V93+20.691*'BMP P Tracking Table'!$AA93-216.711*'BMP P Tracking Table'!$Z93-83.853*'BMP P Tracking Table'!$Y93-42.834*'BMP P Tracking Table'!$X93)^2-(4*(149.919*'BMP P Tracking Table'!$X93+236.676*'BMP P Tracking Table'!$Y93+726*'BMP P Tracking Table'!$Z93+996.798*'BMP P Tracking Table'!$AA93)*-'BMP P Tracking Table'!$AC93)))/(2*(149.919*'BMP P Tracking Table'!$X93+236.676*'BMP P Tracking Table'!$Y93+726*'BMP P Tracking Table'!$Z93+996.798*'BMP P Tracking Table'!$AA93))))),"")</f>
        <v>1.0248581037537152</v>
      </c>
      <c r="AG93" s="104">
        <f>IFERROR((VLOOKUP(CONCATENATE('BMP P Tracking Table'!$U93," ",'BMP P Tracking Table'!$AD93),'Performance Curves'!$C$1:$L$46,_xlfn.SINGLE(MATCH('BMP P Tracking Table'!$AF93,'Performance Curves'!$D$1:$L$1,1))+2,FALSE)-VLOOKUP(CONCATENATE('BMP P Tracking Table'!$U93," ",'BMP P Tracking Table'!$AD93),'Performance Curves'!$C$1:$L$46,_xlfn.SINGLE(MATCH('BMP P Tracking Table'!$AF93,'Performance Curves'!$D$1:$L$1,1))+1,FALSE)),"")</f>
        <v>2.0000000000000018E-2</v>
      </c>
      <c r="AH93" s="104">
        <f>IFERROR(('BMP P Tracking Table'!$AF93-INDEX('Performance Curves'!$D$1:$L$1,1,MATCH('BMP P Tracking Table'!$AF93,'Performance Curves'!$D$1:$L$1,1)))/(INDEX('Performance Curves'!$D$1:$L$1,1,MATCH('BMP P Tracking Table'!$AF93,'Performance Curves'!$D$1:$L$1,1)+1)-INDEX('Performance Curves'!$D$1:$L$1,1,MATCH('BMP P Tracking Table'!$AF93,'Performance Curves'!$D$1:$L$1,1))),"")</f>
        <v>4.9716207507430443E-2</v>
      </c>
      <c r="AI93" s="103">
        <f>IFERROR(IF('BMP P Tracking Table'!$AF93=2,VLOOKUP(CONCATENATE('BMP P Tracking Table'!$U93," ",'BMP P Tracking Table'!$AD93),'Performance Curves'!$C$1:$L$46,_xlfn.SINGLE(MATCH('BMP P Tracking Table'!$AF93,'Performance Curves'!$D$1:$L$1,1))+1,FALSE),'BMP P Tracking Table'!$AG93*'BMP P Tracking Table'!$AH93+VLOOKUP(CONCATENATE('BMP P Tracking Table'!$U93," ",'BMP P Tracking Table'!$AD93),'Performance Curves'!$C$1:$L$46,_xlfn.SINGLE(MATCH('BMP P Tracking Table'!$AF93,'Performance Curves'!$D$1:$L$1,1))+1,FALSE)),"")</f>
        <v>0.98099432415014864</v>
      </c>
      <c r="AJ93" s="104">
        <f>IFERROR('BMP P Tracking Table'!$AI93*'BMP P Tracking Table'!$AE93,"")</f>
        <v>5.8712510300386399E-2</v>
      </c>
      <c r="AK93" s="65"/>
      <c r="AL93" s="98"/>
      <c r="AM93" s="98"/>
      <c r="AN93" s="64">
        <v>1</v>
      </c>
      <c r="AO93" s="102">
        <f t="shared" si="5"/>
        <v>5.8712510300386399E-2</v>
      </c>
      <c r="AP93" s="98"/>
      <c r="AQ93" s="98"/>
      <c r="AR93" s="98"/>
      <c r="AS93" s="98"/>
      <c r="AT93" s="98"/>
      <c r="AU93" s="98"/>
      <c r="AV93" s="98"/>
      <c r="AW93" s="65"/>
      <c r="AX93" s="99"/>
      <c r="AY93" s="99"/>
      <c r="AZ93" s="104" t="str">
        <f>IF('BMP P Tracking Table'!$AL93="Yes",IF('BMP P Tracking Table'!$AM93="No",'BMP P Tracking Table'!$V93*VLOOKUP('BMP P Tracking Table'!$R93,'Loading Rates'!$B$1:$L$24,4,FALSE)+IF('BMP P Tracking Table'!$W93="By HSG",'BMP P Tracking Table'!$X93*VLOOKUP('BMP P Tracking Table'!$R93,'Loading Rates'!$B$1:$L$24,6,FALSE)+'BMP P Tracking Table'!$Y93*VLOOKUP('BMP P Tracking Table'!$R93,'Loading Rates'!$B$1:$L$24,7,FALSE)+'BMP P Tracking Table'!$Z93*VLOOKUP('BMP P Tracking Table'!$R93,'Loading Rates'!$B$1:$L$24,8,FALSE)+'BMP P Tracking Table'!$AA93*VLOOKUP('BMP P Tracking Table'!$R93,'Loading Rates'!$B$1:$L$24,9,FALSE),'BMP P Tracking Table'!$AB93*VLOOKUP('BMP P Tracking Table'!$R93,'Loading Rates'!$B$1:$L$24,10,FALSE)),'BMP P Tracking Table'!$AP93*VLOOKUP('BMP P Tracking Table'!$R93,'Loading Rates'!$B$1:$L$24,4,FALSE)+IF('BMP P Tracking Table'!$AQ93="By HSG",'BMP P Tracking Table'!$AR93*VLOOKUP('BMP P Tracking Table'!$R93,'Loading Rates'!$B$1:$L$24,6,FALSE)+'BMP P Tracking Table'!$AS93*VLOOKUP('BMP P Tracking Table'!$R93,'Loading Rates'!$B$1:$L$24,7,FALSE)+'BMP P Tracking Table'!$AT93*VLOOKUP('BMP P Tracking Table'!$R93,'Loading Rates'!$B$1:$L$24,8,FALSE)+'BMP P Tracking Table'!$AU93*VLOOKUP('BMP P Tracking Table'!$R93,'Loading Rates'!$B$1:$L$24,9,FALSE),'BMP P Tracking Table'!$AV93*VLOOKUP('BMP P Tracking Table'!$R93,'Loading Rates'!$B$1:$L$24,10,FALSE))),"")</f>
        <v/>
      </c>
      <c r="BA93" s="104">
        <f>IFERROR(IF('BMP P Tracking Table'!$AM93="Yes",MIN(2,IF('BMP P Tracking Table'!$AQ93="Total Pervious",(-(3630*'BMP P Tracking Table'!$AP93+20.691*'BMP P Tracking Table'!$AV93)+SQRT((3630*'BMP P Tracking Table'!$AP93+20.691*'BMP P Tracking Table'!$AV93)^2-(4*(996.798*'BMP P Tracking Table'!$AV93)*-'BMP P Tracking Table'!$AX93)))/(2*(996.798*'BMP P Tracking Table'!$AV93)),IF(SUM('BMP P Tracking Table'!$AR93:$AU93)=0,'BMP P Tracking Table'!$AV93/(-3630*'BMP P Tracking Table'!$AP93),(-(3630*'BMP P Tracking Table'!$AP93+20.691*'BMP P Tracking Table'!$AU93-216.711*'BMP P Tracking Table'!$AT93-83.853*'BMP P Tracking Table'!$AS93-42.834*'BMP P Tracking Table'!$AR93)+SQRT((3630*'BMP P Tracking Table'!$AP93+20.691*'BMP P Tracking Table'!$AU93-216.711*'BMP P Tracking Table'!$AT93-83.853*'BMP P Tracking Table'!$AS93-42.834*'BMP P Tracking Table'!$AR93)^2-(4*(149.919*'BMP P Tracking Table'!$AR93+236.676*'BMP P Tracking Table'!$AS93+726*'BMP P Tracking Table'!$AT93+996.798*'BMP P Tracking Table'!$AU93)*-'BMP P Tracking Table'!$AX93)))/(2*(149.919*'BMP P Tracking Table'!$AR93+236.676*'BMP P Tracking Table'!$AS93+726*'BMP P Tracking Table'!$AT93+996.798*'BMP P Tracking Table'!$AU93))))),MIN(2,IF('BMP P Tracking Table'!$AQ93="Total Pervious",(-(3630*'BMP P Tracking Table'!$V93+20.691*'BMP P Tracking Table'!$AB93)+SQRT((3630*'BMP P Tracking Table'!$V93+20.691*'BMP P Tracking Table'!$AB93)^2-(4*(996.798*'BMP P Tracking Table'!$AB93)*-'BMP P Tracking Table'!$AX93)))/(2*(996.798*'BMP P Tracking Table'!$AB93)),IF(SUM('BMP P Tracking Table'!$X93:$AA93)=0,'BMP P Tracking Table'!$AX93/(-3630*'BMP P Tracking Table'!$V93),(-(3630*'BMP P Tracking Table'!$V93+20.691*'BMP P Tracking Table'!$AA93-216.711*'BMP P Tracking Table'!$Z93-83.853*'BMP P Tracking Table'!$Y93-42.834*'BMP P Tracking Table'!$X93)+SQRT((3630*'BMP P Tracking Table'!$V93+20.691*'BMP P Tracking Table'!$AA93-216.711*'BMP P Tracking Table'!$Z93-83.853*'BMP P Tracking Table'!$Y93-42.834*'BMP P Tracking Table'!$X93)^2-(4*(149.919*'BMP P Tracking Table'!$X93+236.676*'BMP P Tracking Table'!$Y93+726*'BMP P Tracking Table'!$Z93+996.798*'BMP P Tracking Table'!$AA93)*-'BMP P Tracking Table'!$AX93)))/(2*(149.919*'BMP P Tracking Table'!$X93+236.676*'BMP P Tracking Table'!$Y93+726*'BMP P Tracking Table'!$Z93+996.798*'BMP P Tracking Table'!$AA93)))))),"")</f>
        <v>0</v>
      </c>
      <c r="BB93" s="102" t="str">
        <f>IFERROR((VLOOKUP(CONCATENATE('BMP P Tracking Table'!$AW93," ",'BMP P Tracking Table'!$AY93),'Performance Curves'!$C$1:$L$46,_xlfn.SINGLE(MATCH('BMP P Tracking Table'!$BA93,'Performance Curves'!$D$1:$L$1,1))+2,FALSE)-VLOOKUP(CONCATENATE('BMP P Tracking Table'!$AW93," ",'BMP P Tracking Table'!$AY93),'Performance Curves'!$C$1:$L$46,_xlfn.SINGLE(MATCH('BMP P Tracking Table'!$BA93,'Performance Curves'!$D$1:$L$1,1))+1,FALSE)),"")</f>
        <v/>
      </c>
      <c r="BC93" s="102">
        <f>IFERROR(('BMP P Tracking Table'!$BA93-INDEX('Performance Curves'!$D$1:$L$1,1,MATCH('BMP P Tracking Table'!$BA93,'Performance Curves'!$D$1:$L$1,1)))/(INDEX('Performance Curves'!$D$1:$L$1,1,MATCH('BMP P Tracking Table'!$BA93,'Performance Curves'!$D$1:$L$1,1)+1)-INDEX('Performance Curves'!$D$1:$L$1,1,MATCH('BMP P Tracking Table'!$BA93,'Performance Curves'!$D$1:$L$1,1))),"")</f>
        <v>0</v>
      </c>
      <c r="BD93" s="103" t="str" cm="1">
        <f t="array" ref="BD93">IFERROR(IF('BMP P Tracking Table'!$BA93=2,VLOOKUP(CONCATENATE('BMP P Tracking Table'!$AW93," ",'BMP P Tracking Table'!$AY93),'Performance Curves'!$C$1:$L$44,_xlfn.SINGLE(MATCH('BMP P Tracking Table'!$BA93,'Performance Curves'!$D$1:$L$1,1))+1,FALSE),'BMP P Tracking Table'!$BB93*'BMP P Tracking Table'!$BC93+VLOOKUP(CONCATENATE('BMP P Tracking Table'!$AW93," ",'BMP P Tracking Table'!$AY93),'Performance Curves'!$C$1:$L$44,_xlfn.SINGLE(MATCH('BMP P Tracking Table'!$BA93,'Performance Curves'!$D$1:$L$1,1))+1,FALSE)),"")</f>
        <v/>
      </c>
      <c r="BE93" s="104" t="str">
        <f>IFERROR('BMP P Tracking Table'!$BD93*'BMP P Tracking Table'!$AZ93,"")</f>
        <v/>
      </c>
      <c r="BF93" s="98"/>
      <c r="BG93" s="37">
        <f t="shared" si="6"/>
        <v>0</v>
      </c>
      <c r="BI93" s="36" t="str">
        <f t="shared" si="7"/>
        <v>EJ-WR-006</v>
      </c>
      <c r="BJ93" s="36" t="str">
        <f t="shared" si="8"/>
        <v>CB543 Camp drywell</v>
      </c>
      <c r="BK93" s="36" t="s">
        <v>840</v>
      </c>
      <c r="BP93" s="36" t="s">
        <v>874</v>
      </c>
      <c r="BQ93" s="36">
        <f t="shared" si="9"/>
        <v>0.25</v>
      </c>
      <c r="BR93" s="36">
        <f t="shared" si="10"/>
        <v>0.2</v>
      </c>
      <c r="BS93" s="101">
        <f t="shared" si="11"/>
        <v>0.2</v>
      </c>
      <c r="BT93" s="238">
        <f t="shared" si="12"/>
        <v>84000</v>
      </c>
      <c r="BU93" s="238">
        <f t="shared" si="13"/>
        <v>71535.009804756366</v>
      </c>
    </row>
    <row r="94" spans="2:73">
      <c r="B94" s="65" t="s">
        <v>732</v>
      </c>
      <c r="C94" s="65" t="s">
        <v>679</v>
      </c>
      <c r="D94" s="65" t="s">
        <v>325</v>
      </c>
      <c r="E94" s="65" t="s">
        <v>10</v>
      </c>
      <c r="F94" s="94"/>
      <c r="G94" s="94"/>
      <c r="H94" s="65"/>
      <c r="I94" s="65"/>
      <c r="J94" s="65" t="s">
        <v>66</v>
      </c>
      <c r="K94" s="95">
        <f>ROUNDUP((VLOOKUP($U94,Dropdowns!$G$3:$I$17, 3, FALSE))*$AC94,-2)</f>
        <v>18600</v>
      </c>
      <c r="L94" s="65" t="s">
        <v>49</v>
      </c>
      <c r="M94" s="65"/>
      <c r="N94" s="65"/>
      <c r="O94" s="65"/>
      <c r="P94" s="65"/>
      <c r="Q94" s="65" t="s">
        <v>119</v>
      </c>
      <c r="R94" s="65" t="s">
        <v>146</v>
      </c>
      <c r="S94" s="65" t="str">
        <f>IFERROR(VLOOKUP('BMP P Tracking Table'!$R94,Dropdowns!$Q$3:$R$23,2,FALSE),"")</f>
        <v>Main Lake</v>
      </c>
      <c r="T94" s="65" t="s">
        <v>66</v>
      </c>
      <c r="U94" s="65" t="s">
        <v>47</v>
      </c>
      <c r="V94" s="65">
        <v>0.26</v>
      </c>
      <c r="W94" s="65" t="s">
        <v>220</v>
      </c>
      <c r="X94" s="65">
        <v>0.16</v>
      </c>
      <c r="Y94" s="65">
        <v>0</v>
      </c>
      <c r="Z94" s="65">
        <v>0</v>
      </c>
      <c r="AA94" s="65">
        <v>0</v>
      </c>
      <c r="AB94" s="65"/>
      <c r="AC94" s="97">
        <f t="shared" si="15"/>
        <v>925.65000000000009</v>
      </c>
      <c r="AD94" s="65" t="s">
        <v>206</v>
      </c>
      <c r="AE94" s="104">
        <f>IFERROR('BMP P Tracking Table'!$V94*VLOOKUP('BMP P Tracking Table'!$R94,'Loading Rates'!$B$1:$L$24,4,FALSE)+IF('BMP P Tracking Table'!$W94="By HSG",'BMP P Tracking Table'!$X94*VLOOKUP('BMP P Tracking Table'!$R94,'Loading Rates'!$B$1:$L$24,6,FALSE)+'BMP P Tracking Table'!$Y94*VLOOKUP('BMP P Tracking Table'!$R94,'Loading Rates'!$B$1:$L$24,7,FALSE)+'BMP P Tracking Table'!$Z94*VLOOKUP('BMP P Tracking Table'!$R94,'Loading Rates'!$B$1:$L$24,8,FALSE)+'BMP P Tracking Table'!$AA94*VLOOKUP('BMP P Tracking Table'!$R94,'Loading Rates'!$B$1:$L$24,9,FALSE),'BMP P Tracking Table'!$AB94*VLOOKUP('BMP P Tracking Table'!$R94,'Loading Rates'!$B$1:$L$24,10,FALSE)),"")</f>
        <v>0.29361999999999999</v>
      </c>
      <c r="AF94" s="104">
        <f>IFERROR(MIN(2,IF('BMP P Tracking Table'!$W94="Total Pervious",(-(3630*'BMP P Tracking Table'!$V94+20.691*'BMP P Tracking Table'!$AB94)+SQRT((3630*'BMP P Tracking Table'!$V94+20.691*'BMP P Tracking Table'!$AB94)^2-(4*(996.798*'BMP P Tracking Table'!$AB94)*-'BMP P Tracking Table'!$AC94)))/(2*(996.798*'BMP P Tracking Table'!$AB94)),IF(SUM('BMP P Tracking Table'!$X94:$AA94)=0,'BMP P Tracking Table'!$AC94/(-3630*'BMP P Tracking Table'!$V94),(-(3630*'BMP P Tracking Table'!$V94+20.691*'BMP P Tracking Table'!$AA94-216.711*'BMP P Tracking Table'!$Z94-83.853*'BMP P Tracking Table'!$Y94-42.834*'BMP P Tracking Table'!$X94)+SQRT((3630*'BMP P Tracking Table'!$V94+20.691*'BMP P Tracking Table'!$AA94-216.711*'BMP P Tracking Table'!$Z94-83.853*'BMP P Tracking Table'!$Y94-42.834*'BMP P Tracking Table'!$X94)^2-(4*(149.919*'BMP P Tracking Table'!$X94+236.676*'BMP P Tracking Table'!$Y94+726*'BMP P Tracking Table'!$Z94+996.798*'BMP P Tracking Table'!$AA94)*-'BMP P Tracking Table'!$AC94)))/(2*(149.919*'BMP P Tracking Table'!$X94+236.676*'BMP P Tracking Table'!$Y94+726*'BMP P Tracking Table'!$Z94+996.798*'BMP P Tracking Table'!$AA94))))),"")</f>
        <v>0.96414489042289064</v>
      </c>
      <c r="AG94" s="104">
        <f>IFERROR((VLOOKUP(CONCATENATE('BMP P Tracking Table'!$U94," ",'BMP P Tracking Table'!$AD94),'Performance Curves'!$C$1:$L$46,_xlfn.SINGLE(MATCH('BMP P Tracking Table'!$AF94,'Performance Curves'!$D$1:$L$1,1))+2,FALSE)-VLOOKUP(CONCATENATE('BMP P Tracking Table'!$U94," ",'BMP P Tracking Table'!$AD94),'Performance Curves'!$C$1:$L$46,_xlfn.SINGLE(MATCH('BMP P Tracking Table'!$AF94,'Performance Curves'!$D$1:$L$1,1))+1,FALSE)),"")</f>
        <v>2.0000000000000018E-2</v>
      </c>
      <c r="AH94" s="104">
        <f>IFERROR(('BMP P Tracking Table'!$AF94-INDEX('Performance Curves'!$D$1:$L$1,1,MATCH('BMP P Tracking Table'!$AF94,'Performance Curves'!$D$1:$L$1,1)))/(INDEX('Performance Curves'!$D$1:$L$1,1,MATCH('BMP P Tracking Table'!$AF94,'Performance Curves'!$D$1:$L$1,1)+1)-INDEX('Performance Curves'!$D$1:$L$1,1,MATCH('BMP P Tracking Table'!$AF94,'Performance Curves'!$D$1:$L$1,1))),"")</f>
        <v>0.82072445211445322</v>
      </c>
      <c r="AI94" s="103">
        <f>IFERROR(IF('BMP P Tracking Table'!$AF94=2,VLOOKUP(CONCATENATE('BMP P Tracking Table'!$U94," ",'BMP P Tracking Table'!$AD94),'Performance Curves'!$C$1:$L$46,_xlfn.SINGLE(MATCH('BMP P Tracking Table'!$AF94,'Performance Curves'!$D$1:$L$1,1))+1,FALSE),'BMP P Tracking Table'!$AG94*'BMP P Tracking Table'!$AH94+VLOOKUP(CONCATENATE('BMP P Tracking Table'!$U94," ",'BMP P Tracking Table'!$AD94),'Performance Curves'!$C$1:$L$46,_xlfn.SINGLE(MATCH('BMP P Tracking Table'!$AF94,'Performance Curves'!$D$1:$L$1,1))+1,FALSE)),"")</f>
        <v>0.976414489042289</v>
      </c>
      <c r="AJ94" s="104">
        <f>IFERROR('BMP P Tracking Table'!$AI94*'BMP P Tracking Table'!$AE94,"")</f>
        <v>0.28669482227259691</v>
      </c>
      <c r="AK94" s="65"/>
      <c r="AL94" s="98"/>
      <c r="AM94" s="98"/>
      <c r="AN94" s="64">
        <v>1</v>
      </c>
      <c r="AO94" s="102">
        <f t="shared" ref="AO94:AO154" si="16">IF(AL94="Yes",IF(BG94&gt;0,IF(ISBLANK(AK94),AJ94,AK94)-IF(ISBLANK(BF94),BE94,BF94),"Enter Info --&gt;"),IF(ISBLANK(AK94),AJ94,AK94))</f>
        <v>0.28669482227259691</v>
      </c>
      <c r="AP94" s="98"/>
      <c r="AQ94" s="98"/>
      <c r="AR94" s="98"/>
      <c r="AS94" s="98"/>
      <c r="AT94" s="98"/>
      <c r="AU94" s="98"/>
      <c r="AV94" s="98"/>
      <c r="AW94" s="65"/>
      <c r="AX94" s="99"/>
      <c r="AY94" s="99"/>
      <c r="AZ94" s="104" t="str">
        <f>IF('BMP P Tracking Table'!$AL94="Yes",IF('BMP P Tracking Table'!$AM94="No",'BMP P Tracking Table'!$V94*VLOOKUP('BMP P Tracking Table'!$R94,'Loading Rates'!$B$1:$L$24,4,FALSE)+IF('BMP P Tracking Table'!$W94="By HSG",'BMP P Tracking Table'!$X94*VLOOKUP('BMP P Tracking Table'!$R94,'Loading Rates'!$B$1:$L$24,6,FALSE)+'BMP P Tracking Table'!$Y94*VLOOKUP('BMP P Tracking Table'!$R94,'Loading Rates'!$B$1:$L$24,7,FALSE)+'BMP P Tracking Table'!$Z94*VLOOKUP('BMP P Tracking Table'!$R94,'Loading Rates'!$B$1:$L$24,8,FALSE)+'BMP P Tracking Table'!$AA94*VLOOKUP('BMP P Tracking Table'!$R94,'Loading Rates'!$B$1:$L$24,9,FALSE),'BMP P Tracking Table'!$AB94*VLOOKUP('BMP P Tracking Table'!$R94,'Loading Rates'!$B$1:$L$24,10,FALSE)),'BMP P Tracking Table'!$AP94*VLOOKUP('BMP P Tracking Table'!$R94,'Loading Rates'!$B$1:$L$24,4,FALSE)+IF('BMP P Tracking Table'!$AQ94="By HSG",'BMP P Tracking Table'!$AR94*VLOOKUP('BMP P Tracking Table'!$R94,'Loading Rates'!$B$1:$L$24,6,FALSE)+'BMP P Tracking Table'!$AS94*VLOOKUP('BMP P Tracking Table'!$R94,'Loading Rates'!$B$1:$L$24,7,FALSE)+'BMP P Tracking Table'!$AT94*VLOOKUP('BMP P Tracking Table'!$R94,'Loading Rates'!$B$1:$L$24,8,FALSE)+'BMP P Tracking Table'!$AU94*VLOOKUP('BMP P Tracking Table'!$R94,'Loading Rates'!$B$1:$L$24,9,FALSE),'BMP P Tracking Table'!$AV94*VLOOKUP('BMP P Tracking Table'!$R94,'Loading Rates'!$B$1:$L$24,10,FALSE))),"")</f>
        <v/>
      </c>
      <c r="BA94" s="104">
        <f>IFERROR(IF('BMP P Tracking Table'!$AM94="Yes",MIN(2,IF('BMP P Tracking Table'!$AQ94="Total Pervious",(-(3630*'BMP P Tracking Table'!$AP94+20.691*'BMP P Tracking Table'!$AV94)+SQRT((3630*'BMP P Tracking Table'!$AP94+20.691*'BMP P Tracking Table'!$AV94)^2-(4*(996.798*'BMP P Tracking Table'!$AV94)*-'BMP P Tracking Table'!$AX94)))/(2*(996.798*'BMP P Tracking Table'!$AV94)),IF(SUM('BMP P Tracking Table'!$AR94:$AU94)=0,'BMP P Tracking Table'!$AV94/(-3630*'BMP P Tracking Table'!$AP94),(-(3630*'BMP P Tracking Table'!$AP94+20.691*'BMP P Tracking Table'!$AU94-216.711*'BMP P Tracking Table'!$AT94-83.853*'BMP P Tracking Table'!$AS94-42.834*'BMP P Tracking Table'!$AR94)+SQRT((3630*'BMP P Tracking Table'!$AP94+20.691*'BMP P Tracking Table'!$AU94-216.711*'BMP P Tracking Table'!$AT94-83.853*'BMP P Tracking Table'!$AS94-42.834*'BMP P Tracking Table'!$AR94)^2-(4*(149.919*'BMP P Tracking Table'!$AR94+236.676*'BMP P Tracking Table'!$AS94+726*'BMP P Tracking Table'!$AT94+996.798*'BMP P Tracking Table'!$AU94)*-'BMP P Tracking Table'!$AX94)))/(2*(149.919*'BMP P Tracking Table'!$AR94+236.676*'BMP P Tracking Table'!$AS94+726*'BMP P Tracking Table'!$AT94+996.798*'BMP P Tracking Table'!$AU94))))),MIN(2,IF('BMP P Tracking Table'!$AQ94="Total Pervious",(-(3630*'BMP P Tracking Table'!$V94+20.691*'BMP P Tracking Table'!$AB94)+SQRT((3630*'BMP P Tracking Table'!$V94+20.691*'BMP P Tracking Table'!$AB94)^2-(4*(996.798*'BMP P Tracking Table'!$AB94)*-'BMP P Tracking Table'!$AX94)))/(2*(996.798*'BMP P Tracking Table'!$AB94)),IF(SUM('BMP P Tracking Table'!$X94:$AA94)=0,'BMP P Tracking Table'!$AX94/(-3630*'BMP P Tracking Table'!$V94),(-(3630*'BMP P Tracking Table'!$V94+20.691*'BMP P Tracking Table'!$AA94-216.711*'BMP P Tracking Table'!$Z94-83.853*'BMP P Tracking Table'!$Y94-42.834*'BMP P Tracking Table'!$X94)+SQRT((3630*'BMP P Tracking Table'!$V94+20.691*'BMP P Tracking Table'!$AA94-216.711*'BMP P Tracking Table'!$Z94-83.853*'BMP P Tracking Table'!$Y94-42.834*'BMP P Tracking Table'!$X94)^2-(4*(149.919*'BMP P Tracking Table'!$X94+236.676*'BMP P Tracking Table'!$Y94+726*'BMP P Tracking Table'!$Z94+996.798*'BMP P Tracking Table'!$AA94)*-'BMP P Tracking Table'!$AX94)))/(2*(149.919*'BMP P Tracking Table'!$X94+236.676*'BMP P Tracking Table'!$Y94+726*'BMP P Tracking Table'!$Z94+996.798*'BMP P Tracking Table'!$AA94)))))),"")</f>
        <v>0</v>
      </c>
      <c r="BB94" s="102" t="str">
        <f>IFERROR((VLOOKUP(CONCATENATE('BMP P Tracking Table'!$AW94," ",'BMP P Tracking Table'!$AY94),'Performance Curves'!$C$1:$L$46,_xlfn.SINGLE(MATCH('BMP P Tracking Table'!$BA94,'Performance Curves'!$D$1:$L$1,1))+2,FALSE)-VLOOKUP(CONCATENATE('BMP P Tracking Table'!$AW94," ",'BMP P Tracking Table'!$AY94),'Performance Curves'!$C$1:$L$46,_xlfn.SINGLE(MATCH('BMP P Tracking Table'!$BA94,'Performance Curves'!$D$1:$L$1,1))+1,FALSE)),"")</f>
        <v/>
      </c>
      <c r="BC94" s="102">
        <f>IFERROR(('BMP P Tracking Table'!$BA94-INDEX('Performance Curves'!$D$1:$L$1,1,MATCH('BMP P Tracking Table'!$BA94,'Performance Curves'!$D$1:$L$1,1)))/(INDEX('Performance Curves'!$D$1:$L$1,1,MATCH('BMP P Tracking Table'!$BA94,'Performance Curves'!$D$1:$L$1,1)+1)-INDEX('Performance Curves'!$D$1:$L$1,1,MATCH('BMP P Tracking Table'!$BA94,'Performance Curves'!$D$1:$L$1,1))),"")</f>
        <v>0</v>
      </c>
      <c r="BD94" s="103" t="str" cm="1">
        <f t="array" ref="BD94">IFERROR(IF('BMP P Tracking Table'!$BA94=2,VLOOKUP(CONCATENATE('BMP P Tracking Table'!$AW94," ",'BMP P Tracking Table'!$AY94),'Performance Curves'!$C$1:$L$44,_xlfn.SINGLE(MATCH('BMP P Tracking Table'!$BA94,'Performance Curves'!$D$1:$L$1,1))+1,FALSE),'BMP P Tracking Table'!$BB94*'BMP P Tracking Table'!$BC94+VLOOKUP(CONCATENATE('BMP P Tracking Table'!$AW94," ",'BMP P Tracking Table'!$AY94),'Performance Curves'!$C$1:$L$44,_xlfn.SINGLE(MATCH('BMP P Tracking Table'!$BA94,'Performance Curves'!$D$1:$L$1,1))+1,FALSE)),"")</f>
        <v/>
      </c>
      <c r="BE94" s="104" t="str">
        <f>IFERROR('BMP P Tracking Table'!$BD94*'BMP P Tracking Table'!$AZ94,"")</f>
        <v/>
      </c>
      <c r="BF94" s="98"/>
      <c r="BG94" s="37">
        <f t="shared" si="6"/>
        <v>0</v>
      </c>
      <c r="BI94" s="36" t="str">
        <f t="shared" si="7"/>
        <v>EJ-WR-004</v>
      </c>
      <c r="BJ94" s="36" t="str">
        <f t="shared" si="8"/>
        <v>CB541 Camp drywell</v>
      </c>
      <c r="BK94" s="36" t="s">
        <v>840</v>
      </c>
      <c r="BL94" s="36" t="s">
        <v>822</v>
      </c>
      <c r="BM94" s="36" t="s">
        <v>847</v>
      </c>
      <c r="BN94" s="36" t="s">
        <v>844</v>
      </c>
      <c r="BO94" s="36" t="s">
        <v>819</v>
      </c>
      <c r="BP94" s="36" t="s">
        <v>874</v>
      </c>
      <c r="BQ94" s="36">
        <f t="shared" si="9"/>
        <v>0.42000000000000004</v>
      </c>
      <c r="BR94" s="36">
        <f t="shared" si="10"/>
        <v>0.16</v>
      </c>
      <c r="BS94" s="101">
        <f t="shared" si="11"/>
        <v>0.61904761904761896</v>
      </c>
      <c r="BT94" s="238">
        <f t="shared" si="12"/>
        <v>71538.461538461532</v>
      </c>
      <c r="BU94" s="238">
        <f t="shared" si="13"/>
        <v>64877.348856738805</v>
      </c>
    </row>
    <row r="95" spans="2:73">
      <c r="B95" s="65" t="s">
        <v>733</v>
      </c>
      <c r="C95" s="65" t="s">
        <v>680</v>
      </c>
      <c r="D95" s="65" t="s">
        <v>325</v>
      </c>
      <c r="E95" s="65" t="s">
        <v>10</v>
      </c>
      <c r="F95" s="94"/>
      <c r="G95" s="94"/>
      <c r="H95" s="65"/>
      <c r="I95" s="65"/>
      <c r="J95" s="65" t="s">
        <v>66</v>
      </c>
      <c r="K95" s="95">
        <f>ROUNDUP((VLOOKUP($U95,Dropdowns!$G$3:$I$17, 3, FALSE))*$AC95,-2)</f>
        <v>14200</v>
      </c>
      <c r="L95" s="65" t="s">
        <v>49</v>
      </c>
      <c r="M95" s="65"/>
      <c r="N95" s="65"/>
      <c r="O95" s="65"/>
      <c r="P95" s="65"/>
      <c r="Q95" s="65" t="s">
        <v>119</v>
      </c>
      <c r="R95" s="65" t="s">
        <v>146</v>
      </c>
      <c r="S95" s="65" t="str">
        <f>IFERROR(VLOOKUP('BMP P Tracking Table'!$R95,Dropdowns!$Q$3:$R$23,2,FALSE),"")</f>
        <v>Main Lake</v>
      </c>
      <c r="T95" s="65" t="s">
        <v>66</v>
      </c>
      <c r="U95" s="65" t="s">
        <v>47</v>
      </c>
      <c r="V95" s="65">
        <v>0.2</v>
      </c>
      <c r="W95" s="65" t="s">
        <v>220</v>
      </c>
      <c r="X95" s="65">
        <v>0.1</v>
      </c>
      <c r="Y95" s="65">
        <v>0</v>
      </c>
      <c r="Z95" s="65">
        <v>0</v>
      </c>
      <c r="AA95" s="65">
        <v>0</v>
      </c>
      <c r="AB95" s="65"/>
      <c r="AC95" s="97">
        <f t="shared" si="15"/>
        <v>707.85</v>
      </c>
      <c r="AD95" s="65" t="s">
        <v>206</v>
      </c>
      <c r="AE95" s="104">
        <f>IFERROR('BMP P Tracking Table'!$V95*VLOOKUP('BMP P Tracking Table'!$R95,'Loading Rates'!$B$1:$L$24,4,FALSE)+IF('BMP P Tracking Table'!$W95="By HSG",'BMP P Tracking Table'!$X95*VLOOKUP('BMP P Tracking Table'!$R95,'Loading Rates'!$B$1:$L$24,6,FALSE)+'BMP P Tracking Table'!$Y95*VLOOKUP('BMP P Tracking Table'!$R95,'Loading Rates'!$B$1:$L$24,7,FALSE)+'BMP P Tracking Table'!$Z95*VLOOKUP('BMP P Tracking Table'!$R95,'Loading Rates'!$B$1:$L$24,8,FALSE)+'BMP P Tracking Table'!$AA95*VLOOKUP('BMP P Tracking Table'!$R95,'Loading Rates'!$B$1:$L$24,9,FALSE),'BMP P Tracking Table'!$AB95*VLOOKUP('BMP P Tracking Table'!$R95,'Loading Rates'!$B$1:$L$24,10,FALSE)),"")</f>
        <v>0.22540000000000002</v>
      </c>
      <c r="AF95" s="104">
        <f>IFERROR(MIN(2,IF('BMP P Tracking Table'!$W95="Total Pervious",(-(3630*'BMP P Tracking Table'!$V95+20.691*'BMP P Tracking Table'!$AB95)+SQRT((3630*'BMP P Tracking Table'!$V95+20.691*'BMP P Tracking Table'!$AB95)^2-(4*(996.798*'BMP P Tracking Table'!$AB95)*-'BMP P Tracking Table'!$AC95)))/(2*(996.798*'BMP P Tracking Table'!$AB95)),IF(SUM('BMP P Tracking Table'!$X95:$AA95)=0,'BMP P Tracking Table'!$AC95/(-3630*'BMP P Tracking Table'!$V95),(-(3630*'BMP P Tracking Table'!$V95+20.691*'BMP P Tracking Table'!$AA95-216.711*'BMP P Tracking Table'!$Z95-83.853*'BMP P Tracking Table'!$Y95-42.834*'BMP P Tracking Table'!$X95)+SQRT((3630*'BMP P Tracking Table'!$V95+20.691*'BMP P Tracking Table'!$AA95-216.711*'BMP P Tracking Table'!$Z95-83.853*'BMP P Tracking Table'!$Y95-42.834*'BMP P Tracking Table'!$X95)^2-(4*(149.919*'BMP P Tracking Table'!$X95+236.676*'BMP P Tracking Table'!$Y95+726*'BMP P Tracking Table'!$Z95+996.798*'BMP P Tracking Table'!$AA95)*-'BMP P Tracking Table'!$AC95)))/(2*(149.919*'BMP P Tracking Table'!$X95+236.676*'BMP P Tracking Table'!$Y95+726*'BMP P Tracking Table'!$Z95+996.798*'BMP P Tracking Table'!$AA95))))),"")</f>
        <v>0.96157960013023369</v>
      </c>
      <c r="AG95" s="104">
        <f>IFERROR((VLOOKUP(CONCATENATE('BMP P Tracking Table'!$U95," ",'BMP P Tracking Table'!$AD95),'Performance Curves'!$C$1:$L$46,_xlfn.SINGLE(MATCH('BMP P Tracking Table'!$AF95,'Performance Curves'!$D$1:$L$1,1))+2,FALSE)-VLOOKUP(CONCATENATE('BMP P Tracking Table'!$U95," ",'BMP P Tracking Table'!$AD95),'Performance Curves'!$C$1:$L$46,_xlfn.SINGLE(MATCH('BMP P Tracking Table'!$AF95,'Performance Curves'!$D$1:$L$1,1))+1,FALSE)),"")</f>
        <v>2.0000000000000018E-2</v>
      </c>
      <c r="AH95" s="104">
        <f>IFERROR(('BMP P Tracking Table'!$AF95-INDEX('Performance Curves'!$D$1:$L$1,1,MATCH('BMP P Tracking Table'!$AF95,'Performance Curves'!$D$1:$L$1,1)))/(INDEX('Performance Curves'!$D$1:$L$1,1,MATCH('BMP P Tracking Table'!$AF95,'Performance Curves'!$D$1:$L$1,1)+1)-INDEX('Performance Curves'!$D$1:$L$1,1,MATCH('BMP P Tracking Table'!$AF95,'Performance Curves'!$D$1:$L$1,1))),"")</f>
        <v>0.80789800065116846</v>
      </c>
      <c r="AI95" s="103">
        <f>IFERROR(IF('BMP P Tracking Table'!$AF95=2,VLOOKUP(CONCATENATE('BMP P Tracking Table'!$U95," ",'BMP P Tracking Table'!$AD95),'Performance Curves'!$C$1:$L$46,_xlfn.SINGLE(MATCH('BMP P Tracking Table'!$AF95,'Performance Curves'!$D$1:$L$1,1))+1,FALSE),'BMP P Tracking Table'!$AG95*'BMP P Tracking Table'!$AH95+VLOOKUP(CONCATENATE('BMP P Tracking Table'!$U95," ",'BMP P Tracking Table'!$AD95),'Performance Curves'!$C$1:$L$46,_xlfn.SINGLE(MATCH('BMP P Tracking Table'!$AF95,'Performance Curves'!$D$1:$L$1,1))+1,FALSE)),"")</f>
        <v>0.97615796001302335</v>
      </c>
      <c r="AJ95" s="104">
        <f>IFERROR('BMP P Tracking Table'!$AI95*'BMP P Tracking Table'!$AE95,"")</f>
        <v>0.22002600418693549</v>
      </c>
      <c r="AK95" s="65"/>
      <c r="AL95" s="98"/>
      <c r="AM95" s="98"/>
      <c r="AN95" s="64">
        <v>1</v>
      </c>
      <c r="AO95" s="102">
        <f t="shared" si="16"/>
        <v>0.22002600418693549</v>
      </c>
      <c r="AP95" s="98"/>
      <c r="AQ95" s="98"/>
      <c r="AR95" s="98"/>
      <c r="AS95" s="98"/>
      <c r="AT95" s="98"/>
      <c r="AU95" s="98"/>
      <c r="AV95" s="98"/>
      <c r="AW95" s="65"/>
      <c r="AX95" s="99"/>
      <c r="AY95" s="99"/>
      <c r="AZ95" s="104" t="str">
        <f>IF('BMP P Tracking Table'!$AL95="Yes",IF('BMP P Tracking Table'!$AM95="No",'BMP P Tracking Table'!$V95*VLOOKUP('BMP P Tracking Table'!$R95,'Loading Rates'!$B$1:$L$24,4,FALSE)+IF('BMP P Tracking Table'!$W95="By HSG",'BMP P Tracking Table'!$X95*VLOOKUP('BMP P Tracking Table'!$R95,'Loading Rates'!$B$1:$L$24,6,FALSE)+'BMP P Tracking Table'!$Y95*VLOOKUP('BMP P Tracking Table'!$R95,'Loading Rates'!$B$1:$L$24,7,FALSE)+'BMP P Tracking Table'!$Z95*VLOOKUP('BMP P Tracking Table'!$R95,'Loading Rates'!$B$1:$L$24,8,FALSE)+'BMP P Tracking Table'!$AA95*VLOOKUP('BMP P Tracking Table'!$R95,'Loading Rates'!$B$1:$L$24,9,FALSE),'BMP P Tracking Table'!$AB95*VLOOKUP('BMP P Tracking Table'!$R95,'Loading Rates'!$B$1:$L$24,10,FALSE)),'BMP P Tracking Table'!$AP95*VLOOKUP('BMP P Tracking Table'!$R95,'Loading Rates'!$B$1:$L$24,4,FALSE)+IF('BMP P Tracking Table'!$AQ95="By HSG",'BMP P Tracking Table'!$AR95*VLOOKUP('BMP P Tracking Table'!$R95,'Loading Rates'!$B$1:$L$24,6,FALSE)+'BMP P Tracking Table'!$AS95*VLOOKUP('BMP P Tracking Table'!$R95,'Loading Rates'!$B$1:$L$24,7,FALSE)+'BMP P Tracking Table'!$AT95*VLOOKUP('BMP P Tracking Table'!$R95,'Loading Rates'!$B$1:$L$24,8,FALSE)+'BMP P Tracking Table'!$AU95*VLOOKUP('BMP P Tracking Table'!$R95,'Loading Rates'!$B$1:$L$24,9,FALSE),'BMP P Tracking Table'!$AV95*VLOOKUP('BMP P Tracking Table'!$R95,'Loading Rates'!$B$1:$L$24,10,FALSE))),"")</f>
        <v/>
      </c>
      <c r="BA95" s="104">
        <f>IFERROR(IF('BMP P Tracking Table'!$AM95="Yes",MIN(2,IF('BMP P Tracking Table'!$AQ95="Total Pervious",(-(3630*'BMP P Tracking Table'!$AP95+20.691*'BMP P Tracking Table'!$AV95)+SQRT((3630*'BMP P Tracking Table'!$AP95+20.691*'BMP P Tracking Table'!$AV95)^2-(4*(996.798*'BMP P Tracking Table'!$AV95)*-'BMP P Tracking Table'!$AX95)))/(2*(996.798*'BMP P Tracking Table'!$AV95)),IF(SUM('BMP P Tracking Table'!$AR95:$AU95)=0,'BMP P Tracking Table'!$AV95/(-3630*'BMP P Tracking Table'!$AP95),(-(3630*'BMP P Tracking Table'!$AP95+20.691*'BMP P Tracking Table'!$AU95-216.711*'BMP P Tracking Table'!$AT95-83.853*'BMP P Tracking Table'!$AS95-42.834*'BMP P Tracking Table'!$AR95)+SQRT((3630*'BMP P Tracking Table'!$AP95+20.691*'BMP P Tracking Table'!$AU95-216.711*'BMP P Tracking Table'!$AT95-83.853*'BMP P Tracking Table'!$AS95-42.834*'BMP P Tracking Table'!$AR95)^2-(4*(149.919*'BMP P Tracking Table'!$AR95+236.676*'BMP P Tracking Table'!$AS95+726*'BMP P Tracking Table'!$AT95+996.798*'BMP P Tracking Table'!$AU95)*-'BMP P Tracking Table'!$AX95)))/(2*(149.919*'BMP P Tracking Table'!$AR95+236.676*'BMP P Tracking Table'!$AS95+726*'BMP P Tracking Table'!$AT95+996.798*'BMP P Tracking Table'!$AU95))))),MIN(2,IF('BMP P Tracking Table'!$AQ95="Total Pervious",(-(3630*'BMP P Tracking Table'!$V95+20.691*'BMP P Tracking Table'!$AB95)+SQRT((3630*'BMP P Tracking Table'!$V95+20.691*'BMP P Tracking Table'!$AB95)^2-(4*(996.798*'BMP P Tracking Table'!$AB95)*-'BMP P Tracking Table'!$AX95)))/(2*(996.798*'BMP P Tracking Table'!$AB95)),IF(SUM('BMP P Tracking Table'!$X95:$AA95)=0,'BMP P Tracking Table'!$AX95/(-3630*'BMP P Tracking Table'!$V95),(-(3630*'BMP P Tracking Table'!$V95+20.691*'BMP P Tracking Table'!$AA95-216.711*'BMP P Tracking Table'!$Z95-83.853*'BMP P Tracking Table'!$Y95-42.834*'BMP P Tracking Table'!$X95)+SQRT((3630*'BMP P Tracking Table'!$V95+20.691*'BMP P Tracking Table'!$AA95-216.711*'BMP P Tracking Table'!$Z95-83.853*'BMP P Tracking Table'!$Y95-42.834*'BMP P Tracking Table'!$X95)^2-(4*(149.919*'BMP P Tracking Table'!$X95+236.676*'BMP P Tracking Table'!$Y95+726*'BMP P Tracking Table'!$Z95+996.798*'BMP P Tracking Table'!$AA95)*-'BMP P Tracking Table'!$AX95)))/(2*(149.919*'BMP P Tracking Table'!$X95+236.676*'BMP P Tracking Table'!$Y95+726*'BMP P Tracking Table'!$Z95+996.798*'BMP P Tracking Table'!$AA95)))))),"")</f>
        <v>0</v>
      </c>
      <c r="BB95" s="102" t="str">
        <f>IFERROR((VLOOKUP(CONCATENATE('BMP P Tracking Table'!$AW95," ",'BMP P Tracking Table'!$AY95),'Performance Curves'!$C$1:$L$46,_xlfn.SINGLE(MATCH('BMP P Tracking Table'!$BA95,'Performance Curves'!$D$1:$L$1,1))+2,FALSE)-VLOOKUP(CONCATENATE('BMP P Tracking Table'!$AW95," ",'BMP P Tracking Table'!$AY95),'Performance Curves'!$C$1:$L$46,_xlfn.SINGLE(MATCH('BMP P Tracking Table'!$BA95,'Performance Curves'!$D$1:$L$1,1))+1,FALSE)),"")</f>
        <v/>
      </c>
      <c r="BC95" s="102">
        <f>IFERROR(('BMP P Tracking Table'!$BA95-INDEX('Performance Curves'!$D$1:$L$1,1,MATCH('BMP P Tracking Table'!$BA95,'Performance Curves'!$D$1:$L$1,1)))/(INDEX('Performance Curves'!$D$1:$L$1,1,MATCH('BMP P Tracking Table'!$BA95,'Performance Curves'!$D$1:$L$1,1)+1)-INDEX('Performance Curves'!$D$1:$L$1,1,MATCH('BMP P Tracking Table'!$BA95,'Performance Curves'!$D$1:$L$1,1))),"")</f>
        <v>0</v>
      </c>
      <c r="BD95" s="103" t="str" cm="1">
        <f t="array" ref="BD95">IFERROR(IF('BMP P Tracking Table'!$BA95=2,VLOOKUP(CONCATENATE('BMP P Tracking Table'!$AW95," ",'BMP P Tracking Table'!$AY95),'Performance Curves'!$C$1:$L$44,_xlfn.SINGLE(MATCH('BMP P Tracking Table'!$BA95,'Performance Curves'!$D$1:$L$1,1))+1,FALSE),'BMP P Tracking Table'!$BB95*'BMP P Tracking Table'!$BC95+VLOOKUP(CONCATENATE('BMP P Tracking Table'!$AW95," ",'BMP P Tracking Table'!$AY95),'Performance Curves'!$C$1:$L$44,_xlfn.SINGLE(MATCH('BMP P Tracking Table'!$BA95,'Performance Curves'!$D$1:$L$1,1))+1,FALSE)),"")</f>
        <v/>
      </c>
      <c r="BE95" s="104" t="str">
        <f>IFERROR('BMP P Tracking Table'!$BD95*'BMP P Tracking Table'!$AZ95,"")</f>
        <v/>
      </c>
      <c r="BF95" s="98"/>
      <c r="BG95" s="37">
        <f t="shared" si="6"/>
        <v>0</v>
      </c>
      <c r="BI95" s="36" t="str">
        <f t="shared" si="7"/>
        <v>EJ-WR-005</v>
      </c>
      <c r="BJ95" s="36" t="str">
        <f t="shared" si="8"/>
        <v>CB542 Camp drywell</v>
      </c>
      <c r="BK95" s="36" t="s">
        <v>840</v>
      </c>
      <c r="BP95" s="36" t="s">
        <v>874</v>
      </c>
      <c r="BQ95" s="36">
        <f t="shared" si="9"/>
        <v>0.30000000000000004</v>
      </c>
      <c r="BR95" s="36">
        <f t="shared" si="10"/>
        <v>0.1</v>
      </c>
      <c r="BS95" s="101">
        <f t="shared" si="11"/>
        <v>0.66666666666666663</v>
      </c>
      <c r="BT95" s="238">
        <f t="shared" si="12"/>
        <v>71000</v>
      </c>
      <c r="BU95" s="238">
        <f t="shared" si="13"/>
        <v>64537.826119568985</v>
      </c>
    </row>
    <row r="96" spans="2:73">
      <c r="B96" s="65" t="s">
        <v>736</v>
      </c>
      <c r="C96" s="65" t="s">
        <v>681</v>
      </c>
      <c r="D96" s="65" t="s">
        <v>325</v>
      </c>
      <c r="E96" s="65" t="s">
        <v>10</v>
      </c>
      <c r="F96" s="94"/>
      <c r="G96" s="94"/>
      <c r="H96" s="65"/>
      <c r="I96" s="65"/>
      <c r="J96" s="65" t="s">
        <v>66</v>
      </c>
      <c r="K96" s="95">
        <f>ROUNDUP((VLOOKUP($U96,Dropdowns!$G$3:$I$17, 3, FALSE))*$AC96,-2)</f>
        <v>14700</v>
      </c>
      <c r="L96" s="65" t="s">
        <v>49</v>
      </c>
      <c r="M96" s="65"/>
      <c r="N96" s="65"/>
      <c r="O96" s="65"/>
      <c r="P96" s="65"/>
      <c r="Q96" s="65" t="s">
        <v>119</v>
      </c>
      <c r="R96" s="65" t="s">
        <v>146</v>
      </c>
      <c r="S96" s="65" t="str">
        <f>IFERROR(VLOOKUP('BMP P Tracking Table'!$R96,Dropdowns!$Q$3:$R$23,2,FALSE),"")</f>
        <v>Main Lake</v>
      </c>
      <c r="T96" s="65" t="s">
        <v>66</v>
      </c>
      <c r="U96" s="65" t="s">
        <v>47</v>
      </c>
      <c r="V96" s="65">
        <v>0.19</v>
      </c>
      <c r="W96" s="65" t="s">
        <v>220</v>
      </c>
      <c r="X96" s="65">
        <v>0.42</v>
      </c>
      <c r="Y96" s="65">
        <v>0</v>
      </c>
      <c r="Z96" s="65">
        <v>0</v>
      </c>
      <c r="AA96" s="65">
        <v>0</v>
      </c>
      <c r="AB96" s="65"/>
      <c r="AC96" s="97">
        <f t="shared" si="15"/>
        <v>731.44499999999982</v>
      </c>
      <c r="AD96" s="65" t="s">
        <v>206</v>
      </c>
      <c r="AE96" s="104">
        <f>IFERROR('BMP P Tracking Table'!$V96*VLOOKUP('BMP P Tracking Table'!$R96,'Loading Rates'!$B$1:$L$24,4,FALSE)+IF('BMP P Tracking Table'!$W96="By HSG",'BMP P Tracking Table'!$X96*VLOOKUP('BMP P Tracking Table'!$R96,'Loading Rates'!$B$1:$L$24,6,FALSE)+'BMP P Tracking Table'!$Y96*VLOOKUP('BMP P Tracking Table'!$R96,'Loading Rates'!$B$1:$L$24,7,FALSE)+'BMP P Tracking Table'!$Z96*VLOOKUP('BMP P Tracking Table'!$R96,'Loading Rates'!$B$1:$L$24,8,FALSE)+'BMP P Tracking Table'!$AA96*VLOOKUP('BMP P Tracking Table'!$R96,'Loading Rates'!$B$1:$L$24,9,FALSE),'BMP P Tracking Table'!$AB96*VLOOKUP('BMP P Tracking Table'!$R96,'Loading Rates'!$B$1:$L$24,10,FALSE)),"")</f>
        <v>0.22062999999999999</v>
      </c>
      <c r="AF96" s="104">
        <f>IFERROR(MIN(2,IF('BMP P Tracking Table'!$W96="Total Pervious",(-(3630*'BMP P Tracking Table'!$V96+20.691*'BMP P Tracking Table'!$AB96)+SQRT((3630*'BMP P Tracking Table'!$V96+20.691*'BMP P Tracking Table'!$AB96)^2-(4*(996.798*'BMP P Tracking Table'!$AB96)*-'BMP P Tracking Table'!$AC96)))/(2*(996.798*'BMP P Tracking Table'!$AB96)),IF(SUM('BMP P Tracking Table'!$X96:$AA96)=0,'BMP P Tracking Table'!$AC96/(-3630*'BMP P Tracking Table'!$V96),(-(3630*'BMP P Tracking Table'!$V96+20.691*'BMP P Tracking Table'!$AA96-216.711*'BMP P Tracking Table'!$Z96-83.853*'BMP P Tracking Table'!$Y96-42.834*'BMP P Tracking Table'!$X96)+SQRT((3630*'BMP P Tracking Table'!$V96+20.691*'BMP P Tracking Table'!$AA96-216.711*'BMP P Tracking Table'!$Z96-83.853*'BMP P Tracking Table'!$Y96-42.834*'BMP P Tracking Table'!$X96)^2-(4*(149.919*'BMP P Tracking Table'!$X96+236.676*'BMP P Tracking Table'!$Y96+726*'BMP P Tracking Table'!$Z96+996.798*'BMP P Tracking Table'!$AA96)*-'BMP P Tracking Table'!$AC96)))/(2*(149.919*'BMP P Tracking Table'!$X96+236.676*'BMP P Tracking Table'!$Y96+726*'BMP P Tracking Table'!$Z96+996.798*'BMP P Tracking Table'!$AA96))))),"")</f>
        <v>0.99594838923013296</v>
      </c>
      <c r="AG96" s="104">
        <f>IFERROR((VLOOKUP(CONCATENATE('BMP P Tracking Table'!$U96," ",'BMP P Tracking Table'!$AD96),'Performance Curves'!$C$1:$L$46,_xlfn.SINGLE(MATCH('BMP P Tracking Table'!$AF96,'Performance Curves'!$D$1:$L$1,1))+2,FALSE)-VLOOKUP(CONCATENATE('BMP P Tracking Table'!$U96," ",'BMP P Tracking Table'!$AD96),'Performance Curves'!$C$1:$L$46,_xlfn.SINGLE(MATCH('BMP P Tracking Table'!$AF96,'Performance Curves'!$D$1:$L$1,1))+1,FALSE)),"")</f>
        <v>2.0000000000000018E-2</v>
      </c>
      <c r="AH96" s="104">
        <f>IFERROR(('BMP P Tracking Table'!$AF96-INDEX('Performance Curves'!$D$1:$L$1,1,MATCH('BMP P Tracking Table'!$AF96,'Performance Curves'!$D$1:$L$1,1)))/(INDEX('Performance Curves'!$D$1:$L$1,1,MATCH('BMP P Tracking Table'!$AF96,'Performance Curves'!$D$1:$L$1,1)+1)-INDEX('Performance Curves'!$D$1:$L$1,1,MATCH('BMP P Tracking Table'!$AF96,'Performance Curves'!$D$1:$L$1,1))),"")</f>
        <v>0.97974194615066479</v>
      </c>
      <c r="AI96" s="103">
        <f>IFERROR(IF('BMP P Tracking Table'!$AF96=2,VLOOKUP(CONCATENATE('BMP P Tracking Table'!$U96," ",'BMP P Tracking Table'!$AD96),'Performance Curves'!$C$1:$L$46,_xlfn.SINGLE(MATCH('BMP P Tracking Table'!$AF96,'Performance Curves'!$D$1:$L$1,1))+1,FALSE),'BMP P Tracking Table'!$AG96*'BMP P Tracking Table'!$AH96+VLOOKUP(CONCATENATE('BMP P Tracking Table'!$U96," ",'BMP P Tracking Table'!$AD96),'Performance Curves'!$C$1:$L$46,_xlfn.SINGLE(MATCH('BMP P Tracking Table'!$AF96,'Performance Curves'!$D$1:$L$1,1))+1,FALSE)),"")</f>
        <v>0.97959483892301324</v>
      </c>
      <c r="AJ96" s="104">
        <f>IFERROR('BMP P Tracking Table'!$AI96*'BMP P Tracking Table'!$AE96,"")</f>
        <v>0.21612800931158441</v>
      </c>
      <c r="AK96" s="65"/>
      <c r="AL96" s="98"/>
      <c r="AM96" s="98"/>
      <c r="AN96" s="64">
        <v>1</v>
      </c>
      <c r="AO96" s="102">
        <f t="shared" si="16"/>
        <v>0.21612800931158441</v>
      </c>
      <c r="AP96" s="98"/>
      <c r="AQ96" s="98"/>
      <c r="AR96" s="98"/>
      <c r="AS96" s="98"/>
      <c r="AT96" s="98"/>
      <c r="AU96" s="98"/>
      <c r="AV96" s="98"/>
      <c r="AW96" s="65"/>
      <c r="AX96" s="99"/>
      <c r="AY96" s="99"/>
      <c r="AZ96" s="104" t="str">
        <f>IF('BMP P Tracking Table'!$AL96="Yes",IF('BMP P Tracking Table'!$AM96="No",'BMP P Tracking Table'!$V96*VLOOKUP('BMP P Tracking Table'!$R96,'Loading Rates'!$B$1:$L$24,4,FALSE)+IF('BMP P Tracking Table'!$W96="By HSG",'BMP P Tracking Table'!$X96*VLOOKUP('BMP P Tracking Table'!$R96,'Loading Rates'!$B$1:$L$24,6,FALSE)+'BMP P Tracking Table'!$Y96*VLOOKUP('BMP P Tracking Table'!$R96,'Loading Rates'!$B$1:$L$24,7,FALSE)+'BMP P Tracking Table'!$Z96*VLOOKUP('BMP P Tracking Table'!$R96,'Loading Rates'!$B$1:$L$24,8,FALSE)+'BMP P Tracking Table'!$AA96*VLOOKUP('BMP P Tracking Table'!$R96,'Loading Rates'!$B$1:$L$24,9,FALSE),'BMP P Tracking Table'!$AB96*VLOOKUP('BMP P Tracking Table'!$R96,'Loading Rates'!$B$1:$L$24,10,FALSE)),'BMP P Tracking Table'!$AP96*VLOOKUP('BMP P Tracking Table'!$R96,'Loading Rates'!$B$1:$L$24,4,FALSE)+IF('BMP P Tracking Table'!$AQ96="By HSG",'BMP P Tracking Table'!$AR96*VLOOKUP('BMP P Tracking Table'!$R96,'Loading Rates'!$B$1:$L$24,6,FALSE)+'BMP P Tracking Table'!$AS96*VLOOKUP('BMP P Tracking Table'!$R96,'Loading Rates'!$B$1:$L$24,7,FALSE)+'BMP P Tracking Table'!$AT96*VLOOKUP('BMP P Tracking Table'!$R96,'Loading Rates'!$B$1:$L$24,8,FALSE)+'BMP P Tracking Table'!$AU96*VLOOKUP('BMP P Tracking Table'!$R96,'Loading Rates'!$B$1:$L$24,9,FALSE),'BMP P Tracking Table'!$AV96*VLOOKUP('BMP P Tracking Table'!$R96,'Loading Rates'!$B$1:$L$24,10,FALSE))),"")</f>
        <v/>
      </c>
      <c r="BA96" s="104">
        <f>IFERROR(IF('BMP P Tracking Table'!$AM96="Yes",MIN(2,IF('BMP P Tracking Table'!$AQ96="Total Pervious",(-(3630*'BMP P Tracking Table'!$AP96+20.691*'BMP P Tracking Table'!$AV96)+SQRT((3630*'BMP P Tracking Table'!$AP96+20.691*'BMP P Tracking Table'!$AV96)^2-(4*(996.798*'BMP P Tracking Table'!$AV96)*-'BMP P Tracking Table'!$AX96)))/(2*(996.798*'BMP P Tracking Table'!$AV96)),IF(SUM('BMP P Tracking Table'!$AR96:$AU96)=0,'BMP P Tracking Table'!$AV96/(-3630*'BMP P Tracking Table'!$AP96),(-(3630*'BMP P Tracking Table'!$AP96+20.691*'BMP P Tracking Table'!$AU96-216.711*'BMP P Tracking Table'!$AT96-83.853*'BMP P Tracking Table'!$AS96-42.834*'BMP P Tracking Table'!$AR96)+SQRT((3630*'BMP P Tracking Table'!$AP96+20.691*'BMP P Tracking Table'!$AU96-216.711*'BMP P Tracking Table'!$AT96-83.853*'BMP P Tracking Table'!$AS96-42.834*'BMP P Tracking Table'!$AR96)^2-(4*(149.919*'BMP P Tracking Table'!$AR96+236.676*'BMP P Tracking Table'!$AS96+726*'BMP P Tracking Table'!$AT96+996.798*'BMP P Tracking Table'!$AU96)*-'BMP P Tracking Table'!$AX96)))/(2*(149.919*'BMP P Tracking Table'!$AR96+236.676*'BMP P Tracking Table'!$AS96+726*'BMP P Tracking Table'!$AT96+996.798*'BMP P Tracking Table'!$AU96))))),MIN(2,IF('BMP P Tracking Table'!$AQ96="Total Pervious",(-(3630*'BMP P Tracking Table'!$V96+20.691*'BMP P Tracking Table'!$AB96)+SQRT((3630*'BMP P Tracking Table'!$V96+20.691*'BMP P Tracking Table'!$AB96)^2-(4*(996.798*'BMP P Tracking Table'!$AB96)*-'BMP P Tracking Table'!$AX96)))/(2*(996.798*'BMP P Tracking Table'!$AB96)),IF(SUM('BMP P Tracking Table'!$X96:$AA96)=0,'BMP P Tracking Table'!$AX96/(-3630*'BMP P Tracking Table'!$V96),(-(3630*'BMP P Tracking Table'!$V96+20.691*'BMP P Tracking Table'!$AA96-216.711*'BMP P Tracking Table'!$Z96-83.853*'BMP P Tracking Table'!$Y96-42.834*'BMP P Tracking Table'!$X96)+SQRT((3630*'BMP P Tracking Table'!$V96+20.691*'BMP P Tracking Table'!$AA96-216.711*'BMP P Tracking Table'!$Z96-83.853*'BMP P Tracking Table'!$Y96-42.834*'BMP P Tracking Table'!$X96)^2-(4*(149.919*'BMP P Tracking Table'!$X96+236.676*'BMP P Tracking Table'!$Y96+726*'BMP P Tracking Table'!$Z96+996.798*'BMP P Tracking Table'!$AA96)*-'BMP P Tracking Table'!$AX96)))/(2*(149.919*'BMP P Tracking Table'!$X96+236.676*'BMP P Tracking Table'!$Y96+726*'BMP P Tracking Table'!$Z96+996.798*'BMP P Tracking Table'!$AA96)))))),"")</f>
        <v>0</v>
      </c>
      <c r="BB96" s="102" t="str">
        <f>IFERROR((VLOOKUP(CONCATENATE('BMP P Tracking Table'!$AW96," ",'BMP P Tracking Table'!$AY96),'Performance Curves'!$C$1:$L$46,_xlfn.SINGLE(MATCH('BMP P Tracking Table'!$BA96,'Performance Curves'!$D$1:$L$1,1))+2,FALSE)-VLOOKUP(CONCATENATE('BMP P Tracking Table'!$AW96," ",'BMP P Tracking Table'!$AY96),'Performance Curves'!$C$1:$L$46,_xlfn.SINGLE(MATCH('BMP P Tracking Table'!$BA96,'Performance Curves'!$D$1:$L$1,1))+1,FALSE)),"")</f>
        <v/>
      </c>
      <c r="BC96" s="102">
        <f>IFERROR(('BMP P Tracking Table'!$BA96-INDEX('Performance Curves'!$D$1:$L$1,1,MATCH('BMP P Tracking Table'!$BA96,'Performance Curves'!$D$1:$L$1,1)))/(INDEX('Performance Curves'!$D$1:$L$1,1,MATCH('BMP P Tracking Table'!$BA96,'Performance Curves'!$D$1:$L$1,1)+1)-INDEX('Performance Curves'!$D$1:$L$1,1,MATCH('BMP P Tracking Table'!$BA96,'Performance Curves'!$D$1:$L$1,1))),"")</f>
        <v>0</v>
      </c>
      <c r="BD96" s="103" t="str" cm="1">
        <f t="array" ref="BD96">IFERROR(IF('BMP P Tracking Table'!$BA96=2,VLOOKUP(CONCATENATE('BMP P Tracking Table'!$AW96," ",'BMP P Tracking Table'!$AY96),'Performance Curves'!$C$1:$L$44,_xlfn.SINGLE(MATCH('BMP P Tracking Table'!$BA96,'Performance Curves'!$D$1:$L$1,1))+1,FALSE),'BMP P Tracking Table'!$BB96*'BMP P Tracking Table'!$BC96+VLOOKUP(CONCATENATE('BMP P Tracking Table'!$AW96," ",'BMP P Tracking Table'!$AY96),'Performance Curves'!$C$1:$L$44,_xlfn.SINGLE(MATCH('BMP P Tracking Table'!$BA96,'Performance Curves'!$D$1:$L$1,1))+1,FALSE)),"")</f>
        <v/>
      </c>
      <c r="BE96" s="104" t="str">
        <f>IFERROR('BMP P Tracking Table'!$BD96*'BMP P Tracking Table'!$AZ96,"")</f>
        <v/>
      </c>
      <c r="BF96" s="98"/>
      <c r="BG96" s="37">
        <f t="shared" ref="BG96:BG156" si="17">IFERROR(BE96+BF96,0)</f>
        <v>0</v>
      </c>
      <c r="BI96" s="36" t="str">
        <f t="shared" si="7"/>
        <v>EJ-WR-008</v>
      </c>
      <c r="BJ96" s="36" t="str">
        <f t="shared" si="8"/>
        <v>CB538 Camp and Jackson drywell</v>
      </c>
      <c r="BK96" s="36" t="s">
        <v>840</v>
      </c>
      <c r="BP96" s="36" t="s">
        <v>874</v>
      </c>
      <c r="BQ96" s="36">
        <f t="shared" si="9"/>
        <v>0.61</v>
      </c>
      <c r="BR96" s="36">
        <f t="shared" si="10"/>
        <v>0.42</v>
      </c>
      <c r="BS96" s="101">
        <f t="shared" si="11"/>
        <v>0.31147540983606559</v>
      </c>
      <c r="BT96" s="238">
        <f t="shared" si="12"/>
        <v>77368.421052631573</v>
      </c>
      <c r="BU96" s="238">
        <f t="shared" si="13"/>
        <v>68015.247291745094</v>
      </c>
    </row>
    <row r="97" spans="1:73">
      <c r="B97" s="65" t="s">
        <v>730</v>
      </c>
      <c r="C97" s="65" t="s">
        <v>683</v>
      </c>
      <c r="D97" s="65" t="s">
        <v>325</v>
      </c>
      <c r="E97" s="65" t="s">
        <v>10</v>
      </c>
      <c r="F97" s="94"/>
      <c r="G97" s="94"/>
      <c r="H97" s="65"/>
      <c r="I97" s="65"/>
      <c r="J97" s="65" t="s">
        <v>66</v>
      </c>
      <c r="K97" s="95">
        <f>ROUNDUP((VLOOKUP($U97,Dropdowns!$G$3:$I$17, 3, FALSE))*$AC97,-2)</f>
        <v>16800</v>
      </c>
      <c r="L97" s="65" t="s">
        <v>49</v>
      </c>
      <c r="M97" s="65"/>
      <c r="N97" s="65"/>
      <c r="O97" s="65"/>
      <c r="P97" s="65"/>
      <c r="Q97" s="65" t="s">
        <v>119</v>
      </c>
      <c r="R97" s="65" t="s">
        <v>146</v>
      </c>
      <c r="S97" s="65" t="str">
        <f>IFERROR(VLOOKUP('BMP P Tracking Table'!$R97,Dropdowns!$Q$3:$R$23,2,FALSE),"")</f>
        <v>Main Lake</v>
      </c>
      <c r="T97" s="65" t="s">
        <v>66</v>
      </c>
      <c r="U97" s="65" t="s">
        <v>47</v>
      </c>
      <c r="V97" s="65">
        <v>0.23</v>
      </c>
      <c r="W97" s="65" t="s">
        <v>220</v>
      </c>
      <c r="X97" s="65">
        <v>0.24</v>
      </c>
      <c r="Y97" s="65">
        <v>0</v>
      </c>
      <c r="Z97" s="65">
        <v>0</v>
      </c>
      <c r="AA97" s="65">
        <v>0</v>
      </c>
      <c r="AB97" s="65"/>
      <c r="AC97" s="97">
        <f>((1*(0.05+0.009*((V97/(V97+X97))*100))*(V97+X97))/12)*43560</f>
        <v>836.71499999999992</v>
      </c>
      <c r="AD97" s="65" t="s">
        <v>205</v>
      </c>
      <c r="AE97" s="104">
        <f>IFERROR('BMP P Tracking Table'!$V97*VLOOKUP('BMP P Tracking Table'!$R97,'Loading Rates'!$B$1:$L$24,4,FALSE)+IF('BMP P Tracking Table'!$W97="By HSG",'BMP P Tracking Table'!$X97*VLOOKUP('BMP P Tracking Table'!$R97,'Loading Rates'!$B$1:$L$24,6,FALSE)+'BMP P Tracking Table'!$Y97*VLOOKUP('BMP P Tracking Table'!$R97,'Loading Rates'!$B$1:$L$24,7,FALSE)+'BMP P Tracking Table'!$Z97*VLOOKUP('BMP P Tracking Table'!$R97,'Loading Rates'!$B$1:$L$24,8,FALSE)+'BMP P Tracking Table'!$AA97*VLOOKUP('BMP P Tracking Table'!$R97,'Loading Rates'!$B$1:$L$24,9,FALSE),'BMP P Tracking Table'!$AB97*VLOOKUP('BMP P Tracking Table'!$R97,'Loading Rates'!$B$1:$L$24,10,FALSE)),"")</f>
        <v>0.26171000000000005</v>
      </c>
      <c r="AF97" s="104">
        <f>IFERROR(MIN(2,IF('BMP P Tracking Table'!$W97="Total Pervious",(-(3630*'BMP P Tracking Table'!$V97+20.691*'BMP P Tracking Table'!$AB97)+SQRT((3630*'BMP P Tracking Table'!$V97+20.691*'BMP P Tracking Table'!$AB97)^2-(4*(996.798*'BMP P Tracking Table'!$AB97)*-'BMP P Tracking Table'!$AC97)))/(2*(996.798*'BMP P Tracking Table'!$AB97)),IF(SUM('BMP P Tracking Table'!$X97:$AA97)=0,'BMP P Tracking Table'!$AC97/(-3630*'BMP P Tracking Table'!$V97),(-(3630*'BMP P Tracking Table'!$V97+20.691*'BMP P Tracking Table'!$AA97-216.711*'BMP P Tracking Table'!$Z97-83.853*'BMP P Tracking Table'!$Y97-42.834*'BMP P Tracking Table'!$X97)+SQRT((3630*'BMP P Tracking Table'!$V97+20.691*'BMP P Tracking Table'!$AA97-216.711*'BMP P Tracking Table'!$Z97-83.853*'BMP P Tracking Table'!$Y97-42.834*'BMP P Tracking Table'!$X97)^2-(4*(149.919*'BMP P Tracking Table'!$X97+236.676*'BMP P Tracking Table'!$Y97+726*'BMP P Tracking Table'!$Z97+996.798*'BMP P Tracking Table'!$AA97)*-'BMP P Tracking Table'!$AC97)))/(2*(149.919*'BMP P Tracking Table'!$X97+236.676*'BMP P Tracking Table'!$Y97+726*'BMP P Tracking Table'!$Z97+996.798*'BMP P Tracking Table'!$AA97))))),"")</f>
        <v>0.97333091836967289</v>
      </c>
      <c r="AG97" s="104">
        <f>IFERROR((VLOOKUP(CONCATENATE('BMP P Tracking Table'!$U97," ",'BMP P Tracking Table'!$AD97),'Performance Curves'!$C$1:$L$46,_xlfn.SINGLE(MATCH('BMP P Tracking Table'!$AF97,'Performance Curves'!$D$1:$L$1,1))+2,FALSE)-VLOOKUP(CONCATENATE('BMP P Tracking Table'!$U97," ",'BMP P Tracking Table'!$AD97),'Performance Curves'!$C$1:$L$46,_xlfn.SINGLE(MATCH('BMP P Tracking Table'!$AF97,'Performance Curves'!$D$1:$L$1,1))+1,FALSE)),"")</f>
        <v>1.0000000000000009E-2</v>
      </c>
      <c r="AH97" s="104">
        <f>IFERROR(('BMP P Tracking Table'!$AF97-INDEX('Performance Curves'!$D$1:$L$1,1,MATCH('BMP P Tracking Table'!$AF97,'Performance Curves'!$D$1:$L$1,1)))/(INDEX('Performance Curves'!$D$1:$L$1,1,MATCH('BMP P Tracking Table'!$AF97,'Performance Curves'!$D$1:$L$1,1)+1)-INDEX('Performance Curves'!$D$1:$L$1,1,MATCH('BMP P Tracking Table'!$AF97,'Performance Curves'!$D$1:$L$1,1))),"")</f>
        <v>0.86665459184836446</v>
      </c>
      <c r="AI97" s="103">
        <f>IFERROR(IF('BMP P Tracking Table'!$AF97=2,VLOOKUP(CONCATENATE('BMP P Tracking Table'!$U97," ",'BMP P Tracking Table'!$AD97),'Performance Curves'!$C$1:$L$46,_xlfn.SINGLE(MATCH('BMP P Tracking Table'!$AF97,'Performance Curves'!$D$1:$L$1,1))+1,FALSE),'BMP P Tracking Table'!$AG97*'BMP P Tracking Table'!$AH97+VLOOKUP(CONCATENATE('BMP P Tracking Table'!$U97," ",'BMP P Tracking Table'!$AD97),'Performance Curves'!$C$1:$L$46,_xlfn.SINGLE(MATCH('BMP P Tracking Table'!$AF97,'Performance Curves'!$D$1:$L$1,1))+1,FALSE)),"")</f>
        <v>0.99866654591848369</v>
      </c>
      <c r="AJ97" s="104">
        <f>IFERROR('BMP P Tracking Table'!$AI97*'BMP P Tracking Table'!$AE97,"")</f>
        <v>0.26136102173232645</v>
      </c>
      <c r="AK97" s="65"/>
      <c r="AL97" s="98"/>
      <c r="AM97" s="98"/>
      <c r="AN97" s="64">
        <v>1</v>
      </c>
      <c r="AO97" s="102">
        <f t="shared" si="16"/>
        <v>0.26136102173232645</v>
      </c>
      <c r="AP97" s="98"/>
      <c r="AQ97" s="98"/>
      <c r="AR97" s="98"/>
      <c r="AS97" s="98"/>
      <c r="AT97" s="98"/>
      <c r="AU97" s="98"/>
      <c r="AV97" s="98"/>
      <c r="AW97" s="65"/>
      <c r="AX97" s="99"/>
      <c r="AY97" s="99"/>
      <c r="AZ97" s="104" t="str">
        <f>IF('BMP P Tracking Table'!$AL97="Yes",IF('BMP P Tracking Table'!$AM97="No",'BMP P Tracking Table'!$V97*VLOOKUP('BMP P Tracking Table'!$R97,'Loading Rates'!$B$1:$L$24,4,FALSE)+IF('BMP P Tracking Table'!$W97="By HSG",'BMP P Tracking Table'!$X97*VLOOKUP('BMP P Tracking Table'!$R97,'Loading Rates'!$B$1:$L$24,6,FALSE)+'BMP P Tracking Table'!$Y97*VLOOKUP('BMP P Tracking Table'!$R97,'Loading Rates'!$B$1:$L$24,7,FALSE)+'BMP P Tracking Table'!$Z97*VLOOKUP('BMP P Tracking Table'!$R97,'Loading Rates'!$B$1:$L$24,8,FALSE)+'BMP P Tracking Table'!$AA97*VLOOKUP('BMP P Tracking Table'!$R97,'Loading Rates'!$B$1:$L$24,9,FALSE),'BMP P Tracking Table'!$AB97*VLOOKUP('BMP P Tracking Table'!$R97,'Loading Rates'!$B$1:$L$24,10,FALSE)),'BMP P Tracking Table'!$AP97*VLOOKUP('BMP P Tracking Table'!$R97,'Loading Rates'!$B$1:$L$24,4,FALSE)+IF('BMP P Tracking Table'!$AQ97="By HSG",'BMP P Tracking Table'!$AR97*VLOOKUP('BMP P Tracking Table'!$R97,'Loading Rates'!$B$1:$L$24,6,FALSE)+'BMP P Tracking Table'!$AS97*VLOOKUP('BMP P Tracking Table'!$R97,'Loading Rates'!$B$1:$L$24,7,FALSE)+'BMP P Tracking Table'!$AT97*VLOOKUP('BMP P Tracking Table'!$R97,'Loading Rates'!$B$1:$L$24,8,FALSE)+'BMP P Tracking Table'!$AU97*VLOOKUP('BMP P Tracking Table'!$R97,'Loading Rates'!$B$1:$L$24,9,FALSE),'BMP P Tracking Table'!$AV97*VLOOKUP('BMP P Tracking Table'!$R97,'Loading Rates'!$B$1:$L$24,10,FALSE))),"")</f>
        <v/>
      </c>
      <c r="BA97" s="104">
        <f>IFERROR(IF('BMP P Tracking Table'!$AM97="Yes",MIN(2,IF('BMP P Tracking Table'!$AQ97="Total Pervious",(-(3630*'BMP P Tracking Table'!$AP97+20.691*'BMP P Tracking Table'!$AV97)+SQRT((3630*'BMP P Tracking Table'!$AP97+20.691*'BMP P Tracking Table'!$AV97)^2-(4*(996.798*'BMP P Tracking Table'!$AV97)*-'BMP P Tracking Table'!$AX97)))/(2*(996.798*'BMP P Tracking Table'!$AV97)),IF(SUM('BMP P Tracking Table'!$AR97:$AU97)=0,'BMP P Tracking Table'!$AV97/(-3630*'BMP P Tracking Table'!$AP97),(-(3630*'BMP P Tracking Table'!$AP97+20.691*'BMP P Tracking Table'!$AU97-216.711*'BMP P Tracking Table'!$AT97-83.853*'BMP P Tracking Table'!$AS97-42.834*'BMP P Tracking Table'!$AR97)+SQRT((3630*'BMP P Tracking Table'!$AP97+20.691*'BMP P Tracking Table'!$AU97-216.711*'BMP P Tracking Table'!$AT97-83.853*'BMP P Tracking Table'!$AS97-42.834*'BMP P Tracking Table'!$AR97)^2-(4*(149.919*'BMP P Tracking Table'!$AR97+236.676*'BMP P Tracking Table'!$AS97+726*'BMP P Tracking Table'!$AT97+996.798*'BMP P Tracking Table'!$AU97)*-'BMP P Tracking Table'!$AX97)))/(2*(149.919*'BMP P Tracking Table'!$AR97+236.676*'BMP P Tracking Table'!$AS97+726*'BMP P Tracking Table'!$AT97+996.798*'BMP P Tracking Table'!$AU97))))),MIN(2,IF('BMP P Tracking Table'!$AQ97="Total Pervious",(-(3630*'BMP P Tracking Table'!$V97+20.691*'BMP P Tracking Table'!$AB97)+SQRT((3630*'BMP P Tracking Table'!$V97+20.691*'BMP P Tracking Table'!$AB97)^2-(4*(996.798*'BMP P Tracking Table'!$AB97)*-'BMP P Tracking Table'!$AX97)))/(2*(996.798*'BMP P Tracking Table'!$AB97)),IF(SUM('BMP P Tracking Table'!$X97:$AA97)=0,'BMP P Tracking Table'!$AX97/(-3630*'BMP P Tracking Table'!$V97),(-(3630*'BMP P Tracking Table'!$V97+20.691*'BMP P Tracking Table'!$AA97-216.711*'BMP P Tracking Table'!$Z97-83.853*'BMP P Tracking Table'!$Y97-42.834*'BMP P Tracking Table'!$X97)+SQRT((3630*'BMP P Tracking Table'!$V97+20.691*'BMP P Tracking Table'!$AA97-216.711*'BMP P Tracking Table'!$Z97-83.853*'BMP P Tracking Table'!$Y97-42.834*'BMP P Tracking Table'!$X97)^2-(4*(149.919*'BMP P Tracking Table'!$X97+236.676*'BMP P Tracking Table'!$Y97+726*'BMP P Tracking Table'!$Z97+996.798*'BMP P Tracking Table'!$AA97)*-'BMP P Tracking Table'!$AX97)))/(2*(149.919*'BMP P Tracking Table'!$X97+236.676*'BMP P Tracking Table'!$Y97+726*'BMP P Tracking Table'!$Z97+996.798*'BMP P Tracking Table'!$AA97)))))),"")</f>
        <v>0</v>
      </c>
      <c r="BB97" s="102" t="str">
        <f>IFERROR((VLOOKUP(CONCATENATE('BMP P Tracking Table'!$AW97," ",'BMP P Tracking Table'!$AY97),'Performance Curves'!$C$1:$L$46,_xlfn.SINGLE(MATCH('BMP P Tracking Table'!$BA97,'Performance Curves'!$D$1:$L$1,1))+2,FALSE)-VLOOKUP(CONCATENATE('BMP P Tracking Table'!$AW97," ",'BMP P Tracking Table'!$AY97),'Performance Curves'!$C$1:$L$46,_xlfn.SINGLE(MATCH('BMP P Tracking Table'!$BA97,'Performance Curves'!$D$1:$L$1,1))+1,FALSE)),"")</f>
        <v/>
      </c>
      <c r="BC97" s="102">
        <f>IFERROR(('BMP P Tracking Table'!$BA97-INDEX('Performance Curves'!$D$1:$L$1,1,MATCH('BMP P Tracking Table'!$BA97,'Performance Curves'!$D$1:$L$1,1)))/(INDEX('Performance Curves'!$D$1:$L$1,1,MATCH('BMP P Tracking Table'!$BA97,'Performance Curves'!$D$1:$L$1,1)+1)-INDEX('Performance Curves'!$D$1:$L$1,1,MATCH('BMP P Tracking Table'!$BA97,'Performance Curves'!$D$1:$L$1,1))),"")</f>
        <v>0</v>
      </c>
      <c r="BD97" s="103" t="str" cm="1">
        <f t="array" ref="BD97">IFERROR(IF('BMP P Tracking Table'!$BA97=2,VLOOKUP(CONCATENATE('BMP P Tracking Table'!$AW97," ",'BMP P Tracking Table'!$AY97),'Performance Curves'!$C$1:$L$44,_xlfn.SINGLE(MATCH('BMP P Tracking Table'!$BA97,'Performance Curves'!$D$1:$L$1,1))+1,FALSE),'BMP P Tracking Table'!$BB97*'BMP P Tracking Table'!$BC97+VLOOKUP(CONCATENATE('BMP P Tracking Table'!$AW97," ",'BMP P Tracking Table'!$AY97),'Performance Curves'!$C$1:$L$44,_xlfn.SINGLE(MATCH('BMP P Tracking Table'!$BA97,'Performance Curves'!$D$1:$L$1,1))+1,FALSE)),"")</f>
        <v/>
      </c>
      <c r="BE97" s="104" t="str">
        <f>IFERROR('BMP P Tracking Table'!$BD97*'BMP P Tracking Table'!$AZ97,"")</f>
        <v/>
      </c>
      <c r="BF97" s="98"/>
      <c r="BG97" s="37">
        <f t="shared" si="17"/>
        <v>0</v>
      </c>
      <c r="BI97" s="36" t="str">
        <f t="shared" si="7"/>
        <v>EJ-WR-002</v>
      </c>
      <c r="BJ97" s="36" t="str">
        <f t="shared" si="8"/>
        <v>CB754 and CB755 Oak St drywells</v>
      </c>
      <c r="BK97" s="36" t="s">
        <v>839</v>
      </c>
      <c r="BL97" s="36" t="s">
        <v>822</v>
      </c>
      <c r="BM97" s="36" t="s">
        <v>843</v>
      </c>
      <c r="BO97" s="36" t="s">
        <v>819</v>
      </c>
      <c r="BP97" s="36" t="s">
        <v>874</v>
      </c>
      <c r="BQ97" s="36">
        <f t="shared" si="9"/>
        <v>0.47</v>
      </c>
      <c r="BR97" s="36">
        <f t="shared" si="10"/>
        <v>0.24</v>
      </c>
      <c r="BS97" s="101">
        <f t="shared" si="11"/>
        <v>0.48936170212765961</v>
      </c>
      <c r="BT97" s="238">
        <f t="shared" si="12"/>
        <v>73043.478260869568</v>
      </c>
      <c r="BU97" s="238">
        <f t="shared" si="13"/>
        <v>64278.903903298029</v>
      </c>
    </row>
    <row r="98" spans="1:73">
      <c r="B98" s="65" t="s">
        <v>731</v>
      </c>
      <c r="C98" s="65" t="s">
        <v>682</v>
      </c>
      <c r="D98" s="65" t="s">
        <v>325</v>
      </c>
      <c r="E98" s="65" t="s">
        <v>10</v>
      </c>
      <c r="F98" s="94"/>
      <c r="G98" s="94"/>
      <c r="H98" s="65"/>
      <c r="I98" s="65"/>
      <c r="J98" s="65" t="s">
        <v>66</v>
      </c>
      <c r="K98" s="95">
        <f>ROUNDUP((VLOOKUP($U98,Dropdowns!$G$3:$I$17, 3, FALSE))*$AC98,-2)</f>
        <v>16800</v>
      </c>
      <c r="L98" s="65" t="s">
        <v>49</v>
      </c>
      <c r="M98" s="65"/>
      <c r="N98" s="65"/>
      <c r="O98" s="65"/>
      <c r="P98" s="65"/>
      <c r="Q98" s="65" t="s">
        <v>119</v>
      </c>
      <c r="R98" s="65" t="s">
        <v>146</v>
      </c>
      <c r="S98" s="65" t="str">
        <f>IFERROR(VLOOKUP('BMP P Tracking Table'!$R98,Dropdowns!$Q$3:$R$23,2,FALSE),"")</f>
        <v>Main Lake</v>
      </c>
      <c r="T98" s="65" t="s">
        <v>66</v>
      </c>
      <c r="U98" s="65" t="s">
        <v>47</v>
      </c>
      <c r="V98" s="65">
        <v>0.23</v>
      </c>
      <c r="W98" s="65" t="s">
        <v>220</v>
      </c>
      <c r="X98" s="65">
        <v>0.24</v>
      </c>
      <c r="Y98" s="65">
        <v>0</v>
      </c>
      <c r="Z98" s="65">
        <v>0</v>
      </c>
      <c r="AA98" s="65">
        <v>0</v>
      </c>
      <c r="AB98" s="65"/>
      <c r="AC98" s="97">
        <f>((1*(0.05+0.009*((V98/(V98+X98))*100))*(V98+X98))/12)*43560</f>
        <v>836.71499999999992</v>
      </c>
      <c r="AD98" s="65" t="s">
        <v>205</v>
      </c>
      <c r="AE98" s="104">
        <f>IFERROR('BMP P Tracking Table'!$V98*VLOOKUP('BMP P Tracking Table'!$R98,'Loading Rates'!$B$1:$L$24,4,FALSE)+IF('BMP P Tracking Table'!$W98="By HSG",'BMP P Tracking Table'!$X98*VLOOKUP('BMP P Tracking Table'!$R98,'Loading Rates'!$B$1:$L$24,6,FALSE)+'BMP P Tracking Table'!$Y98*VLOOKUP('BMP P Tracking Table'!$R98,'Loading Rates'!$B$1:$L$24,7,FALSE)+'BMP P Tracking Table'!$Z98*VLOOKUP('BMP P Tracking Table'!$R98,'Loading Rates'!$B$1:$L$24,8,FALSE)+'BMP P Tracking Table'!$AA98*VLOOKUP('BMP P Tracking Table'!$R98,'Loading Rates'!$B$1:$L$24,9,FALSE),'BMP P Tracking Table'!$AB98*VLOOKUP('BMP P Tracking Table'!$R98,'Loading Rates'!$B$1:$L$24,10,FALSE)),"")</f>
        <v>0.26171000000000005</v>
      </c>
      <c r="AF98" s="104">
        <f>IFERROR(MIN(2,IF('BMP P Tracking Table'!$W98="Total Pervious",(-(3630*'BMP P Tracking Table'!$V98+20.691*'BMP P Tracking Table'!$AB98)+SQRT((3630*'BMP P Tracking Table'!$V98+20.691*'BMP P Tracking Table'!$AB98)^2-(4*(996.798*'BMP P Tracking Table'!$AB98)*-'BMP P Tracking Table'!$AC98)))/(2*(996.798*'BMP P Tracking Table'!$AB98)),IF(SUM('BMP P Tracking Table'!$X98:$AA98)=0,'BMP P Tracking Table'!$AC98/(-3630*'BMP P Tracking Table'!$V98),(-(3630*'BMP P Tracking Table'!$V98+20.691*'BMP P Tracking Table'!$AA98-216.711*'BMP P Tracking Table'!$Z98-83.853*'BMP P Tracking Table'!$Y98-42.834*'BMP P Tracking Table'!$X98)+SQRT((3630*'BMP P Tracking Table'!$V98+20.691*'BMP P Tracking Table'!$AA98-216.711*'BMP P Tracking Table'!$Z98-83.853*'BMP P Tracking Table'!$Y98-42.834*'BMP P Tracking Table'!$X98)^2-(4*(149.919*'BMP P Tracking Table'!$X98+236.676*'BMP P Tracking Table'!$Y98+726*'BMP P Tracking Table'!$Z98+996.798*'BMP P Tracking Table'!$AA98)*-'BMP P Tracking Table'!$AC98)))/(2*(149.919*'BMP P Tracking Table'!$X98+236.676*'BMP P Tracking Table'!$Y98+726*'BMP P Tracking Table'!$Z98+996.798*'BMP P Tracking Table'!$AA98))))),"")</f>
        <v>0.97333091836967289</v>
      </c>
      <c r="AG98" s="104">
        <f>IFERROR((VLOOKUP(CONCATENATE('BMP P Tracking Table'!$U98," ",'BMP P Tracking Table'!$AD98),'Performance Curves'!$C$1:$L$46,_xlfn.SINGLE(MATCH('BMP P Tracking Table'!$AF98,'Performance Curves'!$D$1:$L$1,1))+2,FALSE)-VLOOKUP(CONCATENATE('BMP P Tracking Table'!$U98," ",'BMP P Tracking Table'!$AD98),'Performance Curves'!$C$1:$L$46,_xlfn.SINGLE(MATCH('BMP P Tracking Table'!$AF98,'Performance Curves'!$D$1:$L$1,1))+1,FALSE)),"")</f>
        <v>1.0000000000000009E-2</v>
      </c>
      <c r="AH98" s="104">
        <f>IFERROR(('BMP P Tracking Table'!$AF98-INDEX('Performance Curves'!$D$1:$L$1,1,MATCH('BMP P Tracking Table'!$AF98,'Performance Curves'!$D$1:$L$1,1)))/(INDEX('Performance Curves'!$D$1:$L$1,1,MATCH('BMP P Tracking Table'!$AF98,'Performance Curves'!$D$1:$L$1,1)+1)-INDEX('Performance Curves'!$D$1:$L$1,1,MATCH('BMP P Tracking Table'!$AF98,'Performance Curves'!$D$1:$L$1,1))),"")</f>
        <v>0.86665459184836446</v>
      </c>
      <c r="AI98" s="103">
        <f>IFERROR(IF('BMP P Tracking Table'!$AF98=2,VLOOKUP(CONCATENATE('BMP P Tracking Table'!$U98," ",'BMP P Tracking Table'!$AD98),'Performance Curves'!$C$1:$L$46,_xlfn.SINGLE(MATCH('BMP P Tracking Table'!$AF98,'Performance Curves'!$D$1:$L$1,1))+1,FALSE),'BMP P Tracking Table'!$AG98*'BMP P Tracking Table'!$AH98+VLOOKUP(CONCATENATE('BMP P Tracking Table'!$U98," ",'BMP P Tracking Table'!$AD98),'Performance Curves'!$C$1:$L$46,_xlfn.SINGLE(MATCH('BMP P Tracking Table'!$AF98,'Performance Curves'!$D$1:$L$1,1))+1,FALSE)),"")</f>
        <v>0.99866654591848369</v>
      </c>
      <c r="AJ98" s="104">
        <f>IFERROR('BMP P Tracking Table'!$AI98*'BMP P Tracking Table'!$AE98,"")</f>
        <v>0.26136102173232645</v>
      </c>
      <c r="AK98" s="65"/>
      <c r="AL98" s="98"/>
      <c r="AM98" s="98"/>
      <c r="AN98" s="64">
        <v>1</v>
      </c>
      <c r="AO98" s="102">
        <f t="shared" si="16"/>
        <v>0.26136102173232645</v>
      </c>
      <c r="AP98" s="98"/>
      <c r="AQ98" s="98"/>
      <c r="AR98" s="98"/>
      <c r="AS98" s="98"/>
      <c r="AT98" s="98"/>
      <c r="AU98" s="98"/>
      <c r="AV98" s="98"/>
      <c r="AW98" s="65"/>
      <c r="AX98" s="99"/>
      <c r="AY98" s="99"/>
      <c r="AZ98" s="104" t="str">
        <f>IF('BMP P Tracking Table'!$AL98="Yes",IF('BMP P Tracking Table'!$AM98="No",'BMP P Tracking Table'!$V98*VLOOKUP('BMP P Tracking Table'!$R98,'Loading Rates'!$B$1:$L$24,4,FALSE)+IF('BMP P Tracking Table'!$W98="By HSG",'BMP P Tracking Table'!$X98*VLOOKUP('BMP P Tracking Table'!$R98,'Loading Rates'!$B$1:$L$24,6,FALSE)+'BMP P Tracking Table'!$Y98*VLOOKUP('BMP P Tracking Table'!$R98,'Loading Rates'!$B$1:$L$24,7,FALSE)+'BMP P Tracking Table'!$Z98*VLOOKUP('BMP P Tracking Table'!$R98,'Loading Rates'!$B$1:$L$24,8,FALSE)+'BMP P Tracking Table'!$AA98*VLOOKUP('BMP P Tracking Table'!$R98,'Loading Rates'!$B$1:$L$24,9,FALSE),'BMP P Tracking Table'!$AB98*VLOOKUP('BMP P Tracking Table'!$R98,'Loading Rates'!$B$1:$L$24,10,FALSE)),'BMP P Tracking Table'!$AP98*VLOOKUP('BMP P Tracking Table'!$R98,'Loading Rates'!$B$1:$L$24,4,FALSE)+IF('BMP P Tracking Table'!$AQ98="By HSG",'BMP P Tracking Table'!$AR98*VLOOKUP('BMP P Tracking Table'!$R98,'Loading Rates'!$B$1:$L$24,6,FALSE)+'BMP P Tracking Table'!$AS98*VLOOKUP('BMP P Tracking Table'!$R98,'Loading Rates'!$B$1:$L$24,7,FALSE)+'BMP P Tracking Table'!$AT98*VLOOKUP('BMP P Tracking Table'!$R98,'Loading Rates'!$B$1:$L$24,8,FALSE)+'BMP P Tracking Table'!$AU98*VLOOKUP('BMP P Tracking Table'!$R98,'Loading Rates'!$B$1:$L$24,9,FALSE),'BMP P Tracking Table'!$AV98*VLOOKUP('BMP P Tracking Table'!$R98,'Loading Rates'!$B$1:$L$24,10,FALSE))),"")</f>
        <v/>
      </c>
      <c r="BA98" s="104">
        <f>IFERROR(IF('BMP P Tracking Table'!$AM98="Yes",MIN(2,IF('BMP P Tracking Table'!$AQ98="Total Pervious",(-(3630*'BMP P Tracking Table'!$AP98+20.691*'BMP P Tracking Table'!$AV98)+SQRT((3630*'BMP P Tracking Table'!$AP98+20.691*'BMP P Tracking Table'!$AV98)^2-(4*(996.798*'BMP P Tracking Table'!$AV98)*-'BMP P Tracking Table'!$AX98)))/(2*(996.798*'BMP P Tracking Table'!$AV98)),IF(SUM('BMP P Tracking Table'!$AR98:$AU98)=0,'BMP P Tracking Table'!$AV98/(-3630*'BMP P Tracking Table'!$AP98),(-(3630*'BMP P Tracking Table'!$AP98+20.691*'BMP P Tracking Table'!$AU98-216.711*'BMP P Tracking Table'!$AT98-83.853*'BMP P Tracking Table'!$AS98-42.834*'BMP P Tracking Table'!$AR98)+SQRT((3630*'BMP P Tracking Table'!$AP98+20.691*'BMP P Tracking Table'!$AU98-216.711*'BMP P Tracking Table'!$AT98-83.853*'BMP P Tracking Table'!$AS98-42.834*'BMP P Tracking Table'!$AR98)^2-(4*(149.919*'BMP P Tracking Table'!$AR98+236.676*'BMP P Tracking Table'!$AS98+726*'BMP P Tracking Table'!$AT98+996.798*'BMP P Tracking Table'!$AU98)*-'BMP P Tracking Table'!$AX98)))/(2*(149.919*'BMP P Tracking Table'!$AR98+236.676*'BMP P Tracking Table'!$AS98+726*'BMP P Tracking Table'!$AT98+996.798*'BMP P Tracking Table'!$AU98))))),MIN(2,IF('BMP P Tracking Table'!$AQ98="Total Pervious",(-(3630*'BMP P Tracking Table'!$V98+20.691*'BMP P Tracking Table'!$AB98)+SQRT((3630*'BMP P Tracking Table'!$V98+20.691*'BMP P Tracking Table'!$AB98)^2-(4*(996.798*'BMP P Tracking Table'!$AB98)*-'BMP P Tracking Table'!$AX98)))/(2*(996.798*'BMP P Tracking Table'!$AB98)),IF(SUM('BMP P Tracking Table'!$X98:$AA98)=0,'BMP P Tracking Table'!$AX98/(-3630*'BMP P Tracking Table'!$V98),(-(3630*'BMP P Tracking Table'!$V98+20.691*'BMP P Tracking Table'!$AA98-216.711*'BMP P Tracking Table'!$Z98-83.853*'BMP P Tracking Table'!$Y98-42.834*'BMP P Tracking Table'!$X98)+SQRT((3630*'BMP P Tracking Table'!$V98+20.691*'BMP P Tracking Table'!$AA98-216.711*'BMP P Tracking Table'!$Z98-83.853*'BMP P Tracking Table'!$Y98-42.834*'BMP P Tracking Table'!$X98)^2-(4*(149.919*'BMP P Tracking Table'!$X98+236.676*'BMP P Tracking Table'!$Y98+726*'BMP P Tracking Table'!$Z98+996.798*'BMP P Tracking Table'!$AA98)*-'BMP P Tracking Table'!$AX98)))/(2*(149.919*'BMP P Tracking Table'!$X98+236.676*'BMP P Tracking Table'!$Y98+726*'BMP P Tracking Table'!$Z98+996.798*'BMP P Tracking Table'!$AA98)))))),"")</f>
        <v>0</v>
      </c>
      <c r="BB98" s="102" t="str">
        <f>IFERROR((VLOOKUP(CONCATENATE('BMP P Tracking Table'!$AW98," ",'BMP P Tracking Table'!$AY98),'Performance Curves'!$C$1:$L$46,_xlfn.SINGLE(MATCH('BMP P Tracking Table'!$BA98,'Performance Curves'!$D$1:$L$1,1))+2,FALSE)-VLOOKUP(CONCATENATE('BMP P Tracking Table'!$AW98," ",'BMP P Tracking Table'!$AY98),'Performance Curves'!$C$1:$L$46,_xlfn.SINGLE(MATCH('BMP P Tracking Table'!$BA98,'Performance Curves'!$D$1:$L$1,1))+1,FALSE)),"")</f>
        <v/>
      </c>
      <c r="BC98" s="102">
        <f>IFERROR(('BMP P Tracking Table'!$BA98-INDEX('Performance Curves'!$D$1:$L$1,1,MATCH('BMP P Tracking Table'!$BA98,'Performance Curves'!$D$1:$L$1,1)))/(INDEX('Performance Curves'!$D$1:$L$1,1,MATCH('BMP P Tracking Table'!$BA98,'Performance Curves'!$D$1:$L$1,1)+1)-INDEX('Performance Curves'!$D$1:$L$1,1,MATCH('BMP P Tracking Table'!$BA98,'Performance Curves'!$D$1:$L$1,1))),"")</f>
        <v>0</v>
      </c>
      <c r="BD98" s="103" t="str" cm="1">
        <f t="array" ref="BD98">IFERROR(IF('BMP P Tracking Table'!$BA98=2,VLOOKUP(CONCATENATE('BMP P Tracking Table'!$AW98," ",'BMP P Tracking Table'!$AY98),'Performance Curves'!$C$1:$L$44,_xlfn.SINGLE(MATCH('BMP P Tracking Table'!$BA98,'Performance Curves'!$D$1:$L$1,1))+1,FALSE),'BMP P Tracking Table'!$BB98*'BMP P Tracking Table'!$BC98+VLOOKUP(CONCATENATE('BMP P Tracking Table'!$AW98," ",'BMP P Tracking Table'!$AY98),'Performance Curves'!$C$1:$L$44,_xlfn.SINGLE(MATCH('BMP P Tracking Table'!$BA98,'Performance Curves'!$D$1:$L$1,1))+1,FALSE)),"")</f>
        <v/>
      </c>
      <c r="BE98" s="104" t="str">
        <f>IFERROR('BMP P Tracking Table'!$BD98*'BMP P Tracking Table'!$AZ98,"")</f>
        <v/>
      </c>
      <c r="BF98" s="98"/>
      <c r="BG98" s="37">
        <f t="shared" si="17"/>
        <v>0</v>
      </c>
      <c r="BI98" s="36" t="str">
        <f t="shared" si="7"/>
        <v>EJ-WR-003</v>
      </c>
      <c r="BJ98" s="36" t="str">
        <f t="shared" si="8"/>
        <v>CB756 Oak St drywell</v>
      </c>
      <c r="BK98" s="36" t="s">
        <v>839</v>
      </c>
      <c r="BP98" s="36" t="s">
        <v>874</v>
      </c>
      <c r="BQ98" s="36">
        <f t="shared" si="9"/>
        <v>0.47</v>
      </c>
      <c r="BR98" s="36">
        <f t="shared" si="10"/>
        <v>0.24</v>
      </c>
      <c r="BS98" s="101">
        <f t="shared" si="11"/>
        <v>0.48936170212765961</v>
      </c>
      <c r="BT98" s="238">
        <f t="shared" si="12"/>
        <v>73043.478260869568</v>
      </c>
      <c r="BU98" s="238">
        <f t="shared" si="13"/>
        <v>64278.903903298029</v>
      </c>
    </row>
    <row r="99" spans="1:73">
      <c r="A99" s="36" t="s">
        <v>375</v>
      </c>
      <c r="B99" s="65" t="s">
        <v>713</v>
      </c>
      <c r="C99" s="65" t="s">
        <v>918</v>
      </c>
      <c r="D99" s="65" t="s">
        <v>327</v>
      </c>
      <c r="E99" s="65" t="s">
        <v>9</v>
      </c>
      <c r="F99" s="94"/>
      <c r="G99" s="94"/>
      <c r="H99" s="65"/>
      <c r="I99" s="65"/>
      <c r="J99" s="65" t="s">
        <v>66</v>
      </c>
      <c r="K99" s="95">
        <v>950000</v>
      </c>
      <c r="L99" s="65" t="s">
        <v>178</v>
      </c>
      <c r="M99" s="65"/>
      <c r="N99" s="65"/>
      <c r="O99" s="65"/>
      <c r="P99" s="65"/>
      <c r="Q99" s="65" t="s">
        <v>119</v>
      </c>
      <c r="R99" s="65" t="s">
        <v>146</v>
      </c>
      <c r="S99" s="65" t="str">
        <f>IFERROR(VLOOKUP('BMP P Tracking Table'!$R99,Dropdowns!$Q$3:$R$23,2,FALSE),"")</f>
        <v>Main Lake</v>
      </c>
      <c r="T99" s="65" t="s">
        <v>66</v>
      </c>
      <c r="U99" s="65" t="s">
        <v>46</v>
      </c>
      <c r="V99" s="65">
        <v>8.7279999999999998</v>
      </c>
      <c r="W99" s="65" t="s">
        <v>219</v>
      </c>
      <c r="X99" s="65"/>
      <c r="Y99" s="65"/>
      <c r="Z99" s="65"/>
      <c r="AA99" s="65"/>
      <c r="AB99" s="65">
        <f>25.595-V99</f>
        <v>16.866999999999997</v>
      </c>
      <c r="AC99" s="97">
        <v>33149</v>
      </c>
      <c r="AD99" s="65"/>
      <c r="AE99" s="104">
        <f>IFERROR('BMP P Tracking Table'!$V99*VLOOKUP('BMP P Tracking Table'!$R99,'Loading Rates'!$B$1:$L$24,4,FALSE)+IF('BMP P Tracking Table'!$W99="By HSG",'BMP P Tracking Table'!$X99*VLOOKUP('BMP P Tracking Table'!$R99,'Loading Rates'!$B$1:$L$24,6,FALSE)+'BMP P Tracking Table'!$Y99*VLOOKUP('BMP P Tracking Table'!$R99,'Loading Rates'!$B$1:$L$24,7,FALSE)+'BMP P Tracking Table'!$Z99*VLOOKUP('BMP P Tracking Table'!$R99,'Loading Rates'!$B$1:$L$24,8,FALSE)+'BMP P Tracking Table'!$AA99*VLOOKUP('BMP P Tracking Table'!$R99,'Loading Rates'!$B$1:$L$24,9,FALSE),'BMP P Tracking Table'!$AB99*VLOOKUP('BMP P Tracking Table'!$R99,'Loading Rates'!$B$1:$L$24,10,FALSE)),"")</f>
        <v>13.645453</v>
      </c>
      <c r="AF99" s="104">
        <f>IFERROR(MIN(2,IF('BMP P Tracking Table'!$W99="Total Pervious",(-(3630*'BMP P Tracking Table'!$V99+20.691*'BMP P Tracking Table'!$AB99)+SQRT((3630*'BMP P Tracking Table'!$V99+20.691*'BMP P Tracking Table'!$AB99)^2-(4*(996.798*'BMP P Tracking Table'!$AB99)*-'BMP P Tracking Table'!$AC99)))/(2*(996.798*'BMP P Tracking Table'!$AB99)),IF(SUM('BMP P Tracking Table'!$X99:$AA99)=0,'BMP P Tracking Table'!$AC99/(-3630*'BMP P Tracking Table'!$V99),(-(3630*'BMP P Tracking Table'!$V99+20.691*'BMP P Tracking Table'!$AA99-216.711*'BMP P Tracking Table'!$Z99-83.853*'BMP P Tracking Table'!$Y99-42.834*'BMP P Tracking Table'!$X99)+SQRT((3630*'BMP P Tracking Table'!$V99+20.691*'BMP P Tracking Table'!$AA99-216.711*'BMP P Tracking Table'!$Z99-83.853*'BMP P Tracking Table'!$Y99-42.834*'BMP P Tracking Table'!$X99)^2-(4*(149.919*'BMP P Tracking Table'!$X99+236.676*'BMP P Tracking Table'!$Y99+726*'BMP P Tracking Table'!$Z99+996.798*'BMP P Tracking Table'!$AA99)*-'BMP P Tracking Table'!$AC99)))/(2*(149.919*'BMP P Tracking Table'!$X99+236.676*'BMP P Tracking Table'!$Y99+726*'BMP P Tracking Table'!$Z99+996.798*'BMP P Tracking Table'!$AA99))))),"")</f>
        <v>0.74419047735082577</v>
      </c>
      <c r="AG99" s="104">
        <f>IFERROR((VLOOKUP(CONCATENATE('BMP P Tracking Table'!$U99," ",'BMP P Tracking Table'!$AD99),'Performance Curves'!$C$1:$L$46,_xlfn.SINGLE(MATCH('BMP P Tracking Table'!$AF99,'Performance Curves'!$D$1:$L$1,1))+2,FALSE)-VLOOKUP(CONCATENATE('BMP P Tracking Table'!$U99," ",'BMP P Tracking Table'!$AD99),'Performance Curves'!$C$1:$L$46,_xlfn.SINGLE(MATCH('BMP P Tracking Table'!$AF99,'Performance Curves'!$D$1:$L$1,1))+1,FALSE)),"")</f>
        <v>5.9999999999999942E-2</v>
      </c>
      <c r="AH99" s="104">
        <f>IFERROR(('BMP P Tracking Table'!$AF99-INDEX('Performance Curves'!$D$1:$L$1,1,MATCH('BMP P Tracking Table'!$AF99,'Performance Curves'!$D$1:$L$1,1)))/(INDEX('Performance Curves'!$D$1:$L$1,1,MATCH('BMP P Tracking Table'!$AF99,'Performance Curves'!$D$1:$L$1,1)+1)-INDEX('Performance Curves'!$D$1:$L$1,1,MATCH('BMP P Tracking Table'!$AF99,'Performance Curves'!$D$1:$L$1,1))),"")</f>
        <v>0.72095238675412876</v>
      </c>
      <c r="AI99" s="103">
        <f>IFERROR(IF('BMP P Tracking Table'!$AF99=2,VLOOKUP(CONCATENATE('BMP P Tracking Table'!$U99," ",'BMP P Tracking Table'!$AD99),'Performance Curves'!$C$1:$L$46,_xlfn.SINGLE(MATCH('BMP P Tracking Table'!$AF99,'Performance Curves'!$D$1:$L$1,1))+1,FALSE),'BMP P Tracking Table'!$AG99*'BMP P Tracking Table'!$AH99+VLOOKUP(CONCATENATE('BMP P Tracking Table'!$U99," ",'BMP P Tracking Table'!$AD99),'Performance Curves'!$C$1:$L$46,_xlfn.SINGLE(MATCH('BMP P Tracking Table'!$AF99,'Performance Curves'!$D$1:$L$1,1))+1,FALSE)),"")</f>
        <v>0.55325714320524766</v>
      </c>
      <c r="AJ99" s="104">
        <f>IFERROR('BMP P Tracking Table'!$AI99*'BMP P Tracking Table'!$AE99,"")</f>
        <v>7.5494443445214765</v>
      </c>
      <c r="AK99" s="65"/>
      <c r="AL99" s="98" t="s">
        <v>62</v>
      </c>
      <c r="AM99" s="98"/>
      <c r="AN99" s="64">
        <v>1</v>
      </c>
      <c r="AO99" s="102">
        <f t="shared" si="16"/>
        <v>7.5494443445214765</v>
      </c>
      <c r="AP99" s="98">
        <v>6.59</v>
      </c>
      <c r="AQ99" s="98" t="s">
        <v>219</v>
      </c>
      <c r="AR99" s="98"/>
      <c r="AS99" s="98"/>
      <c r="AT99" s="98"/>
      <c r="AU99" s="98"/>
      <c r="AV99" s="98">
        <v>61.5</v>
      </c>
      <c r="AW99" s="65" t="s">
        <v>48</v>
      </c>
      <c r="AX99" s="99">
        <v>60309</v>
      </c>
      <c r="AY99" s="99"/>
      <c r="AZ99" s="104" t="str">
        <f>IF('BMP P Tracking Table'!$AL99="Yes",IF('BMP P Tracking Table'!$AM99="No",'BMP P Tracking Table'!$V99*VLOOKUP('BMP P Tracking Table'!$R99,'Loading Rates'!$B$1:$L$24,4,FALSE)+IF('BMP P Tracking Table'!$W99="By HSG",'BMP P Tracking Table'!$X99*VLOOKUP('BMP P Tracking Table'!$R99,'Loading Rates'!$B$1:$L$24,6,FALSE)+'BMP P Tracking Table'!$Y99*VLOOKUP('BMP P Tracking Table'!$R99,'Loading Rates'!$B$1:$L$24,7,FALSE)+'BMP P Tracking Table'!$Z99*VLOOKUP('BMP P Tracking Table'!$R99,'Loading Rates'!$B$1:$L$24,8,FALSE)+'BMP P Tracking Table'!$AA99*VLOOKUP('BMP P Tracking Table'!$R99,'Loading Rates'!$B$1:$L$24,9,FALSE),'BMP P Tracking Table'!$AB99*VLOOKUP('BMP P Tracking Table'!$R99,'Loading Rates'!$B$1:$L$24,10,FALSE)),'BMP P Tracking Table'!$AP99*VLOOKUP('BMP P Tracking Table'!$R99,'Loading Rates'!$B$1:$L$24,4,FALSE)+IF('BMP P Tracking Table'!$AQ99="By HSG",'BMP P Tracking Table'!$AR99*VLOOKUP('BMP P Tracking Table'!$R99,'Loading Rates'!$B$1:$L$24,6,FALSE)+'BMP P Tracking Table'!$AS99*VLOOKUP('BMP P Tracking Table'!$R99,'Loading Rates'!$B$1:$L$24,7,FALSE)+'BMP P Tracking Table'!$AT99*VLOOKUP('BMP P Tracking Table'!$R99,'Loading Rates'!$B$1:$L$24,8,FALSE)+'BMP P Tracking Table'!$AU99*VLOOKUP('BMP P Tracking Table'!$R99,'Loading Rates'!$B$1:$L$24,9,FALSE),'BMP P Tracking Table'!$AV99*VLOOKUP('BMP P Tracking Table'!$R99,'Loading Rates'!$B$1:$L$24,10,FALSE))),"")</f>
        <v/>
      </c>
      <c r="BA99" s="104">
        <f>IFERROR(IF('BMP P Tracking Table'!$AM99="Yes",MIN(2,IF('BMP P Tracking Table'!$AQ99="Total Pervious",(-(3630*'BMP P Tracking Table'!$AP99+20.691*'BMP P Tracking Table'!$AV99)+SQRT((3630*'BMP P Tracking Table'!$AP99+20.691*'BMP P Tracking Table'!$AV99)^2-(4*(996.798*'BMP P Tracking Table'!$AV99)*-'BMP P Tracking Table'!$AX99)))/(2*(996.798*'BMP P Tracking Table'!$AV99)),IF(SUM('BMP P Tracking Table'!$AR99:$AU99)=0,'BMP P Tracking Table'!$AV99/(-3630*'BMP P Tracking Table'!$AP99),(-(3630*'BMP P Tracking Table'!$AP99+20.691*'BMP P Tracking Table'!$AU99-216.711*'BMP P Tracking Table'!$AT99-83.853*'BMP P Tracking Table'!$AS99-42.834*'BMP P Tracking Table'!$AR99)+SQRT((3630*'BMP P Tracking Table'!$AP99+20.691*'BMP P Tracking Table'!$AU99-216.711*'BMP P Tracking Table'!$AT99-83.853*'BMP P Tracking Table'!$AS99-42.834*'BMP P Tracking Table'!$AR99)^2-(4*(149.919*'BMP P Tracking Table'!$AR99+236.676*'BMP P Tracking Table'!$AS99+726*'BMP P Tracking Table'!$AT99+996.798*'BMP P Tracking Table'!$AU99)*-'BMP P Tracking Table'!$AX99)))/(2*(149.919*'BMP P Tracking Table'!$AR99+236.676*'BMP P Tracking Table'!$AS99+726*'BMP P Tracking Table'!$AT99+996.798*'BMP P Tracking Table'!$AU99))))),MIN(2,IF('BMP P Tracking Table'!$AQ99="Total Pervious",(-(3630*'BMP P Tracking Table'!$V99+20.691*'BMP P Tracking Table'!$AB99)+SQRT((3630*'BMP P Tracking Table'!$V99+20.691*'BMP P Tracking Table'!$AB99)^2-(4*(996.798*'BMP P Tracking Table'!$AB99)*-'BMP P Tracking Table'!$AX99)))/(2*(996.798*'BMP P Tracking Table'!$AB99)),IF(SUM('BMP P Tracking Table'!$X99:$AA99)=0,'BMP P Tracking Table'!$AX99/(-3630*'BMP P Tracking Table'!$V99),(-(3630*'BMP P Tracking Table'!$V99+20.691*'BMP P Tracking Table'!$AA99-216.711*'BMP P Tracking Table'!$Z99-83.853*'BMP P Tracking Table'!$Y99-42.834*'BMP P Tracking Table'!$X99)+SQRT((3630*'BMP P Tracking Table'!$V99+20.691*'BMP P Tracking Table'!$AA99-216.711*'BMP P Tracking Table'!$Z99-83.853*'BMP P Tracking Table'!$Y99-42.834*'BMP P Tracking Table'!$X99)^2-(4*(149.919*'BMP P Tracking Table'!$X99+236.676*'BMP P Tracking Table'!$Y99+726*'BMP P Tracking Table'!$Z99+996.798*'BMP P Tracking Table'!$AA99)*-'BMP P Tracking Table'!$AX99)))/(2*(149.919*'BMP P Tracking Table'!$X99+236.676*'BMP P Tracking Table'!$Y99+726*'BMP P Tracking Table'!$Z99+996.798*'BMP P Tracking Table'!$AA99)))))),"")</f>
        <v>1.1674300364115922</v>
      </c>
      <c r="BB99" s="102">
        <f>IFERROR((VLOOKUP(CONCATENATE('BMP P Tracking Table'!$AW99," ",'BMP P Tracking Table'!$AY99),'Performance Curves'!$C$1:$L$46,_xlfn.SINGLE(MATCH('BMP P Tracking Table'!$BA99,'Performance Curves'!$D$1:$L$1,1))+2,FALSE)-VLOOKUP(CONCATENATE('BMP P Tracking Table'!$AW99," ",'BMP P Tracking Table'!$AY99),'Performance Curves'!$C$1:$L$46,_xlfn.SINGLE(MATCH('BMP P Tracking Table'!$BA99,'Performance Curves'!$D$1:$L$1,1))+1,FALSE)),"")</f>
        <v>4.9999999999999933E-2</v>
      </c>
      <c r="BC99" s="102">
        <f>IFERROR(('BMP P Tracking Table'!$BA99-INDEX('Performance Curves'!$D$1:$L$1,1,MATCH('BMP P Tracking Table'!$BA99,'Performance Curves'!$D$1:$L$1,1)))/(INDEX('Performance Curves'!$D$1:$L$1,1,MATCH('BMP P Tracking Table'!$BA99,'Performance Curves'!$D$1:$L$1,1)+1)-INDEX('Performance Curves'!$D$1:$L$1,1,MATCH('BMP P Tracking Table'!$BA99,'Performance Curves'!$D$1:$L$1,1))),"")</f>
        <v>0.33486007282318431</v>
      </c>
      <c r="BD99" s="103" cm="1">
        <f t="array" ref="BD99">IFERROR(IF('BMP P Tracking Table'!$BA99=2,VLOOKUP(CONCATENATE('BMP P Tracking Table'!$AW99," ",'BMP P Tracking Table'!$AY99),'Performance Curves'!$C$1:$L$44,_xlfn.SINGLE(MATCH('BMP P Tracking Table'!$BA99,'Performance Curves'!$D$1:$L$1,1))+1,FALSE),'BMP P Tracking Table'!$BB99*'BMP P Tracking Table'!$BC99+VLOOKUP(CONCATENATE('BMP P Tracking Table'!$AW99," ",'BMP P Tracking Table'!$AY99),'Performance Curves'!$C$1:$L$44,_xlfn.SINGLE(MATCH('BMP P Tracking Table'!$BA99,'Performance Curves'!$D$1:$L$1,1))+1,FALSE)),"")</f>
        <v>0.54674300364115924</v>
      </c>
      <c r="BE99" s="104" t="str">
        <f>IFERROR('BMP P Tracking Table'!$BD99*'BMP P Tracking Table'!$AZ99,"")</f>
        <v/>
      </c>
      <c r="BF99" s="98"/>
      <c r="BG99" s="37">
        <f t="shared" si="17"/>
        <v>0</v>
      </c>
      <c r="BH99" s="36" t="s">
        <v>662</v>
      </c>
      <c r="BI99" s="36" t="str">
        <f t="shared" si="7"/>
        <v>EX-WR-001</v>
      </c>
      <c r="BJ99" s="36" t="str">
        <f t="shared" si="8"/>
        <v>Meadows Edge/Steeplebush retrofit</v>
      </c>
      <c r="BL99" s="36" t="s">
        <v>828</v>
      </c>
      <c r="BM99" s="36" t="s">
        <v>829</v>
      </c>
      <c r="BO99" s="36" t="s">
        <v>830</v>
      </c>
      <c r="BP99" s="36" t="s">
        <v>871</v>
      </c>
      <c r="BQ99" s="36">
        <f t="shared" si="9"/>
        <v>25.594999999999999</v>
      </c>
      <c r="BR99" s="36">
        <f t="shared" si="10"/>
        <v>16.866999999999997</v>
      </c>
      <c r="BS99" s="101">
        <f t="shared" si="11"/>
        <v>0.3410041023637429</v>
      </c>
      <c r="BT99" s="238">
        <f t="shared" si="12"/>
        <v>108845.09624197985</v>
      </c>
      <c r="BU99" s="238">
        <f t="shared" si="13"/>
        <v>125837.07576960964</v>
      </c>
    </row>
    <row r="100" spans="1:73">
      <c r="A100" s="36" t="s">
        <v>390</v>
      </c>
      <c r="B100" s="36" t="s">
        <v>390</v>
      </c>
      <c r="C100" s="65" t="s">
        <v>660</v>
      </c>
      <c r="D100" s="65" t="s">
        <v>327</v>
      </c>
      <c r="E100" s="65" t="s">
        <v>9</v>
      </c>
      <c r="F100" s="94"/>
      <c r="G100" s="94"/>
      <c r="H100" s="36" t="s">
        <v>390</v>
      </c>
      <c r="I100" s="65"/>
      <c r="J100" s="65" t="s">
        <v>66</v>
      </c>
      <c r="K100" s="95">
        <f>ROUNDUP((VLOOKUP($U100,Dropdowns!$G$3:$I$17, 3, FALSE))*$AC100,-2)</f>
        <v>263000</v>
      </c>
      <c r="L100" s="65" t="s">
        <v>49</v>
      </c>
      <c r="M100" s="65"/>
      <c r="N100" s="65"/>
      <c r="O100" s="65"/>
      <c r="P100" s="65"/>
      <c r="Q100" s="65" t="s">
        <v>119</v>
      </c>
      <c r="R100" s="65" t="s">
        <v>146</v>
      </c>
      <c r="S100" s="65" t="str">
        <f>IFERROR(VLOOKUP('BMP P Tracking Table'!$R100,Dropdowns!$Q$3:$R$23,2,FALSE),"")</f>
        <v>Main Lake</v>
      </c>
      <c r="T100" s="65" t="s">
        <v>66</v>
      </c>
      <c r="U100" s="65" t="s">
        <v>165</v>
      </c>
      <c r="V100" s="65">
        <v>4.18</v>
      </c>
      <c r="W100" s="65" t="s">
        <v>219</v>
      </c>
      <c r="X100" s="65"/>
      <c r="Y100" s="65"/>
      <c r="Z100" s="65"/>
      <c r="AA100" s="65"/>
      <c r="AB100" s="65">
        <v>33.6</v>
      </c>
      <c r="AC100" s="97">
        <f>((1*(0.05+0.009*((V100/(V100+AB100))*100)*(V100+AB100))/12)*43560)</f>
        <v>13837.559999999998</v>
      </c>
      <c r="AD100" s="65"/>
      <c r="AE100" s="104">
        <f>IFERROR('BMP P Tracking Table'!$V100*VLOOKUP('BMP P Tracking Table'!$R100,'Loading Rates'!$B$1:$L$24,4,FALSE)+IF('BMP P Tracking Table'!$W100="By HSG",'BMP P Tracking Table'!$X100*VLOOKUP('BMP P Tracking Table'!$R100,'Loading Rates'!$B$1:$L$24,6,FALSE)+'BMP P Tracking Table'!$Y100*VLOOKUP('BMP P Tracking Table'!$R100,'Loading Rates'!$B$1:$L$24,7,FALSE)+'BMP P Tracking Table'!$Z100*VLOOKUP('BMP P Tracking Table'!$R100,'Loading Rates'!$B$1:$L$24,8,FALSE)+'BMP P Tracking Table'!$AA100*VLOOKUP('BMP P Tracking Table'!$R100,'Loading Rates'!$B$1:$L$24,9,FALSE),'BMP P Tracking Table'!$AB100*VLOOKUP('BMP P Tracking Table'!$R100,'Loading Rates'!$B$1:$L$24,10,FALSE)),"")</f>
        <v>12.43066</v>
      </c>
      <c r="AF100" s="104">
        <f>IFERROR(MIN(2,IF('BMP P Tracking Table'!$W100="Total Pervious",(-(3630*'BMP P Tracking Table'!$V100+20.691*'BMP P Tracking Table'!$AB100)+SQRT((3630*'BMP P Tracking Table'!$V100+20.691*'BMP P Tracking Table'!$AB100)^2-(4*(996.798*'BMP P Tracking Table'!$AB100)*-'BMP P Tracking Table'!$AC100)))/(2*(996.798*'BMP P Tracking Table'!$AB100)),IF(SUM('BMP P Tracking Table'!$X100:$AA100)=0,'BMP P Tracking Table'!$AC100/(-3630*'BMP P Tracking Table'!$V100),(-(3630*'BMP P Tracking Table'!$V100+20.691*'BMP P Tracking Table'!$AA100-216.711*'BMP P Tracking Table'!$Z100-83.853*'BMP P Tracking Table'!$Y100-42.834*'BMP P Tracking Table'!$X100)+SQRT((3630*'BMP P Tracking Table'!$V100+20.691*'BMP P Tracking Table'!$AA100-216.711*'BMP P Tracking Table'!$Z100-83.853*'BMP P Tracking Table'!$Y100-42.834*'BMP P Tracking Table'!$X100)^2-(4*(149.919*'BMP P Tracking Table'!$X100+236.676*'BMP P Tracking Table'!$Y100+726*'BMP P Tracking Table'!$Z100+996.798*'BMP P Tracking Table'!$AA100)*-'BMP P Tracking Table'!$AC100)))/(2*(149.919*'BMP P Tracking Table'!$X100+236.676*'BMP P Tracking Table'!$Y100+726*'BMP P Tracking Table'!$Z100+996.798*'BMP P Tracking Table'!$AA100))))),"")</f>
        <v>0.44813857357476472</v>
      </c>
      <c r="AG100" s="104">
        <f>IFERROR((VLOOKUP(CONCATENATE('BMP P Tracking Table'!$U100," ",'BMP P Tracking Table'!$AD100),'Performance Curves'!$C$1:$L$46,_xlfn.SINGLE(MATCH('BMP P Tracking Table'!$AF100,'Performance Curves'!$D$1:$L$1,1))+2,FALSE)-VLOOKUP(CONCATENATE('BMP P Tracking Table'!$U100," ",'BMP P Tracking Table'!$AD100),'Performance Curves'!$C$1:$L$46,_xlfn.SINGLE(MATCH('BMP P Tracking Table'!$AF100,'Performance Curves'!$D$1:$L$1,1))+1,FALSE)),"")</f>
        <v>7.0000000000000007E-2</v>
      </c>
      <c r="AH100" s="104">
        <f>IFERROR(('BMP P Tracking Table'!$AF100-INDEX('Performance Curves'!$D$1:$L$1,1,MATCH('BMP P Tracking Table'!$AF100,'Performance Curves'!$D$1:$L$1,1)))/(INDEX('Performance Curves'!$D$1:$L$1,1,MATCH('BMP P Tracking Table'!$AF100,'Performance Curves'!$D$1:$L$1,1)+1)-INDEX('Performance Curves'!$D$1:$L$1,1,MATCH('BMP P Tracking Table'!$AF100,'Performance Curves'!$D$1:$L$1,1))),"")</f>
        <v>0.24069286787382355</v>
      </c>
      <c r="AI100" s="103">
        <f>IFERROR(IF('BMP P Tracking Table'!$AF100=2,VLOOKUP(CONCATENATE('BMP P Tracking Table'!$U100," ",'BMP P Tracking Table'!$AD100),'Performance Curves'!$C$1:$L$46,_xlfn.SINGLE(MATCH('BMP P Tracking Table'!$AF100,'Performance Curves'!$D$1:$L$1,1))+1,FALSE),'BMP P Tracking Table'!$AG100*'BMP P Tracking Table'!$AH100+VLOOKUP(CONCATENATE('BMP P Tracking Table'!$U100," ",'BMP P Tracking Table'!$AD100),'Performance Curves'!$C$1:$L$46,_xlfn.SINGLE(MATCH('BMP P Tracking Table'!$AF100,'Performance Curves'!$D$1:$L$1,1))+1,FALSE)),"")</f>
        <v>0.38684850075116767</v>
      </c>
      <c r="AJ100" s="104">
        <f>IFERROR('BMP P Tracking Table'!$AI100*'BMP P Tracking Table'!$AE100,"")</f>
        <v>4.8087821843475096</v>
      </c>
      <c r="AK100" s="65"/>
      <c r="AL100" s="98"/>
      <c r="AM100" s="98"/>
      <c r="AN100" s="64">
        <v>1</v>
      </c>
      <c r="AO100" s="102">
        <f t="shared" si="16"/>
        <v>4.8087821843475096</v>
      </c>
      <c r="AP100" s="98">
        <v>4.18</v>
      </c>
      <c r="AQ100" s="98" t="s">
        <v>219</v>
      </c>
      <c r="AR100" s="98"/>
      <c r="AS100" s="98"/>
      <c r="AT100" s="98"/>
      <c r="AU100" s="98"/>
      <c r="AV100" s="98">
        <v>12.43</v>
      </c>
      <c r="AW100" s="65"/>
      <c r="AX100" s="99"/>
      <c r="AY100" s="99"/>
      <c r="AZ100" s="104" t="str">
        <f>IF('BMP P Tracking Table'!$AL100="Yes",IF('BMP P Tracking Table'!$AM100="No",'BMP P Tracking Table'!$V100*VLOOKUP('BMP P Tracking Table'!$R100,'Loading Rates'!$B$1:$L$24,4,FALSE)+IF('BMP P Tracking Table'!$W100="By HSG",'BMP P Tracking Table'!$X100*VLOOKUP('BMP P Tracking Table'!$R100,'Loading Rates'!$B$1:$L$24,6,FALSE)+'BMP P Tracking Table'!$Y100*VLOOKUP('BMP P Tracking Table'!$R100,'Loading Rates'!$B$1:$L$24,7,FALSE)+'BMP P Tracking Table'!$Z100*VLOOKUP('BMP P Tracking Table'!$R100,'Loading Rates'!$B$1:$L$24,8,FALSE)+'BMP P Tracking Table'!$AA100*VLOOKUP('BMP P Tracking Table'!$R100,'Loading Rates'!$B$1:$L$24,9,FALSE),'BMP P Tracking Table'!$AB100*VLOOKUP('BMP P Tracking Table'!$R100,'Loading Rates'!$B$1:$L$24,10,FALSE)),'BMP P Tracking Table'!$AP100*VLOOKUP('BMP P Tracking Table'!$R100,'Loading Rates'!$B$1:$L$24,4,FALSE)+IF('BMP P Tracking Table'!$AQ100="By HSG",'BMP P Tracking Table'!$AR100*VLOOKUP('BMP P Tracking Table'!$R100,'Loading Rates'!$B$1:$L$24,6,FALSE)+'BMP P Tracking Table'!$AS100*VLOOKUP('BMP P Tracking Table'!$R100,'Loading Rates'!$B$1:$L$24,7,FALSE)+'BMP P Tracking Table'!$AT100*VLOOKUP('BMP P Tracking Table'!$R100,'Loading Rates'!$B$1:$L$24,8,FALSE)+'BMP P Tracking Table'!$AU100*VLOOKUP('BMP P Tracking Table'!$R100,'Loading Rates'!$B$1:$L$24,9,FALSE),'BMP P Tracking Table'!$AV100*VLOOKUP('BMP P Tracking Table'!$R100,'Loading Rates'!$B$1:$L$24,10,FALSE))),"")</f>
        <v/>
      </c>
      <c r="BA100" s="104">
        <f>IFERROR(IF('BMP P Tracking Table'!$AM100="Yes",MIN(2,IF('BMP P Tracking Table'!$AQ100="Total Pervious",(-(3630*'BMP P Tracking Table'!$AP100+20.691*'BMP P Tracking Table'!$AV100)+SQRT((3630*'BMP P Tracking Table'!$AP100+20.691*'BMP P Tracking Table'!$AV100)^2-(4*(996.798*'BMP P Tracking Table'!$AV100)*-'BMP P Tracking Table'!$AX100)))/(2*(996.798*'BMP P Tracking Table'!$AV100)),IF(SUM('BMP P Tracking Table'!$AR100:$AU100)=0,'BMP P Tracking Table'!$AV100/(-3630*'BMP P Tracking Table'!$AP100),(-(3630*'BMP P Tracking Table'!$AP100+20.691*'BMP P Tracking Table'!$AU100-216.711*'BMP P Tracking Table'!$AT100-83.853*'BMP P Tracking Table'!$AS100-42.834*'BMP P Tracking Table'!$AR100)+SQRT((3630*'BMP P Tracking Table'!$AP100+20.691*'BMP P Tracking Table'!$AU100-216.711*'BMP P Tracking Table'!$AT100-83.853*'BMP P Tracking Table'!$AS100-42.834*'BMP P Tracking Table'!$AR100)^2-(4*(149.919*'BMP P Tracking Table'!$AR100+236.676*'BMP P Tracking Table'!$AS100+726*'BMP P Tracking Table'!$AT100+996.798*'BMP P Tracking Table'!$AU100)*-'BMP P Tracking Table'!$AX100)))/(2*(149.919*'BMP P Tracking Table'!$AR100+236.676*'BMP P Tracking Table'!$AS100+726*'BMP P Tracking Table'!$AT100+996.798*'BMP P Tracking Table'!$AU100))))),MIN(2,IF('BMP P Tracking Table'!$AQ100="Total Pervious",(-(3630*'BMP P Tracking Table'!$V100+20.691*'BMP P Tracking Table'!$AB100)+SQRT((3630*'BMP P Tracking Table'!$V100+20.691*'BMP P Tracking Table'!$AB100)^2-(4*(996.798*'BMP P Tracking Table'!$AB100)*-'BMP P Tracking Table'!$AX100)))/(2*(996.798*'BMP P Tracking Table'!$AB100)),IF(SUM('BMP P Tracking Table'!$X100:$AA100)=0,'BMP P Tracking Table'!$AX100/(-3630*'BMP P Tracking Table'!$V100),(-(3630*'BMP P Tracking Table'!$V100+20.691*'BMP P Tracking Table'!$AA100-216.711*'BMP P Tracking Table'!$Z100-83.853*'BMP P Tracking Table'!$Y100-42.834*'BMP P Tracking Table'!$X100)+SQRT((3630*'BMP P Tracking Table'!$V100+20.691*'BMP P Tracking Table'!$AA100-216.711*'BMP P Tracking Table'!$Z100-83.853*'BMP P Tracking Table'!$Y100-42.834*'BMP P Tracking Table'!$X100)^2-(4*(149.919*'BMP P Tracking Table'!$X100+236.676*'BMP P Tracking Table'!$Y100+726*'BMP P Tracking Table'!$Z100+996.798*'BMP P Tracking Table'!$AA100)*-'BMP P Tracking Table'!$AX100)))/(2*(149.919*'BMP P Tracking Table'!$X100+236.676*'BMP P Tracking Table'!$Y100+726*'BMP P Tracking Table'!$Z100+996.798*'BMP P Tracking Table'!$AA100)))))),"")</f>
        <v>0</v>
      </c>
      <c r="BB100" s="102" t="str">
        <f>IFERROR((VLOOKUP(CONCATENATE('BMP P Tracking Table'!$AW100," ",'BMP P Tracking Table'!$AY100),'Performance Curves'!$C$1:$L$46,_xlfn.SINGLE(MATCH('BMP P Tracking Table'!$BA100,'Performance Curves'!$D$1:$L$1,1))+2,FALSE)-VLOOKUP(CONCATENATE('BMP P Tracking Table'!$AW100," ",'BMP P Tracking Table'!$AY100),'Performance Curves'!$C$1:$L$46,_xlfn.SINGLE(MATCH('BMP P Tracking Table'!$BA100,'Performance Curves'!$D$1:$L$1,1))+1,FALSE)),"")</f>
        <v/>
      </c>
      <c r="BC100" s="102">
        <f>IFERROR(('BMP P Tracking Table'!$BA100-INDEX('Performance Curves'!$D$1:$L$1,1,MATCH('BMP P Tracking Table'!$BA100,'Performance Curves'!$D$1:$L$1,1)))/(INDEX('Performance Curves'!$D$1:$L$1,1,MATCH('BMP P Tracking Table'!$BA100,'Performance Curves'!$D$1:$L$1,1)+1)-INDEX('Performance Curves'!$D$1:$L$1,1,MATCH('BMP P Tracking Table'!$BA100,'Performance Curves'!$D$1:$L$1,1))),"")</f>
        <v>0</v>
      </c>
      <c r="BD100" s="103" t="str" cm="1">
        <f t="array" ref="BD100">IFERROR(IF('BMP P Tracking Table'!$BA100=2,VLOOKUP(CONCATENATE('BMP P Tracking Table'!$AW100," ",'BMP P Tracking Table'!$AY100),'Performance Curves'!$C$1:$L$44,_xlfn.SINGLE(MATCH('BMP P Tracking Table'!$BA100,'Performance Curves'!$D$1:$L$1,1))+1,FALSE),'BMP P Tracking Table'!$BB100*'BMP P Tracking Table'!$BC100+VLOOKUP(CONCATENATE('BMP P Tracking Table'!$AW100," ",'BMP P Tracking Table'!$AY100),'Performance Curves'!$C$1:$L$44,_xlfn.SINGLE(MATCH('BMP P Tracking Table'!$BA100,'Performance Curves'!$D$1:$L$1,1))+1,FALSE)),"")</f>
        <v/>
      </c>
      <c r="BE100" s="104" t="str">
        <f>IFERROR('BMP P Tracking Table'!$BD100*'BMP P Tracking Table'!$AZ100,"")</f>
        <v/>
      </c>
      <c r="BF100" s="98"/>
      <c r="BG100" s="37">
        <f t="shared" si="17"/>
        <v>0</v>
      </c>
      <c r="BH100" s="36" t="s">
        <v>663</v>
      </c>
      <c r="BI100" s="36" t="str">
        <f t="shared" si="7"/>
        <v>3579-9010.R</v>
      </c>
      <c r="BJ100" s="36" t="str">
        <f t="shared" si="8"/>
        <v>Old Stage Village S/N 001 RETROFIT</v>
      </c>
      <c r="BL100" s="36" t="s">
        <v>826</v>
      </c>
      <c r="BM100" s="36" t="s">
        <v>827</v>
      </c>
      <c r="BP100" s="36" t="s">
        <v>871</v>
      </c>
      <c r="BQ100" s="36">
        <f t="shared" si="9"/>
        <v>37.78</v>
      </c>
      <c r="BR100" s="36">
        <f t="shared" si="10"/>
        <v>33.6</v>
      </c>
      <c r="BS100" s="101">
        <f t="shared" si="11"/>
        <v>0.11064055055584965</v>
      </c>
      <c r="BT100" s="238">
        <f t="shared" si="12"/>
        <v>62918.660287081344</v>
      </c>
      <c r="BU100" s="238">
        <f t="shared" si="13"/>
        <v>54691.601723209627</v>
      </c>
    </row>
    <row r="101" spans="1:73">
      <c r="A101" s="36" t="s">
        <v>402</v>
      </c>
      <c r="B101" s="36" t="s">
        <v>712</v>
      </c>
      <c r="C101" s="65" t="s">
        <v>919</v>
      </c>
      <c r="D101" s="65" t="s">
        <v>327</v>
      </c>
      <c r="E101" s="65" t="s">
        <v>9</v>
      </c>
      <c r="F101" s="94"/>
      <c r="G101" s="94"/>
      <c r="H101" s="65"/>
      <c r="I101" s="65"/>
      <c r="J101" s="65" t="s">
        <v>66</v>
      </c>
      <c r="K101" s="95">
        <v>378000</v>
      </c>
      <c r="L101" s="65" t="s">
        <v>178</v>
      </c>
      <c r="M101" s="65"/>
      <c r="N101" s="65"/>
      <c r="O101" s="65"/>
      <c r="P101" s="65"/>
      <c r="Q101" s="65" t="s">
        <v>119</v>
      </c>
      <c r="R101" s="65" t="s">
        <v>149</v>
      </c>
      <c r="S101" s="65" t="str">
        <f>IFERROR(VLOOKUP('BMP P Tracking Table'!$R101,Dropdowns!$Q$3:$R$23,2,FALSE),"")</f>
        <v>Malletts Bay</v>
      </c>
      <c r="T101" s="65" t="s">
        <v>66</v>
      </c>
      <c r="U101" s="65" t="s">
        <v>46</v>
      </c>
      <c r="V101" s="65">
        <v>3.024</v>
      </c>
      <c r="W101" s="65" t="s">
        <v>219</v>
      </c>
      <c r="X101" s="65"/>
      <c r="Y101" s="65"/>
      <c r="Z101" s="65"/>
      <c r="AA101" s="65"/>
      <c r="AB101" s="65">
        <v>2.3929999999999998</v>
      </c>
      <c r="AC101" s="97">
        <v>10846</v>
      </c>
      <c r="AD101" s="65"/>
      <c r="AE101" s="104">
        <f>IFERROR('BMP P Tracking Table'!$V101*VLOOKUP('BMP P Tracking Table'!$R101,'Loading Rates'!$B$1:$L$24,4,FALSE)+IF('BMP P Tracking Table'!$W101="By HSG",'BMP P Tracking Table'!$X101*VLOOKUP('BMP P Tracking Table'!$R101,'Loading Rates'!$B$1:$L$24,6,FALSE)+'BMP P Tracking Table'!$Y101*VLOOKUP('BMP P Tracking Table'!$R101,'Loading Rates'!$B$1:$L$24,7,FALSE)+'BMP P Tracking Table'!$Z101*VLOOKUP('BMP P Tracking Table'!$R101,'Loading Rates'!$B$1:$L$24,8,FALSE)+'BMP P Tracking Table'!$AA101*VLOOKUP('BMP P Tracking Table'!$R101,'Loading Rates'!$B$1:$L$24,9,FALSE),'BMP P Tracking Table'!$AB101*VLOOKUP('BMP P Tracking Table'!$R101,'Loading Rates'!$B$1:$L$24,10,FALSE)),"")</f>
        <v>3.9869159999999999</v>
      </c>
      <c r="AF101" s="104">
        <f>IFERROR(MIN(2,IF('BMP P Tracking Table'!$W101="Total Pervious",(-(3630*'BMP P Tracking Table'!$V101+20.691*'BMP P Tracking Table'!$AB101)+SQRT((3630*'BMP P Tracking Table'!$V101+20.691*'BMP P Tracking Table'!$AB101)^2-(4*(996.798*'BMP P Tracking Table'!$AB101)*-'BMP P Tracking Table'!$AC101)))/(2*(996.798*'BMP P Tracking Table'!$AB101)),IF(SUM('BMP P Tracking Table'!$X101:$AA101)=0,'BMP P Tracking Table'!$AC101/(-3630*'BMP P Tracking Table'!$V101),(-(3630*'BMP P Tracking Table'!$V101+20.691*'BMP P Tracking Table'!$AA101-216.711*'BMP P Tracking Table'!$Z101-83.853*'BMP P Tracking Table'!$Y101-42.834*'BMP P Tracking Table'!$X101)+SQRT((3630*'BMP P Tracking Table'!$V101+20.691*'BMP P Tracking Table'!$AA101-216.711*'BMP P Tracking Table'!$Z101-83.853*'BMP P Tracking Table'!$Y101-42.834*'BMP P Tracking Table'!$X101)^2-(4*(149.919*'BMP P Tracking Table'!$X101+236.676*'BMP P Tracking Table'!$Y101+726*'BMP P Tracking Table'!$Z101+996.798*'BMP P Tracking Table'!$AA101)*-'BMP P Tracking Table'!$AC101)))/(2*(149.919*'BMP P Tracking Table'!$X101+236.676*'BMP P Tracking Table'!$Y101+726*'BMP P Tracking Table'!$Z101+996.798*'BMP P Tracking Table'!$AA101))))),"")</f>
        <v>0.83337694286795638</v>
      </c>
      <c r="AG101" s="104">
        <f>IFERROR((VLOOKUP(CONCATENATE('BMP P Tracking Table'!$U101," ",'BMP P Tracking Table'!$AD101),'Performance Curves'!$C$1:$L$46,_xlfn.SINGLE(MATCH('BMP P Tracking Table'!$AF101,'Performance Curves'!$D$1:$L$1,1))+2,FALSE)-VLOOKUP(CONCATENATE('BMP P Tracking Table'!$U101," ",'BMP P Tracking Table'!$AD101),'Performance Curves'!$C$1:$L$46,_xlfn.SINGLE(MATCH('BMP P Tracking Table'!$AF101,'Performance Curves'!$D$1:$L$1,1))+1,FALSE)),"")</f>
        <v>4.0000000000000036E-2</v>
      </c>
      <c r="AH101" s="104">
        <f>IFERROR(('BMP P Tracking Table'!$AF101-INDEX('Performance Curves'!$D$1:$L$1,1,MATCH('BMP P Tracking Table'!$AF101,'Performance Curves'!$D$1:$L$1,1)))/(INDEX('Performance Curves'!$D$1:$L$1,1,MATCH('BMP P Tracking Table'!$AF101,'Performance Curves'!$D$1:$L$1,1)+1)-INDEX('Performance Curves'!$D$1:$L$1,1,MATCH('BMP P Tracking Table'!$AF101,'Performance Curves'!$D$1:$L$1,1))),"")</f>
        <v>0.16688471433978172</v>
      </c>
      <c r="AI101" s="103">
        <f>IFERROR(IF('BMP P Tracking Table'!$AF101=2,VLOOKUP(CONCATENATE('BMP P Tracking Table'!$U101," ",'BMP P Tracking Table'!$AD101),'Performance Curves'!$C$1:$L$46,_xlfn.SINGLE(MATCH('BMP P Tracking Table'!$AF101,'Performance Curves'!$D$1:$L$1,1))+1,FALSE),'BMP P Tracking Table'!$AG101*'BMP P Tracking Table'!$AH101+VLOOKUP(CONCATENATE('BMP P Tracking Table'!$U101," ",'BMP P Tracking Table'!$AD101),'Performance Curves'!$C$1:$L$46,_xlfn.SINGLE(MATCH('BMP P Tracking Table'!$AF101,'Performance Curves'!$D$1:$L$1,1))+1,FALSE)),"")</f>
        <v>0.57667538857359124</v>
      </c>
      <c r="AJ101" s="104">
        <f>IFERROR('BMP P Tracking Table'!$AI101*'BMP P Tracking Table'!$AE101,"")</f>
        <v>2.2991563335102678</v>
      </c>
      <c r="AK101" s="65">
        <v>2.4580000000000002</v>
      </c>
      <c r="AL101" s="98" t="s">
        <v>62</v>
      </c>
      <c r="AM101" s="98" t="s">
        <v>62</v>
      </c>
      <c r="AN101" s="64">
        <v>1</v>
      </c>
      <c r="AO101" s="102">
        <f t="shared" si="16"/>
        <v>2.4580000000000002</v>
      </c>
      <c r="AP101" s="98">
        <v>3.03</v>
      </c>
      <c r="AQ101" s="98" t="s">
        <v>219</v>
      </c>
      <c r="AR101" s="98"/>
      <c r="AS101" s="98"/>
      <c r="AT101" s="98"/>
      <c r="AU101" s="98"/>
      <c r="AV101" s="98">
        <v>4.29</v>
      </c>
      <c r="AW101" s="65" t="s">
        <v>48</v>
      </c>
      <c r="AX101" s="99">
        <v>8010</v>
      </c>
      <c r="AY101" s="99"/>
      <c r="AZ101" s="104" t="str">
        <f>IF('BMP P Tracking Table'!$AL101="Yes",IF('BMP P Tracking Table'!$AM101="No",'BMP P Tracking Table'!$V101*VLOOKUP('BMP P Tracking Table'!$R101,'Loading Rates'!$B$1:$L$24,4,FALSE)+IF('BMP P Tracking Table'!$W101="By HSG",'BMP P Tracking Table'!$X101*VLOOKUP('BMP P Tracking Table'!$R101,'Loading Rates'!$B$1:$L$24,6,FALSE)+'BMP P Tracking Table'!$Y101*VLOOKUP('BMP P Tracking Table'!$R101,'Loading Rates'!$B$1:$L$24,7,FALSE)+'BMP P Tracking Table'!$Z101*VLOOKUP('BMP P Tracking Table'!$R101,'Loading Rates'!$B$1:$L$24,8,FALSE)+'BMP P Tracking Table'!$AA101*VLOOKUP('BMP P Tracking Table'!$R101,'Loading Rates'!$B$1:$L$24,9,FALSE),'BMP P Tracking Table'!$AB101*VLOOKUP('BMP P Tracking Table'!$R101,'Loading Rates'!$B$1:$L$24,10,FALSE)),'BMP P Tracking Table'!$AP101*VLOOKUP('BMP P Tracking Table'!$R101,'Loading Rates'!$B$1:$L$24,4,FALSE)+IF('BMP P Tracking Table'!$AQ101="By HSG",'BMP P Tracking Table'!$AR101*VLOOKUP('BMP P Tracking Table'!$R101,'Loading Rates'!$B$1:$L$24,6,FALSE)+'BMP P Tracking Table'!$AS101*VLOOKUP('BMP P Tracking Table'!$R101,'Loading Rates'!$B$1:$L$24,7,FALSE)+'BMP P Tracking Table'!$AT101*VLOOKUP('BMP P Tracking Table'!$R101,'Loading Rates'!$B$1:$L$24,8,FALSE)+'BMP P Tracking Table'!$AU101*VLOOKUP('BMP P Tracking Table'!$R101,'Loading Rates'!$B$1:$L$24,9,FALSE),'BMP P Tracking Table'!$AV101*VLOOKUP('BMP P Tracking Table'!$R101,'Loading Rates'!$B$1:$L$24,10,FALSE))),"")</f>
        <v/>
      </c>
      <c r="BA101" s="104">
        <f>IFERROR(IF('BMP P Tracking Table'!$AM101="Yes",MIN(2,IF('BMP P Tracking Table'!$AQ101="Total Pervious",(-(3630*'BMP P Tracking Table'!$AP101+20.691*'BMP P Tracking Table'!$AV101)+SQRT((3630*'BMP P Tracking Table'!$AP101+20.691*'BMP P Tracking Table'!$AV101)^2-(4*(996.798*'BMP P Tracking Table'!$AV101)*-'BMP P Tracking Table'!$AX101)))/(2*(996.798*'BMP P Tracking Table'!$AV101)),IF(SUM('BMP P Tracking Table'!$AR101:$AU101)=0,'BMP P Tracking Table'!$AV101/(-3630*'BMP P Tracking Table'!$AP101),(-(3630*'BMP P Tracking Table'!$AP101+20.691*'BMP P Tracking Table'!$AU101-216.711*'BMP P Tracking Table'!$AT101-83.853*'BMP P Tracking Table'!$AS101-42.834*'BMP P Tracking Table'!$AR101)+SQRT((3630*'BMP P Tracking Table'!$AP101+20.691*'BMP P Tracking Table'!$AU101-216.711*'BMP P Tracking Table'!$AT101-83.853*'BMP P Tracking Table'!$AS101-42.834*'BMP P Tracking Table'!$AR101)^2-(4*(149.919*'BMP P Tracking Table'!$AR101+236.676*'BMP P Tracking Table'!$AS101+726*'BMP P Tracking Table'!$AT101+996.798*'BMP P Tracking Table'!$AU101)*-'BMP P Tracking Table'!$AX101)))/(2*(149.919*'BMP P Tracking Table'!$AR101+236.676*'BMP P Tracking Table'!$AS101+726*'BMP P Tracking Table'!$AT101+996.798*'BMP P Tracking Table'!$AU101))))),MIN(2,IF('BMP P Tracking Table'!$AQ101="Total Pervious",(-(3630*'BMP P Tracking Table'!$V101+20.691*'BMP P Tracking Table'!$AB101)+SQRT((3630*'BMP P Tracking Table'!$V101+20.691*'BMP P Tracking Table'!$AB101)^2-(4*(996.798*'BMP P Tracking Table'!$AB101)*-'BMP P Tracking Table'!$AX101)))/(2*(996.798*'BMP P Tracking Table'!$AB101)),IF(SUM('BMP P Tracking Table'!$X101:$AA101)=0,'BMP P Tracking Table'!$AX101/(-3630*'BMP P Tracking Table'!$V101),(-(3630*'BMP P Tracking Table'!$V101+20.691*'BMP P Tracking Table'!$AA101-216.711*'BMP P Tracking Table'!$Z101-83.853*'BMP P Tracking Table'!$Y101-42.834*'BMP P Tracking Table'!$X101)+SQRT((3630*'BMP P Tracking Table'!$V101+20.691*'BMP P Tracking Table'!$AA101-216.711*'BMP P Tracking Table'!$Z101-83.853*'BMP P Tracking Table'!$Y101-42.834*'BMP P Tracking Table'!$X101)^2-(4*(149.919*'BMP P Tracking Table'!$X101+236.676*'BMP P Tracking Table'!$Y101+726*'BMP P Tracking Table'!$Z101+996.798*'BMP P Tracking Table'!$AA101)*-'BMP P Tracking Table'!$AX101)))/(2*(149.919*'BMP P Tracking Table'!$X101+236.676*'BMP P Tracking Table'!$Y101+726*'BMP P Tracking Table'!$Z101+996.798*'BMP P Tracking Table'!$AA101)))))),"")</f>
        <v>0.63828927715816608</v>
      </c>
      <c r="BB101" s="102">
        <f>IFERROR((VLOOKUP(CONCATENATE('BMP P Tracking Table'!$AW101," ",'BMP P Tracking Table'!$AY101),'Performance Curves'!$C$1:$L$46,_xlfn.SINGLE(MATCH('BMP P Tracking Table'!$BA101,'Performance Curves'!$D$1:$L$1,1))+2,FALSE)-VLOOKUP(CONCATENATE('BMP P Tracking Table'!$AW101," ",'BMP P Tracking Table'!$AY101),'Performance Curves'!$C$1:$L$46,_xlfn.SINGLE(MATCH('BMP P Tracking Table'!$BA101,'Performance Curves'!$D$1:$L$1,1))+1,FALSE)),"")</f>
        <v>3.999999999999998E-2</v>
      </c>
      <c r="BC101" s="102">
        <f>IFERROR(('BMP P Tracking Table'!$BA101-INDEX('Performance Curves'!$D$1:$L$1,1,MATCH('BMP P Tracking Table'!$BA101,'Performance Curves'!$D$1:$L$1,1)))/(INDEX('Performance Curves'!$D$1:$L$1,1,MATCH('BMP P Tracking Table'!$BA101,'Performance Curves'!$D$1:$L$1,1)+1)-INDEX('Performance Curves'!$D$1:$L$1,1,MATCH('BMP P Tracking Table'!$BA101,'Performance Curves'!$D$1:$L$1,1))),"")</f>
        <v>0.19144638579083045</v>
      </c>
      <c r="BD101" s="103" cm="1">
        <f t="array" ref="BD101">IFERROR(IF('BMP P Tracking Table'!$BA101=2,VLOOKUP(CONCATENATE('BMP P Tracking Table'!$AW101," ",'BMP P Tracking Table'!$AY101),'Performance Curves'!$C$1:$L$44,_xlfn.SINGLE(MATCH('BMP P Tracking Table'!$BA101,'Performance Curves'!$D$1:$L$1,1))+1,FALSE),'BMP P Tracking Table'!$BB101*'BMP P Tracking Table'!$BC101+VLOOKUP(CONCATENATE('BMP P Tracking Table'!$AW101," ",'BMP P Tracking Table'!$AY101),'Performance Curves'!$C$1:$L$44,_xlfn.SINGLE(MATCH('BMP P Tracking Table'!$BA101,'Performance Curves'!$D$1:$L$1,1))+1,FALSE)),"")</f>
        <v>0.44765785543163322</v>
      </c>
      <c r="BE101" s="104" t="str">
        <f>IFERROR('BMP P Tracking Table'!$BD101*'BMP P Tracking Table'!$AZ101,"")</f>
        <v/>
      </c>
      <c r="BF101" s="92"/>
      <c r="BG101" s="37">
        <f t="shared" si="17"/>
        <v>0</v>
      </c>
      <c r="BH101" s="36" t="s">
        <v>664</v>
      </c>
      <c r="BI101" s="36" t="str">
        <f t="shared" si="7"/>
        <v>EX-LR-001</v>
      </c>
      <c r="BJ101" s="36" t="str">
        <f t="shared" si="8"/>
        <v>Autumn Knoll S/N 001 retrofit</v>
      </c>
      <c r="BL101" s="36" t="s">
        <v>824</v>
      </c>
      <c r="BM101" s="36" t="s">
        <v>825</v>
      </c>
      <c r="BP101" s="36" t="s">
        <v>871</v>
      </c>
      <c r="BQ101" s="36">
        <f t="shared" si="9"/>
        <v>5.4169999999999998</v>
      </c>
      <c r="BR101" s="36">
        <f t="shared" si="10"/>
        <v>2.3929999999999998</v>
      </c>
      <c r="BS101" s="101">
        <f t="shared" si="11"/>
        <v>0.55824256968801922</v>
      </c>
      <c r="BT101" s="238">
        <f t="shared" si="12"/>
        <v>125000</v>
      </c>
      <c r="BU101" s="238">
        <f t="shared" si="13"/>
        <v>153783.56387306753</v>
      </c>
    </row>
    <row r="102" spans="1:73">
      <c r="A102" s="221" t="s">
        <v>361</v>
      </c>
      <c r="B102" s="65" t="s">
        <v>361</v>
      </c>
      <c r="C102" s="65" t="s">
        <v>782</v>
      </c>
      <c r="D102" s="65" t="s">
        <v>325</v>
      </c>
      <c r="E102" s="65" t="s">
        <v>10</v>
      </c>
      <c r="F102" s="94"/>
      <c r="G102" s="94"/>
      <c r="H102" s="65" t="s">
        <v>361</v>
      </c>
      <c r="I102" s="65"/>
      <c r="J102" s="65" t="s">
        <v>66</v>
      </c>
      <c r="K102" s="95"/>
      <c r="L102" s="65" t="s">
        <v>111</v>
      </c>
      <c r="M102" s="65"/>
      <c r="N102" s="96">
        <v>37914</v>
      </c>
      <c r="O102" s="65"/>
      <c r="P102" s="65"/>
      <c r="Q102" s="65" t="s">
        <v>119</v>
      </c>
      <c r="R102" s="65" t="s">
        <v>146</v>
      </c>
      <c r="S102" s="65" t="str">
        <f>IFERROR(VLOOKUP('BMP P Tracking Table'!$R102,Dropdowns!$Q$3:$R$23,2,FALSE),"")</f>
        <v>Main Lake</v>
      </c>
      <c r="T102" s="206" t="s">
        <v>62</v>
      </c>
      <c r="U102" s="65" t="s">
        <v>212</v>
      </c>
      <c r="V102" s="65">
        <v>5.8</v>
      </c>
      <c r="W102" s="65" t="s">
        <v>219</v>
      </c>
      <c r="X102" s="65"/>
      <c r="Y102" s="65"/>
      <c r="Z102" s="65"/>
      <c r="AA102" s="65"/>
      <c r="AB102" s="65">
        <v>18.399999999999999</v>
      </c>
      <c r="AC102" s="97">
        <v>6970</v>
      </c>
      <c r="AD102" s="65" t="s">
        <v>206</v>
      </c>
      <c r="AE102" s="104">
        <f>IFERROR('BMP P Tracking Table'!$V102*VLOOKUP('BMP P Tracking Table'!$R102,'Loading Rates'!$B$1:$L$24,4,FALSE)+IF('BMP P Tracking Table'!$W102="By HSG",'BMP P Tracking Table'!$X102*VLOOKUP('BMP P Tracking Table'!$R102,'Loading Rates'!$B$1:$L$24,6,FALSE)+'BMP P Tracking Table'!$Y102*VLOOKUP('BMP P Tracking Table'!$R102,'Loading Rates'!$B$1:$L$24,7,FALSE)+'BMP P Tracking Table'!$Z102*VLOOKUP('BMP P Tracking Table'!$R102,'Loading Rates'!$B$1:$L$24,8,FALSE)+'BMP P Tracking Table'!$AA102*VLOOKUP('BMP P Tracking Table'!$R102,'Loading Rates'!$B$1:$L$24,9,FALSE),'BMP P Tracking Table'!$AB102*VLOOKUP('BMP P Tracking Table'!$R102,'Loading Rates'!$B$1:$L$24,10,FALSE)),"")</f>
        <v>10.728999999999999</v>
      </c>
      <c r="AF102" s="104">
        <f>IFERROR(MIN(2,IF('BMP P Tracking Table'!$W102="Total Pervious",(-(3630*'BMP P Tracking Table'!$V102+20.691*'BMP P Tracking Table'!$AB102)+SQRT((3630*'BMP P Tracking Table'!$V102+20.691*'BMP P Tracking Table'!$AB102)^2-(4*(996.798*'BMP P Tracking Table'!$AB102)*-'BMP P Tracking Table'!$AC102)))/(2*(996.798*'BMP P Tracking Table'!$AB102)),IF(SUM('BMP P Tracking Table'!$X102:$AA102)=0,'BMP P Tracking Table'!$AC102/(-3630*'BMP P Tracking Table'!$V102),(-(3630*'BMP P Tracking Table'!$V102+20.691*'BMP P Tracking Table'!$AA102-216.711*'BMP P Tracking Table'!$Z102-83.853*'BMP P Tracking Table'!$Y102-42.834*'BMP P Tracking Table'!$X102)+SQRT((3630*'BMP P Tracking Table'!$V102+20.691*'BMP P Tracking Table'!$AA102-216.711*'BMP P Tracking Table'!$Z102-83.853*'BMP P Tracking Table'!$Y102-42.834*'BMP P Tracking Table'!$X102)^2-(4*(149.919*'BMP P Tracking Table'!$X102+236.676*'BMP P Tracking Table'!$Y102+726*'BMP P Tracking Table'!$Z102+996.798*'BMP P Tracking Table'!$AA102)*-'BMP P Tracking Table'!$AC102)))/(2*(149.919*'BMP P Tracking Table'!$X102+236.676*'BMP P Tracking Table'!$Y102+726*'BMP P Tracking Table'!$Z102+996.798*'BMP P Tracking Table'!$AA102))))),"")</f>
        <v>0.26505771230938618</v>
      </c>
      <c r="AG102" s="104">
        <f>IFERROR((VLOOKUP(CONCATENATE('BMP P Tracking Table'!$U102," ",'BMP P Tracking Table'!$AD102),'Performance Curves'!$C$1:$L$46,_xlfn.SINGLE(MATCH('BMP P Tracking Table'!$AF102,'Performance Curves'!$D$1:$L$1,1))+2,FALSE)-VLOOKUP(CONCATENATE('BMP P Tracking Table'!$U102," ",'BMP P Tracking Table'!$AD102),'Performance Curves'!$C$1:$L$46,_xlfn.SINGLE(MATCH('BMP P Tracking Table'!$AF102,'Performance Curves'!$D$1:$L$1,1))+1,FALSE)),"")</f>
        <v>0.19999999999999996</v>
      </c>
      <c r="AH102" s="104">
        <f>IFERROR(('BMP P Tracking Table'!$AF102-INDEX('Performance Curves'!$D$1:$L$1,1,MATCH('BMP P Tracking Table'!$AF102,'Performance Curves'!$D$1:$L$1,1)))/(INDEX('Performance Curves'!$D$1:$L$1,1,MATCH('BMP P Tracking Table'!$AF102,'Performance Curves'!$D$1:$L$1,1)+1)-INDEX('Performance Curves'!$D$1:$L$1,1,MATCH('BMP P Tracking Table'!$AF102,'Performance Curves'!$D$1:$L$1,1))),"")</f>
        <v>0.32528856154693087</v>
      </c>
      <c r="AI102" s="103">
        <f>IFERROR(IF('BMP P Tracking Table'!$AF102=2,VLOOKUP(CONCATENATE('BMP P Tracking Table'!$U102," ",'BMP P Tracking Table'!$AD102),'Performance Curves'!$C$1:$L$46,_xlfn.SINGLE(MATCH('BMP P Tracking Table'!$AF102,'Performance Curves'!$D$1:$L$1,1))+1,FALSE),'BMP P Tracking Table'!$AG102*'BMP P Tracking Table'!$AH102+VLOOKUP(CONCATENATE('BMP P Tracking Table'!$U102," ",'BMP P Tracking Table'!$AD102),'Performance Curves'!$C$1:$L$46,_xlfn.SINGLE(MATCH('BMP P Tracking Table'!$AF102,'Performance Curves'!$D$1:$L$1,1))+1,FALSE)),"")</f>
        <v>0.73505771230938621</v>
      </c>
      <c r="AJ102" s="104">
        <f>IFERROR('BMP P Tracking Table'!$AI102*'BMP P Tracking Table'!$AE102,"")</f>
        <v>7.8864341953674044</v>
      </c>
      <c r="AK102" s="65"/>
      <c r="AL102" s="98" t="s">
        <v>62</v>
      </c>
      <c r="AM102" s="98"/>
      <c r="AN102" s="64">
        <v>1</v>
      </c>
      <c r="AO102" s="102">
        <f t="shared" si="16"/>
        <v>7.8864341953674044</v>
      </c>
      <c r="AP102" s="98"/>
      <c r="AQ102" s="98"/>
      <c r="AR102" s="98"/>
      <c r="AS102" s="98"/>
      <c r="AT102" s="98"/>
      <c r="AU102" s="98"/>
      <c r="AV102" s="98"/>
      <c r="AW102" s="65"/>
      <c r="AX102" s="99"/>
      <c r="AY102" s="99"/>
      <c r="AZ102" s="104" t="str">
        <f>IF('BMP P Tracking Table'!$AL102="Yes",IF('BMP P Tracking Table'!$AM102="No",'BMP P Tracking Table'!$V102*VLOOKUP('BMP P Tracking Table'!$R102,'Loading Rates'!$B$1:$L$24,4,FALSE)+IF('BMP P Tracking Table'!$W102="By HSG",'BMP P Tracking Table'!$X102*VLOOKUP('BMP P Tracking Table'!$R102,'Loading Rates'!$B$1:$L$24,6,FALSE)+'BMP P Tracking Table'!$Y102*VLOOKUP('BMP P Tracking Table'!$R102,'Loading Rates'!$B$1:$L$24,7,FALSE)+'BMP P Tracking Table'!$Z102*VLOOKUP('BMP P Tracking Table'!$R102,'Loading Rates'!$B$1:$L$24,8,FALSE)+'BMP P Tracking Table'!$AA102*VLOOKUP('BMP P Tracking Table'!$R102,'Loading Rates'!$B$1:$L$24,9,FALSE),'BMP P Tracking Table'!$AB102*VLOOKUP('BMP P Tracking Table'!$R102,'Loading Rates'!$B$1:$L$24,10,FALSE)),'BMP P Tracking Table'!$AP102*VLOOKUP('BMP P Tracking Table'!$R102,'Loading Rates'!$B$1:$L$24,4,FALSE)+IF('BMP P Tracking Table'!$AQ102="By HSG",'BMP P Tracking Table'!$AR102*VLOOKUP('BMP P Tracking Table'!$R102,'Loading Rates'!$B$1:$L$24,6,FALSE)+'BMP P Tracking Table'!$AS102*VLOOKUP('BMP P Tracking Table'!$R102,'Loading Rates'!$B$1:$L$24,7,FALSE)+'BMP P Tracking Table'!$AT102*VLOOKUP('BMP P Tracking Table'!$R102,'Loading Rates'!$B$1:$L$24,8,FALSE)+'BMP P Tracking Table'!$AU102*VLOOKUP('BMP P Tracking Table'!$R102,'Loading Rates'!$B$1:$L$24,9,FALSE),'BMP P Tracking Table'!$AV102*VLOOKUP('BMP P Tracking Table'!$R102,'Loading Rates'!$B$1:$L$24,10,FALSE))),"")</f>
        <v/>
      </c>
      <c r="BA102" s="104">
        <f>IFERROR(IF('BMP P Tracking Table'!$AM102="Yes",MIN(2,IF('BMP P Tracking Table'!$AQ102="Total Pervious",(-(3630*'BMP P Tracking Table'!$AP102+20.691*'BMP P Tracking Table'!$AV102)+SQRT((3630*'BMP P Tracking Table'!$AP102+20.691*'BMP P Tracking Table'!$AV102)^2-(4*(996.798*'BMP P Tracking Table'!$AV102)*-'BMP P Tracking Table'!$AX102)))/(2*(996.798*'BMP P Tracking Table'!$AV102)),IF(SUM('BMP P Tracking Table'!$AR102:$AU102)=0,'BMP P Tracking Table'!$AV102/(-3630*'BMP P Tracking Table'!$AP102),(-(3630*'BMP P Tracking Table'!$AP102+20.691*'BMP P Tracking Table'!$AU102-216.711*'BMP P Tracking Table'!$AT102-83.853*'BMP P Tracking Table'!$AS102-42.834*'BMP P Tracking Table'!$AR102)+SQRT((3630*'BMP P Tracking Table'!$AP102+20.691*'BMP P Tracking Table'!$AU102-216.711*'BMP P Tracking Table'!$AT102-83.853*'BMP P Tracking Table'!$AS102-42.834*'BMP P Tracking Table'!$AR102)^2-(4*(149.919*'BMP P Tracking Table'!$AR102+236.676*'BMP P Tracking Table'!$AS102+726*'BMP P Tracking Table'!$AT102+996.798*'BMP P Tracking Table'!$AU102)*-'BMP P Tracking Table'!$AX102)))/(2*(149.919*'BMP P Tracking Table'!$AR102+236.676*'BMP P Tracking Table'!$AS102+726*'BMP P Tracking Table'!$AT102+996.798*'BMP P Tracking Table'!$AU102))))),MIN(2,IF('BMP P Tracking Table'!$AQ102="Total Pervious",(-(3630*'BMP P Tracking Table'!$V102+20.691*'BMP P Tracking Table'!$AB102)+SQRT((3630*'BMP P Tracking Table'!$V102+20.691*'BMP P Tracking Table'!$AB102)^2-(4*(996.798*'BMP P Tracking Table'!$AB102)*-'BMP P Tracking Table'!$AX102)))/(2*(996.798*'BMP P Tracking Table'!$AB102)),IF(SUM('BMP P Tracking Table'!$X102:$AA102)=0,'BMP P Tracking Table'!$AX102/(-3630*'BMP P Tracking Table'!$V102),(-(3630*'BMP P Tracking Table'!$V102+20.691*'BMP P Tracking Table'!$AA102-216.711*'BMP P Tracking Table'!$Z102-83.853*'BMP P Tracking Table'!$Y102-42.834*'BMP P Tracking Table'!$X102)+SQRT((3630*'BMP P Tracking Table'!$V102+20.691*'BMP P Tracking Table'!$AA102-216.711*'BMP P Tracking Table'!$Z102-83.853*'BMP P Tracking Table'!$Y102-42.834*'BMP P Tracking Table'!$X102)^2-(4*(149.919*'BMP P Tracking Table'!$X102+236.676*'BMP P Tracking Table'!$Y102+726*'BMP P Tracking Table'!$Z102+996.798*'BMP P Tracking Table'!$AA102)*-'BMP P Tracking Table'!$AX102)))/(2*(149.919*'BMP P Tracking Table'!$X102+236.676*'BMP P Tracking Table'!$Y102+726*'BMP P Tracking Table'!$Z102+996.798*'BMP P Tracking Table'!$AA102)))))),"")</f>
        <v>0</v>
      </c>
      <c r="BB102" s="102" t="str">
        <f>IFERROR((VLOOKUP(CONCATENATE('BMP P Tracking Table'!$AW102," ",'BMP P Tracking Table'!$AY102),'Performance Curves'!$C$1:$L$46,_xlfn.SINGLE(MATCH('BMP P Tracking Table'!$BA102,'Performance Curves'!$D$1:$L$1,1))+2,FALSE)-VLOOKUP(CONCATENATE('BMP P Tracking Table'!$AW102," ",'BMP P Tracking Table'!$AY102),'Performance Curves'!$C$1:$L$46,_xlfn.SINGLE(MATCH('BMP P Tracking Table'!$BA102,'Performance Curves'!$D$1:$L$1,1))+1,FALSE)),"")</f>
        <v/>
      </c>
      <c r="BC102" s="102">
        <f>IFERROR(('BMP P Tracking Table'!$BA102-INDEX('Performance Curves'!$D$1:$L$1,1,MATCH('BMP P Tracking Table'!$BA102,'Performance Curves'!$D$1:$L$1,1)))/(INDEX('Performance Curves'!$D$1:$L$1,1,MATCH('BMP P Tracking Table'!$BA102,'Performance Curves'!$D$1:$L$1,1)+1)-INDEX('Performance Curves'!$D$1:$L$1,1,MATCH('BMP P Tracking Table'!$BA102,'Performance Curves'!$D$1:$L$1,1))),"")</f>
        <v>0</v>
      </c>
      <c r="BD102" s="103" t="str" cm="1">
        <f t="array" ref="BD102">IFERROR(IF('BMP P Tracking Table'!$BA102=2,VLOOKUP(CONCATENATE('BMP P Tracking Table'!$AW102," ",'BMP P Tracking Table'!$AY102),'Performance Curves'!$C$1:$L$44,_xlfn.SINGLE(MATCH('BMP P Tracking Table'!$BA102,'Performance Curves'!$D$1:$L$1,1))+1,FALSE),'BMP P Tracking Table'!$BB102*'BMP P Tracking Table'!$BC102+VLOOKUP(CONCATENATE('BMP P Tracking Table'!$AW102," ",'BMP P Tracking Table'!$AY102),'Performance Curves'!$C$1:$L$44,_xlfn.SINGLE(MATCH('BMP P Tracking Table'!$BA102,'Performance Curves'!$D$1:$L$1,1))+1,FALSE)),"")</f>
        <v/>
      </c>
      <c r="BE102" s="104" t="str">
        <f>IFERROR('BMP P Tracking Table'!$BD102*'BMP P Tracking Table'!$AZ102,"")</f>
        <v/>
      </c>
      <c r="BF102" s="98"/>
      <c r="BG102" s="37">
        <f t="shared" si="17"/>
        <v>0</v>
      </c>
      <c r="BI102" s="36" t="str">
        <f t="shared" si="7"/>
        <v>3547-9010.R</v>
      </c>
      <c r="BJ102" s="36" t="str">
        <f t="shared" si="8"/>
        <v>Whitcomb Heights (former 1-1227)</v>
      </c>
      <c r="BS102" s="36"/>
    </row>
    <row r="103" spans="1:73">
      <c r="B103" s="65" t="s">
        <v>747</v>
      </c>
      <c r="C103" s="65" t="s">
        <v>684</v>
      </c>
      <c r="D103" s="65" t="s">
        <v>325</v>
      </c>
      <c r="E103" s="65" t="s">
        <v>10</v>
      </c>
      <c r="F103" s="94"/>
      <c r="G103" s="94"/>
      <c r="H103" s="65"/>
      <c r="I103" s="65"/>
      <c r="J103" s="65" t="s">
        <v>66</v>
      </c>
      <c r="K103" s="95">
        <f>ROUNDUP((VLOOKUP($U103,Dropdowns!$G$3:$I$17, 3, FALSE))*$AC103,-2)</f>
        <v>35600</v>
      </c>
      <c r="L103" s="65" t="s">
        <v>49</v>
      </c>
      <c r="M103" s="65"/>
      <c r="N103" s="65"/>
      <c r="O103" s="65"/>
      <c r="P103" s="65"/>
      <c r="Q103" s="65" t="s">
        <v>119</v>
      </c>
      <c r="R103" s="65" t="s">
        <v>146</v>
      </c>
      <c r="S103" s="65" t="str">
        <f>IFERROR(VLOOKUP('BMP P Tracking Table'!$R103,Dropdowns!$Q$3:$R$23,2,FALSE),"")</f>
        <v>Main Lake</v>
      </c>
      <c r="T103" s="65" t="s">
        <v>66</v>
      </c>
      <c r="U103" s="65" t="s">
        <v>47</v>
      </c>
      <c r="V103" s="65">
        <v>0.49</v>
      </c>
      <c r="W103" s="65" t="s">
        <v>220</v>
      </c>
      <c r="X103" s="65">
        <v>0.48</v>
      </c>
      <c r="Y103" s="65">
        <v>0</v>
      </c>
      <c r="Z103" s="65">
        <v>0</v>
      </c>
      <c r="AA103" s="65">
        <v>0</v>
      </c>
      <c r="AB103" s="65"/>
      <c r="AC103" s="97">
        <f>((1*(0.05+0.009*((V103/(V103+X103))*100))*(V103+X103))/12)*43560</f>
        <v>1776.8849999999998</v>
      </c>
      <c r="AD103" s="65" t="s">
        <v>205</v>
      </c>
      <c r="AE103" s="104">
        <f>IFERROR('BMP P Tracking Table'!$V103*VLOOKUP('BMP P Tracking Table'!$R103,'Loading Rates'!$B$1:$L$24,4,FALSE)+IF('BMP P Tracking Table'!$W103="By HSG",'BMP P Tracking Table'!$X103*VLOOKUP('BMP P Tracking Table'!$R103,'Loading Rates'!$B$1:$L$24,6,FALSE)+'BMP P Tracking Table'!$Y103*VLOOKUP('BMP P Tracking Table'!$R103,'Loading Rates'!$B$1:$L$24,7,FALSE)+'BMP P Tracking Table'!$Z103*VLOOKUP('BMP P Tracking Table'!$R103,'Loading Rates'!$B$1:$L$24,8,FALSE)+'BMP P Tracking Table'!$AA103*VLOOKUP('BMP P Tracking Table'!$R103,'Loading Rates'!$B$1:$L$24,9,FALSE),'BMP P Tracking Table'!$AB103*VLOOKUP('BMP P Tracking Table'!$R103,'Loading Rates'!$B$1:$L$24,10,FALSE)),"")</f>
        <v>0.55693000000000004</v>
      </c>
      <c r="AF103" s="104">
        <f>IFERROR(MIN(2,IF('BMP P Tracking Table'!$W103="Total Pervious",(-(3630*'BMP P Tracking Table'!$V103+20.691*'BMP P Tracking Table'!$AB103)+SQRT((3630*'BMP P Tracking Table'!$V103+20.691*'BMP P Tracking Table'!$AB103)^2-(4*(996.798*'BMP P Tracking Table'!$AB103)*-'BMP P Tracking Table'!$AC103)))/(2*(996.798*'BMP P Tracking Table'!$AB103)),IF(SUM('BMP P Tracking Table'!$X103:$AA103)=0,'BMP P Tracking Table'!$AC103/(-3630*'BMP P Tracking Table'!$V103),(-(3630*'BMP P Tracking Table'!$V103+20.691*'BMP P Tracking Table'!$AA103-216.711*'BMP P Tracking Table'!$Z103-83.853*'BMP P Tracking Table'!$Y103-42.834*'BMP P Tracking Table'!$X103)+SQRT((3630*'BMP P Tracking Table'!$V103+20.691*'BMP P Tracking Table'!$AA103-216.711*'BMP P Tracking Table'!$Z103-83.853*'BMP P Tracking Table'!$Y103-42.834*'BMP P Tracking Table'!$X103)^2-(4*(149.919*'BMP P Tracking Table'!$X103+236.676*'BMP P Tracking Table'!$Y103+726*'BMP P Tracking Table'!$Z103+996.798*'BMP P Tracking Table'!$AA103)*-'BMP P Tracking Table'!$AC103)))/(2*(149.919*'BMP P Tracking Table'!$X103+236.676*'BMP P Tracking Table'!$Y103+726*'BMP P Tracking Table'!$Z103+996.798*'BMP P Tracking Table'!$AA103))))),"")</f>
        <v>0.97199236906357378</v>
      </c>
      <c r="AG103" s="104">
        <f>IFERROR((VLOOKUP(CONCATENATE('BMP P Tracking Table'!$U103," ",'BMP P Tracking Table'!$AD103),'Performance Curves'!$C$1:$L$46,_xlfn.SINGLE(MATCH('BMP P Tracking Table'!$AF103,'Performance Curves'!$D$1:$L$1,1))+2,FALSE)-VLOOKUP(CONCATENATE('BMP P Tracking Table'!$U103," ",'BMP P Tracking Table'!$AD103),'Performance Curves'!$C$1:$L$46,_xlfn.SINGLE(MATCH('BMP P Tracking Table'!$AF103,'Performance Curves'!$D$1:$L$1,1))+1,FALSE)),"")</f>
        <v>1.0000000000000009E-2</v>
      </c>
      <c r="AH103" s="104">
        <f>IFERROR(('BMP P Tracking Table'!$AF103-INDEX('Performance Curves'!$D$1:$L$1,1,MATCH('BMP P Tracking Table'!$AF103,'Performance Curves'!$D$1:$L$1,1)))/(INDEX('Performance Curves'!$D$1:$L$1,1,MATCH('BMP P Tracking Table'!$AF103,'Performance Curves'!$D$1:$L$1,1)+1)-INDEX('Performance Curves'!$D$1:$L$1,1,MATCH('BMP P Tracking Table'!$AF103,'Performance Curves'!$D$1:$L$1,1))),"")</f>
        <v>0.8599618453178689</v>
      </c>
      <c r="AI103" s="103">
        <f>IFERROR(IF('BMP P Tracking Table'!$AF103=2,VLOOKUP(CONCATENATE('BMP P Tracking Table'!$U103," ",'BMP P Tracking Table'!$AD103),'Performance Curves'!$C$1:$L$46,_xlfn.SINGLE(MATCH('BMP P Tracking Table'!$AF103,'Performance Curves'!$D$1:$L$1,1))+1,FALSE),'BMP P Tracking Table'!$AG103*'BMP P Tracking Table'!$AH103+VLOOKUP(CONCATENATE('BMP P Tracking Table'!$U103," ",'BMP P Tracking Table'!$AD103),'Performance Curves'!$C$1:$L$46,_xlfn.SINGLE(MATCH('BMP P Tracking Table'!$AF103,'Performance Curves'!$D$1:$L$1,1))+1,FALSE)),"")</f>
        <v>0.99859961845317868</v>
      </c>
      <c r="AJ103" s="104">
        <f>IFERROR('BMP P Tracking Table'!$AI103*'BMP P Tracking Table'!$AE103,"")</f>
        <v>0.55615008550512879</v>
      </c>
      <c r="AK103" s="65"/>
      <c r="AL103" s="98" t="s">
        <v>62</v>
      </c>
      <c r="AM103" s="98"/>
      <c r="AN103" s="64">
        <v>1</v>
      </c>
      <c r="AO103" s="102">
        <f t="shared" si="16"/>
        <v>0.55615008550512879</v>
      </c>
      <c r="AP103" s="98"/>
      <c r="AQ103" s="98"/>
      <c r="AR103" s="98"/>
      <c r="AS103" s="98"/>
      <c r="AT103" s="98"/>
      <c r="AU103" s="98"/>
      <c r="AV103" s="98"/>
      <c r="AW103" s="65"/>
      <c r="AX103" s="99"/>
      <c r="AY103" s="99"/>
      <c r="AZ103" s="104" t="str">
        <f>IF('BMP P Tracking Table'!$AL103="Yes",IF('BMP P Tracking Table'!$AM103="No",'BMP P Tracking Table'!$V103*VLOOKUP('BMP P Tracking Table'!$R103,'Loading Rates'!$B$1:$L$24,4,FALSE)+IF('BMP P Tracking Table'!$W103="By HSG",'BMP P Tracking Table'!$X103*VLOOKUP('BMP P Tracking Table'!$R103,'Loading Rates'!$B$1:$L$24,6,FALSE)+'BMP P Tracking Table'!$Y103*VLOOKUP('BMP P Tracking Table'!$R103,'Loading Rates'!$B$1:$L$24,7,FALSE)+'BMP P Tracking Table'!$Z103*VLOOKUP('BMP P Tracking Table'!$R103,'Loading Rates'!$B$1:$L$24,8,FALSE)+'BMP P Tracking Table'!$AA103*VLOOKUP('BMP P Tracking Table'!$R103,'Loading Rates'!$B$1:$L$24,9,FALSE),'BMP P Tracking Table'!$AB103*VLOOKUP('BMP P Tracking Table'!$R103,'Loading Rates'!$B$1:$L$24,10,FALSE)),'BMP P Tracking Table'!$AP103*VLOOKUP('BMP P Tracking Table'!$R103,'Loading Rates'!$B$1:$L$24,4,FALSE)+IF('BMP P Tracking Table'!$AQ103="By HSG",'BMP P Tracking Table'!$AR103*VLOOKUP('BMP P Tracking Table'!$R103,'Loading Rates'!$B$1:$L$24,6,FALSE)+'BMP P Tracking Table'!$AS103*VLOOKUP('BMP P Tracking Table'!$R103,'Loading Rates'!$B$1:$L$24,7,FALSE)+'BMP P Tracking Table'!$AT103*VLOOKUP('BMP P Tracking Table'!$R103,'Loading Rates'!$B$1:$L$24,8,FALSE)+'BMP P Tracking Table'!$AU103*VLOOKUP('BMP P Tracking Table'!$R103,'Loading Rates'!$B$1:$L$24,9,FALSE),'BMP P Tracking Table'!$AV103*VLOOKUP('BMP P Tracking Table'!$R103,'Loading Rates'!$B$1:$L$24,10,FALSE))),"")</f>
        <v/>
      </c>
      <c r="BA103" s="104">
        <f>IFERROR(IF('BMP P Tracking Table'!$AM103="Yes",MIN(2,IF('BMP P Tracking Table'!$AQ103="Total Pervious",(-(3630*'BMP P Tracking Table'!$AP103+20.691*'BMP P Tracking Table'!$AV103)+SQRT((3630*'BMP P Tracking Table'!$AP103+20.691*'BMP P Tracking Table'!$AV103)^2-(4*(996.798*'BMP P Tracking Table'!$AV103)*-'BMP P Tracking Table'!$AX103)))/(2*(996.798*'BMP P Tracking Table'!$AV103)),IF(SUM('BMP P Tracking Table'!$AR103:$AU103)=0,'BMP P Tracking Table'!$AV103/(-3630*'BMP P Tracking Table'!$AP103),(-(3630*'BMP P Tracking Table'!$AP103+20.691*'BMP P Tracking Table'!$AU103-216.711*'BMP P Tracking Table'!$AT103-83.853*'BMP P Tracking Table'!$AS103-42.834*'BMP P Tracking Table'!$AR103)+SQRT((3630*'BMP P Tracking Table'!$AP103+20.691*'BMP P Tracking Table'!$AU103-216.711*'BMP P Tracking Table'!$AT103-83.853*'BMP P Tracking Table'!$AS103-42.834*'BMP P Tracking Table'!$AR103)^2-(4*(149.919*'BMP P Tracking Table'!$AR103+236.676*'BMP P Tracking Table'!$AS103+726*'BMP P Tracking Table'!$AT103+996.798*'BMP P Tracking Table'!$AU103)*-'BMP P Tracking Table'!$AX103)))/(2*(149.919*'BMP P Tracking Table'!$AR103+236.676*'BMP P Tracking Table'!$AS103+726*'BMP P Tracking Table'!$AT103+996.798*'BMP P Tracking Table'!$AU103))))),MIN(2,IF('BMP P Tracking Table'!$AQ103="Total Pervious",(-(3630*'BMP P Tracking Table'!$V103+20.691*'BMP P Tracking Table'!$AB103)+SQRT((3630*'BMP P Tracking Table'!$V103+20.691*'BMP P Tracking Table'!$AB103)^2-(4*(996.798*'BMP P Tracking Table'!$AB103)*-'BMP P Tracking Table'!$AX103)))/(2*(996.798*'BMP P Tracking Table'!$AB103)),IF(SUM('BMP P Tracking Table'!$X103:$AA103)=0,'BMP P Tracking Table'!$AX103/(-3630*'BMP P Tracking Table'!$V103),(-(3630*'BMP P Tracking Table'!$V103+20.691*'BMP P Tracking Table'!$AA103-216.711*'BMP P Tracking Table'!$Z103-83.853*'BMP P Tracking Table'!$Y103-42.834*'BMP P Tracking Table'!$X103)+SQRT((3630*'BMP P Tracking Table'!$V103+20.691*'BMP P Tracking Table'!$AA103-216.711*'BMP P Tracking Table'!$Z103-83.853*'BMP P Tracking Table'!$Y103-42.834*'BMP P Tracking Table'!$X103)^2-(4*(149.919*'BMP P Tracking Table'!$X103+236.676*'BMP P Tracking Table'!$Y103+726*'BMP P Tracking Table'!$Z103+996.798*'BMP P Tracking Table'!$AA103)*-'BMP P Tracking Table'!$AX103)))/(2*(149.919*'BMP P Tracking Table'!$X103+236.676*'BMP P Tracking Table'!$Y103+726*'BMP P Tracking Table'!$Z103+996.798*'BMP P Tracking Table'!$AA103)))))),"")</f>
        <v>0</v>
      </c>
      <c r="BB103" s="102" t="str">
        <f>IFERROR((VLOOKUP(CONCATENATE('BMP P Tracking Table'!$AW103," ",'BMP P Tracking Table'!$AY103),'Performance Curves'!$C$1:$L$46,_xlfn.SINGLE(MATCH('BMP P Tracking Table'!$BA103,'Performance Curves'!$D$1:$L$1,1))+2,FALSE)-VLOOKUP(CONCATENATE('BMP P Tracking Table'!$AW103," ",'BMP P Tracking Table'!$AY103),'Performance Curves'!$C$1:$L$46,_xlfn.SINGLE(MATCH('BMP P Tracking Table'!$BA103,'Performance Curves'!$D$1:$L$1,1))+1,FALSE)),"")</f>
        <v/>
      </c>
      <c r="BC103" s="102">
        <f>IFERROR(('BMP P Tracking Table'!$BA103-INDEX('Performance Curves'!$D$1:$L$1,1,MATCH('BMP P Tracking Table'!$BA103,'Performance Curves'!$D$1:$L$1,1)))/(INDEX('Performance Curves'!$D$1:$L$1,1,MATCH('BMP P Tracking Table'!$BA103,'Performance Curves'!$D$1:$L$1,1)+1)-INDEX('Performance Curves'!$D$1:$L$1,1,MATCH('BMP P Tracking Table'!$BA103,'Performance Curves'!$D$1:$L$1,1))),"")</f>
        <v>0</v>
      </c>
      <c r="BD103" s="103" t="str" cm="1">
        <f t="array" ref="BD103">IFERROR(IF('BMP P Tracking Table'!$BA103=2,VLOOKUP(CONCATENATE('BMP P Tracking Table'!$AW103," ",'BMP P Tracking Table'!$AY103),'Performance Curves'!$C$1:$L$44,_xlfn.SINGLE(MATCH('BMP P Tracking Table'!$BA103,'Performance Curves'!$D$1:$L$1,1))+1,FALSE),'BMP P Tracking Table'!$BB103*'BMP P Tracking Table'!$BC103+VLOOKUP(CONCATENATE('BMP P Tracking Table'!$AW103," ",'BMP P Tracking Table'!$AY103),'Performance Curves'!$C$1:$L$44,_xlfn.SINGLE(MATCH('BMP P Tracking Table'!$BA103,'Performance Curves'!$D$1:$L$1,1))+1,FALSE)),"")</f>
        <v/>
      </c>
      <c r="BE103" s="104" t="str">
        <f>IFERROR('BMP P Tracking Table'!$BD103*'BMP P Tracking Table'!$AZ103,"")</f>
        <v/>
      </c>
      <c r="BF103" s="98"/>
      <c r="BG103" s="37">
        <f t="shared" si="17"/>
        <v>0</v>
      </c>
      <c r="BI103" s="36" t="str">
        <f t="shared" si="7"/>
        <v>EJ-WR-016</v>
      </c>
      <c r="BJ103" s="36" t="str">
        <f t="shared" si="8"/>
        <v>CB534 Jackson and Wrisley drywell</v>
      </c>
      <c r="BK103" s="36" t="s">
        <v>841</v>
      </c>
      <c r="BP103" s="36" t="s">
        <v>874</v>
      </c>
      <c r="BQ103" s="36">
        <f t="shared" ref="BQ103:BQ130" si="18">V103+IF(W103="By HSG",X103+Y103+Z103+AA103,AB103)</f>
        <v>0.97</v>
      </c>
      <c r="BR103" s="36">
        <f t="shared" ref="BR103:BR130" si="19">IF(W103="By HSG",X103+Y103+Z103+AA103,AB103)</f>
        <v>0.48</v>
      </c>
      <c r="BS103" s="101">
        <f t="shared" ref="BS103:BS130" si="20">V103/BQ103</f>
        <v>0.50515463917525771</v>
      </c>
      <c r="BT103" s="238">
        <f t="shared" ref="BT103:BT130" si="21">K103/V103</f>
        <v>72653.061224489793</v>
      </c>
      <c r="BU103" s="238">
        <f t="shared" ref="BU103:BU130" si="22">K103/AO103</f>
        <v>64011.497845345017</v>
      </c>
    </row>
    <row r="104" spans="1:73">
      <c r="B104" s="65" t="s">
        <v>757</v>
      </c>
      <c r="C104" s="65" t="s">
        <v>689</v>
      </c>
      <c r="D104" s="65" t="s">
        <v>325</v>
      </c>
      <c r="E104" s="65" t="s">
        <v>10</v>
      </c>
      <c r="F104" s="94"/>
      <c r="G104" s="94"/>
      <c r="H104" s="65"/>
      <c r="I104" s="65"/>
      <c r="J104" s="65" t="s">
        <v>66</v>
      </c>
      <c r="K104" s="95">
        <v>10000</v>
      </c>
      <c r="L104" s="65" t="s">
        <v>49</v>
      </c>
      <c r="M104" s="65"/>
      <c r="N104" s="65"/>
      <c r="O104" s="65"/>
      <c r="P104" s="65"/>
      <c r="Q104" s="65" t="s">
        <v>119</v>
      </c>
      <c r="R104" s="65" t="s">
        <v>146</v>
      </c>
      <c r="S104" s="65" t="str">
        <f>IFERROR(VLOOKUP('BMP P Tracking Table'!$R104,Dropdowns!$Q$3:$R$23,2,FALSE),"")</f>
        <v>Main Lake</v>
      </c>
      <c r="T104" s="65" t="s">
        <v>66</v>
      </c>
      <c r="U104" s="65" t="s">
        <v>570</v>
      </c>
      <c r="V104" s="65">
        <v>0.19</v>
      </c>
      <c r="W104" s="65" t="s">
        <v>220</v>
      </c>
      <c r="X104" s="65">
        <v>0.19</v>
      </c>
      <c r="Y104" s="65">
        <v>0</v>
      </c>
      <c r="Z104" s="65">
        <v>0</v>
      </c>
      <c r="AA104" s="65">
        <v>0</v>
      </c>
      <c r="AB104" s="65"/>
      <c r="AC104" s="97"/>
      <c r="AD104" s="65" t="s">
        <v>206</v>
      </c>
      <c r="AE104" s="104">
        <f>IFERROR('BMP P Tracking Table'!$V104*VLOOKUP('BMP P Tracking Table'!$R104,'Loading Rates'!$B$1:$L$24,4,FALSE)+IF('BMP P Tracking Table'!$W104="By HSG",'BMP P Tracking Table'!$X104*VLOOKUP('BMP P Tracking Table'!$R104,'Loading Rates'!$B$1:$L$24,6,FALSE)+'BMP P Tracking Table'!$Y104*VLOOKUP('BMP P Tracking Table'!$R104,'Loading Rates'!$B$1:$L$24,7,FALSE)+'BMP P Tracking Table'!$Z104*VLOOKUP('BMP P Tracking Table'!$R104,'Loading Rates'!$B$1:$L$24,8,FALSE)+'BMP P Tracking Table'!$AA104*VLOOKUP('BMP P Tracking Table'!$R104,'Loading Rates'!$B$1:$L$24,9,FALSE),'BMP P Tracking Table'!$AB104*VLOOKUP('BMP P Tracking Table'!$R104,'Loading Rates'!$B$1:$L$24,10,FALSE)),"")</f>
        <v>0.21603</v>
      </c>
      <c r="AF104" s="104">
        <f>IFERROR(MIN(2,IF('BMP P Tracking Table'!$W104="Total Pervious",(-(3630*'BMP P Tracking Table'!$V104+20.691*'BMP P Tracking Table'!$AB104)+SQRT((3630*'BMP P Tracking Table'!$V104+20.691*'BMP P Tracking Table'!$AB104)^2-(4*(996.798*'BMP P Tracking Table'!$AB104)*-'BMP P Tracking Table'!$AC104)))/(2*(996.798*'BMP P Tracking Table'!$AB104)),IF(SUM('BMP P Tracking Table'!$X104:$AA104)=0,'BMP P Tracking Table'!$AC104/(-3630*'BMP P Tracking Table'!$V104),(-(3630*'BMP P Tracking Table'!$V104+20.691*'BMP P Tracking Table'!$AA104-216.711*'BMP P Tracking Table'!$Z104-83.853*'BMP P Tracking Table'!$Y104-42.834*'BMP P Tracking Table'!$X104)+SQRT((3630*'BMP P Tracking Table'!$V104+20.691*'BMP P Tracking Table'!$AA104-216.711*'BMP P Tracking Table'!$Z104-83.853*'BMP P Tracking Table'!$Y104-42.834*'BMP P Tracking Table'!$X104)^2-(4*(149.919*'BMP P Tracking Table'!$X104+236.676*'BMP P Tracking Table'!$Y104+726*'BMP P Tracking Table'!$Z104+996.798*'BMP P Tracking Table'!$AA104)*-'BMP P Tracking Table'!$AC104)))/(2*(149.919*'BMP P Tracking Table'!$X104+236.676*'BMP P Tracking Table'!$Y104+726*'BMP P Tracking Table'!$Z104+996.798*'BMP P Tracking Table'!$AA104))))),"")</f>
        <v>0</v>
      </c>
      <c r="AG104" s="104" t="str">
        <f>IFERROR((VLOOKUP(CONCATENATE('BMP P Tracking Table'!$U104," ",'BMP P Tracking Table'!$AD104),'Performance Curves'!$C$1:$L$46,_xlfn.SINGLE(MATCH('BMP P Tracking Table'!$AF104,'Performance Curves'!$D$1:$L$1,1))+2,FALSE)-VLOOKUP(CONCATENATE('BMP P Tracking Table'!$U104," ",'BMP P Tracking Table'!$AD104),'Performance Curves'!$C$1:$L$46,_xlfn.SINGLE(MATCH('BMP P Tracking Table'!$AF104,'Performance Curves'!$D$1:$L$1,1))+1,FALSE)),"")</f>
        <v/>
      </c>
      <c r="AH104" s="104">
        <f>IFERROR(('BMP P Tracking Table'!$AF104-INDEX('Performance Curves'!$D$1:$L$1,1,MATCH('BMP P Tracking Table'!$AF104,'Performance Curves'!$D$1:$L$1,1)))/(INDEX('Performance Curves'!$D$1:$L$1,1,MATCH('BMP P Tracking Table'!$AF104,'Performance Curves'!$D$1:$L$1,1)+1)-INDEX('Performance Curves'!$D$1:$L$1,1,MATCH('BMP P Tracking Table'!$AF104,'Performance Curves'!$D$1:$L$1,1))),"")</f>
        <v>0</v>
      </c>
      <c r="AI104" s="103" t="str">
        <f>IFERROR(IF('BMP P Tracking Table'!$AF104=2,VLOOKUP(CONCATENATE('BMP P Tracking Table'!$U104," ",'BMP P Tracking Table'!$AD104),'Performance Curves'!$C$1:$L$46,_xlfn.SINGLE(MATCH('BMP P Tracking Table'!$AF104,'Performance Curves'!$D$1:$L$1,1))+1,FALSE),'BMP P Tracking Table'!$AG104*'BMP P Tracking Table'!$AH104+VLOOKUP(CONCATENATE('BMP P Tracking Table'!$U104," ",'BMP P Tracking Table'!$AD104),'Performance Curves'!$C$1:$L$46,_xlfn.SINGLE(MATCH('BMP P Tracking Table'!$AF104,'Performance Curves'!$D$1:$L$1,1))+1,FALSE)),"")</f>
        <v/>
      </c>
      <c r="AJ104" s="104" t="str">
        <f>IFERROR('BMP P Tracking Table'!$AI104*'BMP P Tracking Table'!$AE104,"")</f>
        <v/>
      </c>
      <c r="AK104" s="65">
        <f>0.21</f>
        <v>0.21</v>
      </c>
      <c r="AL104" s="98" t="s">
        <v>62</v>
      </c>
      <c r="AM104" s="98"/>
      <c r="AN104" s="64">
        <v>1</v>
      </c>
      <c r="AO104" s="102">
        <f t="shared" si="16"/>
        <v>0.21</v>
      </c>
      <c r="AP104" s="98"/>
      <c r="AQ104" s="98"/>
      <c r="AR104" s="98"/>
      <c r="AS104" s="98"/>
      <c r="AT104" s="98"/>
      <c r="AU104" s="98"/>
      <c r="AV104" s="98"/>
      <c r="AW104" s="65"/>
      <c r="AX104" s="99"/>
      <c r="AY104" s="99"/>
      <c r="AZ104" s="104" t="str">
        <f>IF('BMP P Tracking Table'!$AL104="Yes",IF('BMP P Tracking Table'!$AM104="No",'BMP P Tracking Table'!$V104*VLOOKUP('BMP P Tracking Table'!$R104,'Loading Rates'!$B$1:$L$24,4,FALSE)+IF('BMP P Tracking Table'!$W104="By HSG",'BMP P Tracking Table'!$X104*VLOOKUP('BMP P Tracking Table'!$R104,'Loading Rates'!$B$1:$L$24,6,FALSE)+'BMP P Tracking Table'!$Y104*VLOOKUP('BMP P Tracking Table'!$R104,'Loading Rates'!$B$1:$L$24,7,FALSE)+'BMP P Tracking Table'!$Z104*VLOOKUP('BMP P Tracking Table'!$R104,'Loading Rates'!$B$1:$L$24,8,FALSE)+'BMP P Tracking Table'!$AA104*VLOOKUP('BMP P Tracking Table'!$R104,'Loading Rates'!$B$1:$L$24,9,FALSE),'BMP P Tracking Table'!$AB104*VLOOKUP('BMP P Tracking Table'!$R104,'Loading Rates'!$B$1:$L$24,10,FALSE)),'BMP P Tracking Table'!$AP104*VLOOKUP('BMP P Tracking Table'!$R104,'Loading Rates'!$B$1:$L$24,4,FALSE)+IF('BMP P Tracking Table'!$AQ104="By HSG",'BMP P Tracking Table'!$AR104*VLOOKUP('BMP P Tracking Table'!$R104,'Loading Rates'!$B$1:$L$24,6,FALSE)+'BMP P Tracking Table'!$AS104*VLOOKUP('BMP P Tracking Table'!$R104,'Loading Rates'!$B$1:$L$24,7,FALSE)+'BMP P Tracking Table'!$AT104*VLOOKUP('BMP P Tracking Table'!$R104,'Loading Rates'!$B$1:$L$24,8,FALSE)+'BMP P Tracking Table'!$AU104*VLOOKUP('BMP P Tracking Table'!$R104,'Loading Rates'!$B$1:$L$24,9,FALSE),'BMP P Tracking Table'!$AV104*VLOOKUP('BMP P Tracking Table'!$R104,'Loading Rates'!$B$1:$L$24,10,FALSE))),"")</f>
        <v/>
      </c>
      <c r="BA104" s="104">
        <f>IFERROR(IF('BMP P Tracking Table'!$AM104="Yes",MIN(2,IF('BMP P Tracking Table'!$AQ104="Total Pervious",(-(3630*'BMP P Tracking Table'!$AP104+20.691*'BMP P Tracking Table'!$AV104)+SQRT((3630*'BMP P Tracking Table'!$AP104+20.691*'BMP P Tracking Table'!$AV104)^2-(4*(996.798*'BMP P Tracking Table'!$AV104)*-'BMP P Tracking Table'!$AX104)))/(2*(996.798*'BMP P Tracking Table'!$AV104)),IF(SUM('BMP P Tracking Table'!$AR104:$AU104)=0,'BMP P Tracking Table'!$AV104/(-3630*'BMP P Tracking Table'!$AP104),(-(3630*'BMP P Tracking Table'!$AP104+20.691*'BMP P Tracking Table'!$AU104-216.711*'BMP P Tracking Table'!$AT104-83.853*'BMP P Tracking Table'!$AS104-42.834*'BMP P Tracking Table'!$AR104)+SQRT((3630*'BMP P Tracking Table'!$AP104+20.691*'BMP P Tracking Table'!$AU104-216.711*'BMP P Tracking Table'!$AT104-83.853*'BMP P Tracking Table'!$AS104-42.834*'BMP P Tracking Table'!$AR104)^2-(4*(149.919*'BMP P Tracking Table'!$AR104+236.676*'BMP P Tracking Table'!$AS104+726*'BMP P Tracking Table'!$AT104+996.798*'BMP P Tracking Table'!$AU104)*-'BMP P Tracking Table'!$AX104)))/(2*(149.919*'BMP P Tracking Table'!$AR104+236.676*'BMP P Tracking Table'!$AS104+726*'BMP P Tracking Table'!$AT104+996.798*'BMP P Tracking Table'!$AU104))))),MIN(2,IF('BMP P Tracking Table'!$AQ104="Total Pervious",(-(3630*'BMP P Tracking Table'!$V104+20.691*'BMP P Tracking Table'!$AB104)+SQRT((3630*'BMP P Tracking Table'!$V104+20.691*'BMP P Tracking Table'!$AB104)^2-(4*(996.798*'BMP P Tracking Table'!$AB104)*-'BMP P Tracking Table'!$AX104)))/(2*(996.798*'BMP P Tracking Table'!$AB104)),IF(SUM('BMP P Tracking Table'!$X104:$AA104)=0,'BMP P Tracking Table'!$AX104/(-3630*'BMP P Tracking Table'!$V104),(-(3630*'BMP P Tracking Table'!$V104+20.691*'BMP P Tracking Table'!$AA104-216.711*'BMP P Tracking Table'!$Z104-83.853*'BMP P Tracking Table'!$Y104-42.834*'BMP P Tracking Table'!$X104)+SQRT((3630*'BMP P Tracking Table'!$V104+20.691*'BMP P Tracking Table'!$AA104-216.711*'BMP P Tracking Table'!$Z104-83.853*'BMP P Tracking Table'!$Y104-42.834*'BMP P Tracking Table'!$X104)^2-(4*(149.919*'BMP P Tracking Table'!$X104+236.676*'BMP P Tracking Table'!$Y104+726*'BMP P Tracking Table'!$Z104+996.798*'BMP P Tracking Table'!$AA104)*-'BMP P Tracking Table'!$AX104)))/(2*(149.919*'BMP P Tracking Table'!$X104+236.676*'BMP P Tracking Table'!$Y104+726*'BMP P Tracking Table'!$Z104+996.798*'BMP P Tracking Table'!$AA104)))))),"")</f>
        <v>0</v>
      </c>
      <c r="BB104" s="102" t="str">
        <f>IFERROR((VLOOKUP(CONCATENATE('BMP P Tracking Table'!$AW104," ",'BMP P Tracking Table'!$AY104),'Performance Curves'!$C$1:$L$46,_xlfn.SINGLE(MATCH('BMP P Tracking Table'!$BA104,'Performance Curves'!$D$1:$L$1,1))+2,FALSE)-VLOOKUP(CONCATENATE('BMP P Tracking Table'!$AW104," ",'BMP P Tracking Table'!$AY104),'Performance Curves'!$C$1:$L$46,_xlfn.SINGLE(MATCH('BMP P Tracking Table'!$BA104,'Performance Curves'!$D$1:$L$1,1))+1,FALSE)),"")</f>
        <v/>
      </c>
      <c r="BC104" s="102">
        <f>IFERROR(('BMP P Tracking Table'!$BA104-INDEX('Performance Curves'!$D$1:$L$1,1,MATCH('BMP P Tracking Table'!$BA104,'Performance Curves'!$D$1:$L$1,1)))/(INDEX('Performance Curves'!$D$1:$L$1,1,MATCH('BMP P Tracking Table'!$BA104,'Performance Curves'!$D$1:$L$1,1)+1)-INDEX('Performance Curves'!$D$1:$L$1,1,MATCH('BMP P Tracking Table'!$BA104,'Performance Curves'!$D$1:$L$1,1))),"")</f>
        <v>0</v>
      </c>
      <c r="BD104" s="103" t="str" cm="1">
        <f t="array" ref="BD104">IFERROR(IF('BMP P Tracking Table'!$BA104=2,VLOOKUP(CONCATENATE('BMP P Tracking Table'!$AW104," ",'BMP P Tracking Table'!$AY104),'Performance Curves'!$C$1:$L$44,_xlfn.SINGLE(MATCH('BMP P Tracking Table'!$BA104,'Performance Curves'!$D$1:$L$1,1))+1,FALSE),'BMP P Tracking Table'!$BB104*'BMP P Tracking Table'!$BC104+VLOOKUP(CONCATENATE('BMP P Tracking Table'!$AW104," ",'BMP P Tracking Table'!$AY104),'Performance Curves'!$C$1:$L$44,_xlfn.SINGLE(MATCH('BMP P Tracking Table'!$BA104,'Performance Curves'!$D$1:$L$1,1))+1,FALSE)),"")</f>
        <v/>
      </c>
      <c r="BE104" s="104" t="str">
        <f>IFERROR('BMP P Tracking Table'!$BD104*'BMP P Tracking Table'!$AZ104,"")</f>
        <v/>
      </c>
      <c r="BF104" s="98"/>
      <c r="BG104" s="37">
        <f t="shared" si="17"/>
        <v>0</v>
      </c>
      <c r="BI104" s="36" t="str">
        <f t="shared" si="7"/>
        <v>EJ-WR-026</v>
      </c>
      <c r="BJ104" s="36" t="str">
        <f t="shared" si="8"/>
        <v>Loubier Drive cul de sacs impervious removal</v>
      </c>
      <c r="BK104" s="36" t="s">
        <v>800</v>
      </c>
      <c r="BL104" s="36" t="s">
        <v>820</v>
      </c>
      <c r="BM104" s="36" t="s">
        <v>821</v>
      </c>
      <c r="BO104" s="36" t="s">
        <v>819</v>
      </c>
      <c r="BP104" s="36" t="s">
        <v>874</v>
      </c>
      <c r="BQ104" s="36">
        <f t="shared" si="18"/>
        <v>0.38</v>
      </c>
      <c r="BR104" s="36">
        <f t="shared" si="19"/>
        <v>0.19</v>
      </c>
      <c r="BS104" s="101">
        <f t="shared" si="20"/>
        <v>0.5</v>
      </c>
      <c r="BT104" s="238">
        <f t="shared" si="21"/>
        <v>52631.57894736842</v>
      </c>
      <c r="BU104" s="238">
        <f t="shared" si="22"/>
        <v>47619.047619047618</v>
      </c>
    </row>
    <row r="105" spans="1:73">
      <c r="B105" s="65" t="s">
        <v>748</v>
      </c>
      <c r="C105" s="65" t="s">
        <v>685</v>
      </c>
      <c r="D105" s="65" t="s">
        <v>325</v>
      </c>
      <c r="E105" s="65" t="s">
        <v>10</v>
      </c>
      <c r="F105" s="94"/>
      <c r="G105" s="94"/>
      <c r="H105" s="65"/>
      <c r="I105" s="65"/>
      <c r="J105" s="65" t="s">
        <v>66</v>
      </c>
      <c r="K105" s="95">
        <f>ROUNDUP((VLOOKUP($U105,Dropdowns!$G$3:$I$17, 3, FALSE))*$AC105,-2)</f>
        <v>59100</v>
      </c>
      <c r="L105" s="65" t="s">
        <v>49</v>
      </c>
      <c r="M105" s="65"/>
      <c r="N105" s="65"/>
      <c r="O105" s="65"/>
      <c r="P105" s="65"/>
      <c r="Q105" s="65" t="s">
        <v>119</v>
      </c>
      <c r="R105" s="65" t="s">
        <v>146</v>
      </c>
      <c r="S105" s="65" t="str">
        <f>IFERROR(VLOOKUP('BMP P Tracking Table'!$R105,Dropdowns!$Q$3:$R$23,2,FALSE),"")</f>
        <v>Main Lake</v>
      </c>
      <c r="T105" s="65" t="s">
        <v>66</v>
      </c>
      <c r="U105" s="65" t="s">
        <v>47</v>
      </c>
      <c r="V105" s="65">
        <f>0.38+0.43</f>
        <v>0.81</v>
      </c>
      <c r="W105" s="65" t="s">
        <v>220</v>
      </c>
      <c r="X105" s="65">
        <v>0.88</v>
      </c>
      <c r="Y105" s="65">
        <v>0</v>
      </c>
      <c r="Z105" s="65">
        <v>0</v>
      </c>
      <c r="AA105" s="65">
        <v>0</v>
      </c>
      <c r="AB105" s="65"/>
      <c r="AC105" s="97">
        <f>((1*(0.05+0.009*((V105/(V105+X105))*100))*(V105+X105))/12)*43560</f>
        <v>2953.0050000000001</v>
      </c>
      <c r="AD105" s="65" t="s">
        <v>205</v>
      </c>
      <c r="AE105" s="104">
        <f>IFERROR('BMP P Tracking Table'!$V105*VLOOKUP('BMP P Tracking Table'!$R105,'Loading Rates'!$B$1:$L$24,4,FALSE)+IF('BMP P Tracking Table'!$W105="By HSG",'BMP P Tracking Table'!$X105*VLOOKUP('BMP P Tracking Table'!$R105,'Loading Rates'!$B$1:$L$24,6,FALSE)+'BMP P Tracking Table'!$Y105*VLOOKUP('BMP P Tracking Table'!$R105,'Loading Rates'!$B$1:$L$24,7,FALSE)+'BMP P Tracking Table'!$Z105*VLOOKUP('BMP P Tracking Table'!$R105,'Loading Rates'!$B$1:$L$24,8,FALSE)+'BMP P Tracking Table'!$AA105*VLOOKUP('BMP P Tracking Table'!$R105,'Loading Rates'!$B$1:$L$24,9,FALSE),'BMP P Tracking Table'!$AB105*VLOOKUP('BMP P Tracking Table'!$R105,'Loading Rates'!$B$1:$L$24,10,FALSE)),"")</f>
        <v>0.92237000000000002</v>
      </c>
      <c r="AF105" s="104">
        <f>IFERROR(MIN(2,IF('BMP P Tracking Table'!$W105="Total Pervious",(-(3630*'BMP P Tracking Table'!$V105+20.691*'BMP P Tracking Table'!$AB105)+SQRT((3630*'BMP P Tracking Table'!$V105+20.691*'BMP P Tracking Table'!$AB105)^2-(4*(996.798*'BMP P Tracking Table'!$AB105)*-'BMP P Tracking Table'!$AC105)))/(2*(996.798*'BMP P Tracking Table'!$AB105)),IF(SUM('BMP P Tracking Table'!$X105:$AA105)=0,'BMP P Tracking Table'!$AC105/(-3630*'BMP P Tracking Table'!$V105),(-(3630*'BMP P Tracking Table'!$V105+20.691*'BMP P Tracking Table'!$AA105-216.711*'BMP P Tracking Table'!$Z105-83.853*'BMP P Tracking Table'!$Y105-42.834*'BMP P Tracking Table'!$X105)+SQRT((3630*'BMP P Tracking Table'!$V105+20.691*'BMP P Tracking Table'!$AA105-216.711*'BMP P Tracking Table'!$Z105-83.853*'BMP P Tracking Table'!$Y105-42.834*'BMP P Tracking Table'!$X105)^2-(4*(149.919*'BMP P Tracking Table'!$X105+236.676*'BMP P Tracking Table'!$Y105+726*'BMP P Tracking Table'!$Z105+996.798*'BMP P Tracking Table'!$AA105)*-'BMP P Tracking Table'!$AC105)))/(2*(149.919*'BMP P Tracking Table'!$X105+236.676*'BMP P Tracking Table'!$Y105+726*'BMP P Tracking Table'!$Z105+996.798*'BMP P Tracking Table'!$AA105))))),"")</f>
        <v>0.97422441458950804</v>
      </c>
      <c r="AG105" s="104">
        <f>IFERROR((VLOOKUP(CONCATENATE('BMP P Tracking Table'!$U105," ",'BMP P Tracking Table'!$AD105),'Performance Curves'!$C$1:$L$46,_xlfn.SINGLE(MATCH('BMP P Tracking Table'!$AF105,'Performance Curves'!$D$1:$L$1,1))+2,FALSE)-VLOOKUP(CONCATENATE('BMP P Tracking Table'!$U105," ",'BMP P Tracking Table'!$AD105),'Performance Curves'!$C$1:$L$46,_xlfn.SINGLE(MATCH('BMP P Tracking Table'!$AF105,'Performance Curves'!$D$1:$L$1,1))+1,FALSE)),"")</f>
        <v>1.0000000000000009E-2</v>
      </c>
      <c r="AH105" s="104">
        <f>IFERROR(('BMP P Tracking Table'!$AF105-INDEX('Performance Curves'!$D$1:$L$1,1,MATCH('BMP P Tracking Table'!$AF105,'Performance Curves'!$D$1:$L$1,1)))/(INDEX('Performance Curves'!$D$1:$L$1,1,MATCH('BMP P Tracking Table'!$AF105,'Performance Curves'!$D$1:$L$1,1)+1)-INDEX('Performance Curves'!$D$1:$L$1,1,MATCH('BMP P Tracking Table'!$AF105,'Performance Curves'!$D$1:$L$1,1))),"")</f>
        <v>0.87112207294754018</v>
      </c>
      <c r="AI105" s="103">
        <f>IFERROR(IF('BMP P Tracking Table'!$AF105=2,VLOOKUP(CONCATENATE('BMP P Tracking Table'!$U105," ",'BMP P Tracking Table'!$AD105),'Performance Curves'!$C$1:$L$46,_xlfn.SINGLE(MATCH('BMP P Tracking Table'!$AF105,'Performance Curves'!$D$1:$L$1,1))+1,FALSE),'BMP P Tracking Table'!$AG105*'BMP P Tracking Table'!$AH105+VLOOKUP(CONCATENATE('BMP P Tracking Table'!$U105," ",'BMP P Tracking Table'!$AD105),'Performance Curves'!$C$1:$L$46,_xlfn.SINGLE(MATCH('BMP P Tracking Table'!$AF105,'Performance Curves'!$D$1:$L$1,1))+1,FALSE)),"")</f>
        <v>0.99871122072947538</v>
      </c>
      <c r="AJ105" s="104">
        <f>IFERROR('BMP P Tracking Table'!$AI105*'BMP P Tracking Table'!$AE105,"")</f>
        <v>0.92118126866424621</v>
      </c>
      <c r="AK105" s="65"/>
      <c r="AL105" s="98" t="s">
        <v>62</v>
      </c>
      <c r="AM105" s="98"/>
      <c r="AN105" s="64">
        <v>1</v>
      </c>
      <c r="AO105" s="102">
        <f t="shared" si="16"/>
        <v>0.92118126866424621</v>
      </c>
      <c r="AP105" s="98"/>
      <c r="AQ105" s="98"/>
      <c r="AR105" s="98"/>
      <c r="AS105" s="98"/>
      <c r="AT105" s="98"/>
      <c r="AU105" s="98"/>
      <c r="AV105" s="98"/>
      <c r="AW105" s="65"/>
      <c r="AX105" s="99"/>
      <c r="AY105" s="99"/>
      <c r="AZ105" s="104" t="str">
        <f>IF('BMP P Tracking Table'!$AL105="Yes",IF('BMP P Tracking Table'!$AM105="No",'BMP P Tracking Table'!$V105*VLOOKUP('BMP P Tracking Table'!$R105,'Loading Rates'!$B$1:$L$24,4,FALSE)+IF('BMP P Tracking Table'!$W105="By HSG",'BMP P Tracking Table'!$X105*VLOOKUP('BMP P Tracking Table'!$R105,'Loading Rates'!$B$1:$L$24,6,FALSE)+'BMP P Tracking Table'!$Y105*VLOOKUP('BMP P Tracking Table'!$R105,'Loading Rates'!$B$1:$L$24,7,FALSE)+'BMP P Tracking Table'!$Z105*VLOOKUP('BMP P Tracking Table'!$R105,'Loading Rates'!$B$1:$L$24,8,FALSE)+'BMP P Tracking Table'!$AA105*VLOOKUP('BMP P Tracking Table'!$R105,'Loading Rates'!$B$1:$L$24,9,FALSE),'BMP P Tracking Table'!$AB105*VLOOKUP('BMP P Tracking Table'!$R105,'Loading Rates'!$B$1:$L$24,10,FALSE)),'BMP P Tracking Table'!$AP105*VLOOKUP('BMP P Tracking Table'!$R105,'Loading Rates'!$B$1:$L$24,4,FALSE)+IF('BMP P Tracking Table'!$AQ105="By HSG",'BMP P Tracking Table'!$AR105*VLOOKUP('BMP P Tracking Table'!$R105,'Loading Rates'!$B$1:$L$24,6,FALSE)+'BMP P Tracking Table'!$AS105*VLOOKUP('BMP P Tracking Table'!$R105,'Loading Rates'!$B$1:$L$24,7,FALSE)+'BMP P Tracking Table'!$AT105*VLOOKUP('BMP P Tracking Table'!$R105,'Loading Rates'!$B$1:$L$24,8,FALSE)+'BMP P Tracking Table'!$AU105*VLOOKUP('BMP P Tracking Table'!$R105,'Loading Rates'!$B$1:$L$24,9,FALSE),'BMP P Tracking Table'!$AV105*VLOOKUP('BMP P Tracking Table'!$R105,'Loading Rates'!$B$1:$L$24,10,FALSE))),"")</f>
        <v/>
      </c>
      <c r="BA105" s="104">
        <f>IFERROR(IF('BMP P Tracking Table'!$AM105="Yes",MIN(2,IF('BMP P Tracking Table'!$AQ105="Total Pervious",(-(3630*'BMP P Tracking Table'!$AP105+20.691*'BMP P Tracking Table'!$AV105)+SQRT((3630*'BMP P Tracking Table'!$AP105+20.691*'BMP P Tracking Table'!$AV105)^2-(4*(996.798*'BMP P Tracking Table'!$AV105)*-'BMP P Tracking Table'!$AX105)))/(2*(996.798*'BMP P Tracking Table'!$AV105)),IF(SUM('BMP P Tracking Table'!$AR105:$AU105)=0,'BMP P Tracking Table'!$AV105/(-3630*'BMP P Tracking Table'!$AP105),(-(3630*'BMP P Tracking Table'!$AP105+20.691*'BMP P Tracking Table'!$AU105-216.711*'BMP P Tracking Table'!$AT105-83.853*'BMP P Tracking Table'!$AS105-42.834*'BMP P Tracking Table'!$AR105)+SQRT((3630*'BMP P Tracking Table'!$AP105+20.691*'BMP P Tracking Table'!$AU105-216.711*'BMP P Tracking Table'!$AT105-83.853*'BMP P Tracking Table'!$AS105-42.834*'BMP P Tracking Table'!$AR105)^2-(4*(149.919*'BMP P Tracking Table'!$AR105+236.676*'BMP P Tracking Table'!$AS105+726*'BMP P Tracking Table'!$AT105+996.798*'BMP P Tracking Table'!$AU105)*-'BMP P Tracking Table'!$AX105)))/(2*(149.919*'BMP P Tracking Table'!$AR105+236.676*'BMP P Tracking Table'!$AS105+726*'BMP P Tracking Table'!$AT105+996.798*'BMP P Tracking Table'!$AU105))))),MIN(2,IF('BMP P Tracking Table'!$AQ105="Total Pervious",(-(3630*'BMP P Tracking Table'!$V105+20.691*'BMP P Tracking Table'!$AB105)+SQRT((3630*'BMP P Tracking Table'!$V105+20.691*'BMP P Tracking Table'!$AB105)^2-(4*(996.798*'BMP P Tracking Table'!$AB105)*-'BMP P Tracking Table'!$AX105)))/(2*(996.798*'BMP P Tracking Table'!$AB105)),IF(SUM('BMP P Tracking Table'!$X105:$AA105)=0,'BMP P Tracking Table'!$AX105/(-3630*'BMP P Tracking Table'!$V105),(-(3630*'BMP P Tracking Table'!$V105+20.691*'BMP P Tracking Table'!$AA105-216.711*'BMP P Tracking Table'!$Z105-83.853*'BMP P Tracking Table'!$Y105-42.834*'BMP P Tracking Table'!$X105)+SQRT((3630*'BMP P Tracking Table'!$V105+20.691*'BMP P Tracking Table'!$AA105-216.711*'BMP P Tracking Table'!$Z105-83.853*'BMP P Tracking Table'!$Y105-42.834*'BMP P Tracking Table'!$X105)^2-(4*(149.919*'BMP P Tracking Table'!$X105+236.676*'BMP P Tracking Table'!$Y105+726*'BMP P Tracking Table'!$Z105+996.798*'BMP P Tracking Table'!$AA105)*-'BMP P Tracking Table'!$AX105)))/(2*(149.919*'BMP P Tracking Table'!$X105+236.676*'BMP P Tracking Table'!$Y105+726*'BMP P Tracking Table'!$Z105+996.798*'BMP P Tracking Table'!$AA105)))))),"")</f>
        <v>0</v>
      </c>
      <c r="BB105" s="102" t="str">
        <f>IFERROR((VLOOKUP(CONCATENATE('BMP P Tracking Table'!$AW105," ",'BMP P Tracking Table'!$AY105),'Performance Curves'!$C$1:$L$46,_xlfn.SINGLE(MATCH('BMP P Tracking Table'!$BA105,'Performance Curves'!$D$1:$L$1,1))+2,FALSE)-VLOOKUP(CONCATENATE('BMP P Tracking Table'!$AW105," ",'BMP P Tracking Table'!$AY105),'Performance Curves'!$C$1:$L$46,_xlfn.SINGLE(MATCH('BMP P Tracking Table'!$BA105,'Performance Curves'!$D$1:$L$1,1))+1,FALSE)),"")</f>
        <v/>
      </c>
      <c r="BC105" s="102">
        <f>IFERROR(('BMP P Tracking Table'!$BA105-INDEX('Performance Curves'!$D$1:$L$1,1,MATCH('BMP P Tracking Table'!$BA105,'Performance Curves'!$D$1:$L$1,1)))/(INDEX('Performance Curves'!$D$1:$L$1,1,MATCH('BMP P Tracking Table'!$BA105,'Performance Curves'!$D$1:$L$1,1)+1)-INDEX('Performance Curves'!$D$1:$L$1,1,MATCH('BMP P Tracking Table'!$BA105,'Performance Curves'!$D$1:$L$1,1))),"")</f>
        <v>0</v>
      </c>
      <c r="BD105" s="103" t="str" cm="1">
        <f t="array" ref="BD105">IFERROR(IF('BMP P Tracking Table'!$BA105=2,VLOOKUP(CONCATENATE('BMP P Tracking Table'!$AW105," ",'BMP P Tracking Table'!$AY105),'Performance Curves'!$C$1:$L$44,_xlfn.SINGLE(MATCH('BMP P Tracking Table'!$BA105,'Performance Curves'!$D$1:$L$1,1))+1,FALSE),'BMP P Tracking Table'!$BB105*'BMP P Tracking Table'!$BC105+VLOOKUP(CONCATENATE('BMP P Tracking Table'!$AW105," ",'BMP P Tracking Table'!$AY105),'Performance Curves'!$C$1:$L$44,_xlfn.SINGLE(MATCH('BMP P Tracking Table'!$BA105,'Performance Curves'!$D$1:$L$1,1))+1,FALSE)),"")</f>
        <v/>
      </c>
      <c r="BE105" s="104" t="str">
        <f>IFERROR('BMP P Tracking Table'!$BD105*'BMP P Tracking Table'!$AZ105,"")</f>
        <v/>
      </c>
      <c r="BF105" s="98"/>
      <c r="BG105" s="37">
        <f t="shared" si="17"/>
        <v>0</v>
      </c>
      <c r="BI105" s="36" t="str">
        <f t="shared" si="7"/>
        <v>EJ-WR-022</v>
      </c>
      <c r="BJ105" s="36" t="str">
        <f t="shared" si="8"/>
        <v>CB90 Loubier Drive drywell</v>
      </c>
      <c r="BK105" s="36" t="s">
        <v>800</v>
      </c>
      <c r="BP105" s="36" t="s">
        <v>874</v>
      </c>
      <c r="BQ105" s="36">
        <f t="shared" si="18"/>
        <v>1.69</v>
      </c>
      <c r="BR105" s="36">
        <f t="shared" si="19"/>
        <v>0.88</v>
      </c>
      <c r="BS105" s="101">
        <f t="shared" si="20"/>
        <v>0.47928994082840243</v>
      </c>
      <c r="BT105" s="238">
        <f t="shared" si="21"/>
        <v>72962.962962962964</v>
      </c>
      <c r="BU105" s="238">
        <f t="shared" si="22"/>
        <v>64156.753953212297</v>
      </c>
    </row>
    <row r="106" spans="1:73">
      <c r="B106" s="65" t="s">
        <v>756</v>
      </c>
      <c r="C106" s="65" t="s">
        <v>686</v>
      </c>
      <c r="D106" s="65" t="s">
        <v>325</v>
      </c>
      <c r="E106" s="65" t="s">
        <v>10</v>
      </c>
      <c r="F106" s="94"/>
      <c r="G106" s="94"/>
      <c r="H106" s="65"/>
      <c r="I106" s="65"/>
      <c r="J106" s="65" t="s">
        <v>66</v>
      </c>
      <c r="K106" s="95">
        <f>ROUNDUP((VLOOKUP($U106,Dropdowns!$G$3:$I$17, 3, FALSE))*$AC106,-2)</f>
        <v>32900</v>
      </c>
      <c r="L106" s="65" t="s">
        <v>49</v>
      </c>
      <c r="M106" s="65"/>
      <c r="N106" s="65"/>
      <c r="O106" s="65"/>
      <c r="P106" s="65"/>
      <c r="Q106" s="65" t="s">
        <v>119</v>
      </c>
      <c r="R106" s="65" t="s">
        <v>146</v>
      </c>
      <c r="S106" s="65" t="str">
        <f>IFERROR(VLOOKUP('BMP P Tracking Table'!$R106,Dropdowns!$Q$3:$R$23,2,FALSE),"")</f>
        <v>Main Lake</v>
      </c>
      <c r="T106" s="65" t="s">
        <v>66</v>
      </c>
      <c r="U106" s="65" t="s">
        <v>47</v>
      </c>
      <c r="V106" s="65">
        <f>0.13+0.3</f>
        <v>0.43</v>
      </c>
      <c r="W106" s="65" t="s">
        <v>220</v>
      </c>
      <c r="X106" s="65">
        <v>0.89</v>
      </c>
      <c r="Y106" s="65">
        <v>0</v>
      </c>
      <c r="Z106" s="65">
        <v>0</v>
      </c>
      <c r="AA106" s="65">
        <v>0</v>
      </c>
      <c r="AB106" s="65"/>
      <c r="AC106" s="97">
        <f>((1*(0.05+0.009*((V106/(V106+X106))*100))*(V106+X106))/12)*43560</f>
        <v>1644.3899999999999</v>
      </c>
      <c r="AD106" s="65" t="s">
        <v>205</v>
      </c>
      <c r="AE106" s="104">
        <f>IFERROR('BMP P Tracking Table'!$V106*VLOOKUP('BMP P Tracking Table'!$R106,'Loading Rates'!$B$1:$L$24,4,FALSE)+IF('BMP P Tracking Table'!$W106="By HSG",'BMP P Tracking Table'!$X106*VLOOKUP('BMP P Tracking Table'!$R106,'Loading Rates'!$B$1:$L$24,6,FALSE)+'BMP P Tracking Table'!$Y106*VLOOKUP('BMP P Tracking Table'!$R106,'Loading Rates'!$B$1:$L$24,7,FALSE)+'BMP P Tracking Table'!$Z106*VLOOKUP('BMP P Tracking Table'!$R106,'Loading Rates'!$B$1:$L$24,8,FALSE)+'BMP P Tracking Table'!$AA106*VLOOKUP('BMP P Tracking Table'!$R106,'Loading Rates'!$B$1:$L$24,9,FALSE),'BMP P Tracking Table'!$AB106*VLOOKUP('BMP P Tracking Table'!$R106,'Loading Rates'!$B$1:$L$24,10,FALSE)),"")</f>
        <v>0.49811</v>
      </c>
      <c r="AF106" s="104">
        <f>IFERROR(MIN(2,IF('BMP P Tracking Table'!$W106="Total Pervious",(-(3630*'BMP P Tracking Table'!$V106+20.691*'BMP P Tracking Table'!$AB106)+SQRT((3630*'BMP P Tracking Table'!$V106+20.691*'BMP P Tracking Table'!$AB106)^2-(4*(996.798*'BMP P Tracking Table'!$AB106)*-'BMP P Tracking Table'!$AC106)))/(2*(996.798*'BMP P Tracking Table'!$AB106)),IF(SUM('BMP P Tracking Table'!$X106:$AA106)=0,'BMP P Tracking Table'!$AC106/(-3630*'BMP P Tracking Table'!$V106),(-(3630*'BMP P Tracking Table'!$V106+20.691*'BMP P Tracking Table'!$AA106-216.711*'BMP P Tracking Table'!$Z106-83.853*'BMP P Tracking Table'!$Y106-42.834*'BMP P Tracking Table'!$X106)+SQRT((3630*'BMP P Tracking Table'!$V106+20.691*'BMP P Tracking Table'!$AA106-216.711*'BMP P Tracking Table'!$Z106-83.853*'BMP P Tracking Table'!$Y106-42.834*'BMP P Tracking Table'!$X106)^2-(4*(149.919*'BMP P Tracking Table'!$X106+236.676*'BMP P Tracking Table'!$Y106+726*'BMP P Tracking Table'!$Z106+996.798*'BMP P Tracking Table'!$AA106)*-'BMP P Tracking Table'!$AC106)))/(2*(149.919*'BMP P Tracking Table'!$X106+236.676*'BMP P Tracking Table'!$Y106+726*'BMP P Tracking Table'!$Z106+996.798*'BMP P Tracking Table'!$AA106))))),"")</f>
        <v>0.99339447352712462</v>
      </c>
      <c r="AG106" s="104">
        <f>IFERROR((VLOOKUP(CONCATENATE('BMP P Tracking Table'!$U106," ",'BMP P Tracking Table'!$AD106),'Performance Curves'!$C$1:$L$46,_xlfn.SINGLE(MATCH('BMP P Tracking Table'!$AF106,'Performance Curves'!$D$1:$L$1,1))+2,FALSE)-VLOOKUP(CONCATENATE('BMP P Tracking Table'!$U106," ",'BMP P Tracking Table'!$AD106),'Performance Curves'!$C$1:$L$46,_xlfn.SINGLE(MATCH('BMP P Tracking Table'!$AF106,'Performance Curves'!$D$1:$L$1,1))+1,FALSE)),"")</f>
        <v>1.0000000000000009E-2</v>
      </c>
      <c r="AH106" s="104">
        <f>IFERROR(('BMP P Tracking Table'!$AF106-INDEX('Performance Curves'!$D$1:$L$1,1,MATCH('BMP P Tracking Table'!$AF106,'Performance Curves'!$D$1:$L$1,1)))/(INDEX('Performance Curves'!$D$1:$L$1,1,MATCH('BMP P Tracking Table'!$AF106,'Performance Curves'!$D$1:$L$1,1)+1)-INDEX('Performance Curves'!$D$1:$L$1,1,MATCH('BMP P Tracking Table'!$AF106,'Performance Curves'!$D$1:$L$1,1))),"")</f>
        <v>0.96697236763562311</v>
      </c>
      <c r="AI106" s="103">
        <f>IFERROR(IF('BMP P Tracking Table'!$AF106=2,VLOOKUP(CONCATENATE('BMP P Tracking Table'!$U106," ",'BMP P Tracking Table'!$AD106),'Performance Curves'!$C$1:$L$46,_xlfn.SINGLE(MATCH('BMP P Tracking Table'!$AF106,'Performance Curves'!$D$1:$L$1,1))+1,FALSE),'BMP P Tracking Table'!$AG106*'BMP P Tracking Table'!$AH106+VLOOKUP(CONCATENATE('BMP P Tracking Table'!$U106," ",'BMP P Tracking Table'!$AD106),'Performance Curves'!$C$1:$L$46,_xlfn.SINGLE(MATCH('BMP P Tracking Table'!$AF106,'Performance Curves'!$D$1:$L$1,1))+1,FALSE)),"")</f>
        <v>0.9996697236763562</v>
      </c>
      <c r="AJ106" s="104">
        <f>IFERROR('BMP P Tracking Table'!$AI106*'BMP P Tracking Table'!$AE106,"")</f>
        <v>0.49794548606042977</v>
      </c>
      <c r="AK106" s="65"/>
      <c r="AL106" s="98" t="s">
        <v>62</v>
      </c>
      <c r="AM106" s="98"/>
      <c r="AN106" s="64">
        <v>1</v>
      </c>
      <c r="AO106" s="102">
        <f t="shared" si="16"/>
        <v>0.49794548606042977</v>
      </c>
      <c r="AP106" s="98"/>
      <c r="AQ106" s="98"/>
      <c r="AR106" s="98"/>
      <c r="AS106" s="98"/>
      <c r="AT106" s="98"/>
      <c r="AU106" s="98"/>
      <c r="AV106" s="98"/>
      <c r="AW106" s="65"/>
      <c r="AX106" s="99"/>
      <c r="AY106" s="99"/>
      <c r="AZ106" s="104" t="str">
        <f>IF('BMP P Tracking Table'!$AL106="Yes",IF('BMP P Tracking Table'!$AM106="No",'BMP P Tracking Table'!$V106*VLOOKUP('BMP P Tracking Table'!$R106,'Loading Rates'!$B$1:$L$24,4,FALSE)+IF('BMP P Tracking Table'!$W106="By HSG",'BMP P Tracking Table'!$X106*VLOOKUP('BMP P Tracking Table'!$R106,'Loading Rates'!$B$1:$L$24,6,FALSE)+'BMP P Tracking Table'!$Y106*VLOOKUP('BMP P Tracking Table'!$R106,'Loading Rates'!$B$1:$L$24,7,FALSE)+'BMP P Tracking Table'!$Z106*VLOOKUP('BMP P Tracking Table'!$R106,'Loading Rates'!$B$1:$L$24,8,FALSE)+'BMP P Tracking Table'!$AA106*VLOOKUP('BMP P Tracking Table'!$R106,'Loading Rates'!$B$1:$L$24,9,FALSE),'BMP P Tracking Table'!$AB106*VLOOKUP('BMP P Tracking Table'!$R106,'Loading Rates'!$B$1:$L$24,10,FALSE)),'BMP P Tracking Table'!$AP106*VLOOKUP('BMP P Tracking Table'!$R106,'Loading Rates'!$B$1:$L$24,4,FALSE)+IF('BMP P Tracking Table'!$AQ106="By HSG",'BMP P Tracking Table'!$AR106*VLOOKUP('BMP P Tracking Table'!$R106,'Loading Rates'!$B$1:$L$24,6,FALSE)+'BMP P Tracking Table'!$AS106*VLOOKUP('BMP P Tracking Table'!$R106,'Loading Rates'!$B$1:$L$24,7,FALSE)+'BMP P Tracking Table'!$AT106*VLOOKUP('BMP P Tracking Table'!$R106,'Loading Rates'!$B$1:$L$24,8,FALSE)+'BMP P Tracking Table'!$AU106*VLOOKUP('BMP P Tracking Table'!$R106,'Loading Rates'!$B$1:$L$24,9,FALSE),'BMP P Tracking Table'!$AV106*VLOOKUP('BMP P Tracking Table'!$R106,'Loading Rates'!$B$1:$L$24,10,FALSE))),"")</f>
        <v/>
      </c>
      <c r="BA106" s="104">
        <f>IFERROR(IF('BMP P Tracking Table'!$AM106="Yes",MIN(2,IF('BMP P Tracking Table'!$AQ106="Total Pervious",(-(3630*'BMP P Tracking Table'!$AP106+20.691*'BMP P Tracking Table'!$AV106)+SQRT((3630*'BMP P Tracking Table'!$AP106+20.691*'BMP P Tracking Table'!$AV106)^2-(4*(996.798*'BMP P Tracking Table'!$AV106)*-'BMP P Tracking Table'!$AX106)))/(2*(996.798*'BMP P Tracking Table'!$AV106)),IF(SUM('BMP P Tracking Table'!$AR106:$AU106)=0,'BMP P Tracking Table'!$AV106/(-3630*'BMP P Tracking Table'!$AP106),(-(3630*'BMP P Tracking Table'!$AP106+20.691*'BMP P Tracking Table'!$AU106-216.711*'BMP P Tracking Table'!$AT106-83.853*'BMP P Tracking Table'!$AS106-42.834*'BMP P Tracking Table'!$AR106)+SQRT((3630*'BMP P Tracking Table'!$AP106+20.691*'BMP P Tracking Table'!$AU106-216.711*'BMP P Tracking Table'!$AT106-83.853*'BMP P Tracking Table'!$AS106-42.834*'BMP P Tracking Table'!$AR106)^2-(4*(149.919*'BMP P Tracking Table'!$AR106+236.676*'BMP P Tracking Table'!$AS106+726*'BMP P Tracking Table'!$AT106+996.798*'BMP P Tracking Table'!$AU106)*-'BMP P Tracking Table'!$AX106)))/(2*(149.919*'BMP P Tracking Table'!$AR106+236.676*'BMP P Tracking Table'!$AS106+726*'BMP P Tracking Table'!$AT106+996.798*'BMP P Tracking Table'!$AU106))))),MIN(2,IF('BMP P Tracking Table'!$AQ106="Total Pervious",(-(3630*'BMP P Tracking Table'!$V106+20.691*'BMP P Tracking Table'!$AB106)+SQRT((3630*'BMP P Tracking Table'!$V106+20.691*'BMP P Tracking Table'!$AB106)^2-(4*(996.798*'BMP P Tracking Table'!$AB106)*-'BMP P Tracking Table'!$AX106)))/(2*(996.798*'BMP P Tracking Table'!$AB106)),IF(SUM('BMP P Tracking Table'!$X106:$AA106)=0,'BMP P Tracking Table'!$AX106/(-3630*'BMP P Tracking Table'!$V106),(-(3630*'BMP P Tracking Table'!$V106+20.691*'BMP P Tracking Table'!$AA106-216.711*'BMP P Tracking Table'!$Z106-83.853*'BMP P Tracking Table'!$Y106-42.834*'BMP P Tracking Table'!$X106)+SQRT((3630*'BMP P Tracking Table'!$V106+20.691*'BMP P Tracking Table'!$AA106-216.711*'BMP P Tracking Table'!$Z106-83.853*'BMP P Tracking Table'!$Y106-42.834*'BMP P Tracking Table'!$X106)^2-(4*(149.919*'BMP P Tracking Table'!$X106+236.676*'BMP P Tracking Table'!$Y106+726*'BMP P Tracking Table'!$Z106+996.798*'BMP P Tracking Table'!$AA106)*-'BMP P Tracking Table'!$AX106)))/(2*(149.919*'BMP P Tracking Table'!$X106+236.676*'BMP P Tracking Table'!$Y106+726*'BMP P Tracking Table'!$Z106+996.798*'BMP P Tracking Table'!$AA106)))))),"")</f>
        <v>0</v>
      </c>
      <c r="BB106" s="102" t="str">
        <f>IFERROR((VLOOKUP(CONCATENATE('BMP P Tracking Table'!$AW106," ",'BMP P Tracking Table'!$AY106),'Performance Curves'!$C$1:$L$46,_xlfn.SINGLE(MATCH('BMP P Tracking Table'!$BA106,'Performance Curves'!$D$1:$L$1,1))+2,FALSE)-VLOOKUP(CONCATENATE('BMP P Tracking Table'!$AW106," ",'BMP P Tracking Table'!$AY106),'Performance Curves'!$C$1:$L$46,_xlfn.SINGLE(MATCH('BMP P Tracking Table'!$BA106,'Performance Curves'!$D$1:$L$1,1))+1,FALSE)),"")</f>
        <v/>
      </c>
      <c r="BC106" s="102">
        <f>IFERROR(('BMP P Tracking Table'!$BA106-INDEX('Performance Curves'!$D$1:$L$1,1,MATCH('BMP P Tracking Table'!$BA106,'Performance Curves'!$D$1:$L$1,1)))/(INDEX('Performance Curves'!$D$1:$L$1,1,MATCH('BMP P Tracking Table'!$BA106,'Performance Curves'!$D$1:$L$1,1)+1)-INDEX('Performance Curves'!$D$1:$L$1,1,MATCH('BMP P Tracking Table'!$BA106,'Performance Curves'!$D$1:$L$1,1))),"")</f>
        <v>0</v>
      </c>
      <c r="BD106" s="103" t="str" cm="1">
        <f t="array" ref="BD106">IFERROR(IF('BMP P Tracking Table'!$BA106=2,VLOOKUP(CONCATENATE('BMP P Tracking Table'!$AW106," ",'BMP P Tracking Table'!$AY106),'Performance Curves'!$C$1:$L$44,_xlfn.SINGLE(MATCH('BMP P Tracking Table'!$BA106,'Performance Curves'!$D$1:$L$1,1))+1,FALSE),'BMP P Tracking Table'!$BB106*'BMP P Tracking Table'!$BC106+VLOOKUP(CONCATENATE('BMP P Tracking Table'!$AW106," ",'BMP P Tracking Table'!$AY106),'Performance Curves'!$C$1:$L$44,_xlfn.SINGLE(MATCH('BMP P Tracking Table'!$BA106,'Performance Curves'!$D$1:$L$1,1))+1,FALSE)),"")</f>
        <v/>
      </c>
      <c r="BE106" s="104" t="str">
        <f>IFERROR('BMP P Tracking Table'!$BD106*'BMP P Tracking Table'!$AZ106,"")</f>
        <v/>
      </c>
      <c r="BF106" s="98"/>
      <c r="BG106" s="37">
        <f t="shared" si="17"/>
        <v>0</v>
      </c>
      <c r="BI106" s="36" t="str">
        <f t="shared" si="7"/>
        <v>EJ-WR-024</v>
      </c>
      <c r="BJ106" s="36" t="str">
        <f t="shared" si="8"/>
        <v>CB92 Loubier Drive drywell</v>
      </c>
      <c r="BK106" s="36" t="s">
        <v>800</v>
      </c>
      <c r="BP106" s="36" t="s">
        <v>874</v>
      </c>
      <c r="BQ106" s="36">
        <f t="shared" si="18"/>
        <v>1.32</v>
      </c>
      <c r="BR106" s="36">
        <f t="shared" si="19"/>
        <v>0.89</v>
      </c>
      <c r="BS106" s="101">
        <f t="shared" si="20"/>
        <v>0.32575757575757575</v>
      </c>
      <c r="BT106" s="238">
        <f t="shared" si="21"/>
        <v>76511.627906976748</v>
      </c>
      <c r="BU106" s="238">
        <f t="shared" si="22"/>
        <v>66071.489592752958</v>
      </c>
    </row>
    <row r="107" spans="1:73">
      <c r="B107" s="65" t="s">
        <v>755</v>
      </c>
      <c r="C107" s="65" t="s">
        <v>687</v>
      </c>
      <c r="D107" s="65" t="s">
        <v>325</v>
      </c>
      <c r="E107" s="65" t="s">
        <v>10</v>
      </c>
      <c r="F107" s="94"/>
      <c r="G107" s="94"/>
      <c r="H107" s="65"/>
      <c r="I107" s="65"/>
      <c r="J107" s="65" t="s">
        <v>66</v>
      </c>
      <c r="K107" s="95">
        <f>ROUNDUP((VLOOKUP($U107,Dropdowns!$G$3:$I$17, 3, FALSE))*$AC107,-2)</f>
        <v>32300</v>
      </c>
      <c r="L107" s="65" t="s">
        <v>49</v>
      </c>
      <c r="M107" s="65"/>
      <c r="N107" s="65"/>
      <c r="O107" s="65"/>
      <c r="P107" s="65"/>
      <c r="Q107" s="65" t="s">
        <v>119</v>
      </c>
      <c r="R107" s="65" t="s">
        <v>146</v>
      </c>
      <c r="S107" s="65" t="str">
        <f>IFERROR(VLOOKUP('BMP P Tracking Table'!$R107,Dropdowns!$Q$3:$R$23,2,FALSE),"")</f>
        <v>Main Lake</v>
      </c>
      <c r="T107" s="65" t="s">
        <v>66</v>
      </c>
      <c r="U107" s="65" t="s">
        <v>47</v>
      </c>
      <c r="V107" s="65">
        <f>0.17+0.26</f>
        <v>0.43000000000000005</v>
      </c>
      <c r="W107" s="65" t="s">
        <v>220</v>
      </c>
      <c r="X107" s="65">
        <v>0.72</v>
      </c>
      <c r="Y107" s="65">
        <v>0</v>
      </c>
      <c r="Z107" s="65">
        <v>0</v>
      </c>
      <c r="AA107" s="65">
        <v>0</v>
      </c>
      <c r="AB107" s="65"/>
      <c r="AC107" s="97">
        <f>((1*(0.05+0.009*((V107/(V107+X107))*100))*(V107+X107))/12)*43560</f>
        <v>1613.5350000000001</v>
      </c>
      <c r="AD107" s="65" t="s">
        <v>205</v>
      </c>
      <c r="AE107" s="104">
        <f>IFERROR('BMP P Tracking Table'!$V107*VLOOKUP('BMP P Tracking Table'!$R107,'Loading Rates'!$B$1:$L$24,4,FALSE)+IF('BMP P Tracking Table'!$W107="By HSG",'BMP P Tracking Table'!$X107*VLOOKUP('BMP P Tracking Table'!$R107,'Loading Rates'!$B$1:$L$24,6,FALSE)+'BMP P Tracking Table'!$Y107*VLOOKUP('BMP P Tracking Table'!$R107,'Loading Rates'!$B$1:$L$24,7,FALSE)+'BMP P Tracking Table'!$Z107*VLOOKUP('BMP P Tracking Table'!$R107,'Loading Rates'!$B$1:$L$24,8,FALSE)+'BMP P Tracking Table'!$AA107*VLOOKUP('BMP P Tracking Table'!$R107,'Loading Rates'!$B$1:$L$24,9,FALSE),'BMP P Tracking Table'!$AB107*VLOOKUP('BMP P Tracking Table'!$R107,'Loading Rates'!$B$1:$L$24,10,FALSE)),"")</f>
        <v>0.49471000000000009</v>
      </c>
      <c r="AF107" s="104">
        <f>IFERROR(MIN(2,IF('BMP P Tracking Table'!$W107="Total Pervious",(-(3630*'BMP P Tracking Table'!$V107+20.691*'BMP P Tracking Table'!$AB107)+SQRT((3630*'BMP P Tracking Table'!$V107+20.691*'BMP P Tracking Table'!$AB107)^2-(4*(996.798*'BMP P Tracking Table'!$AB107)*-'BMP P Tracking Table'!$AC107)))/(2*(996.798*'BMP P Tracking Table'!$AB107)),IF(SUM('BMP P Tracking Table'!$X107:$AA107)=0,'BMP P Tracking Table'!$AC107/(-3630*'BMP P Tracking Table'!$V107),(-(3630*'BMP P Tracking Table'!$V107+20.691*'BMP P Tracking Table'!$AA107-216.711*'BMP P Tracking Table'!$Z107-83.853*'BMP P Tracking Table'!$Y107-42.834*'BMP P Tracking Table'!$X107)+SQRT((3630*'BMP P Tracking Table'!$V107+20.691*'BMP P Tracking Table'!$AA107-216.711*'BMP P Tracking Table'!$Z107-83.853*'BMP P Tracking Table'!$Y107-42.834*'BMP P Tracking Table'!$X107)^2-(4*(149.919*'BMP P Tracking Table'!$X107+236.676*'BMP P Tracking Table'!$Y107+726*'BMP P Tracking Table'!$Z107+996.798*'BMP P Tracking Table'!$AA107)*-'BMP P Tracking Table'!$AC107)))/(2*(149.919*'BMP P Tracking Table'!$X107+236.676*'BMP P Tracking Table'!$Y107+726*'BMP P Tracking Table'!$Z107+996.798*'BMP P Tracking Table'!$AA107))))),"")</f>
        <v>0.98597466532854894</v>
      </c>
      <c r="AG107" s="104">
        <f>IFERROR((VLOOKUP(CONCATENATE('BMP P Tracking Table'!$U107," ",'BMP P Tracking Table'!$AD107),'Performance Curves'!$C$1:$L$46,_xlfn.SINGLE(MATCH('BMP P Tracking Table'!$AF107,'Performance Curves'!$D$1:$L$1,1))+2,FALSE)-VLOOKUP(CONCATENATE('BMP P Tracking Table'!$U107," ",'BMP P Tracking Table'!$AD107),'Performance Curves'!$C$1:$L$46,_xlfn.SINGLE(MATCH('BMP P Tracking Table'!$AF107,'Performance Curves'!$D$1:$L$1,1))+1,FALSE)),"")</f>
        <v>1.0000000000000009E-2</v>
      </c>
      <c r="AH107" s="104">
        <f>IFERROR(('BMP P Tracking Table'!$AF107-INDEX('Performance Curves'!$D$1:$L$1,1,MATCH('BMP P Tracking Table'!$AF107,'Performance Curves'!$D$1:$L$1,1)))/(INDEX('Performance Curves'!$D$1:$L$1,1,MATCH('BMP P Tracking Table'!$AF107,'Performance Curves'!$D$1:$L$1,1)+1)-INDEX('Performance Curves'!$D$1:$L$1,1,MATCH('BMP P Tracking Table'!$AF107,'Performance Curves'!$D$1:$L$1,1))),"")</f>
        <v>0.92987332664274469</v>
      </c>
      <c r="AI107" s="103">
        <f>IFERROR(IF('BMP P Tracking Table'!$AF107=2,VLOOKUP(CONCATENATE('BMP P Tracking Table'!$U107," ",'BMP P Tracking Table'!$AD107),'Performance Curves'!$C$1:$L$46,_xlfn.SINGLE(MATCH('BMP P Tracking Table'!$AF107,'Performance Curves'!$D$1:$L$1,1))+1,FALSE),'BMP P Tracking Table'!$AG107*'BMP P Tracking Table'!$AH107+VLOOKUP(CONCATENATE('BMP P Tracking Table'!$U107," ",'BMP P Tracking Table'!$AD107),'Performance Curves'!$C$1:$L$46,_xlfn.SINGLE(MATCH('BMP P Tracking Table'!$AF107,'Performance Curves'!$D$1:$L$1,1))+1,FALSE)),"")</f>
        <v>0.99929873326642749</v>
      </c>
      <c r="AJ107" s="104">
        <f>IFERROR('BMP P Tracking Table'!$AI107*'BMP P Tracking Table'!$AE107,"")</f>
        <v>0.49436307633423443</v>
      </c>
      <c r="AK107" s="65"/>
      <c r="AL107" s="98" t="s">
        <v>62</v>
      </c>
      <c r="AM107" s="98"/>
      <c r="AN107" s="64">
        <v>1</v>
      </c>
      <c r="AO107" s="102">
        <f t="shared" si="16"/>
        <v>0.49436307633423443</v>
      </c>
      <c r="AP107" s="98"/>
      <c r="AQ107" s="98"/>
      <c r="AR107" s="98"/>
      <c r="AS107" s="98"/>
      <c r="AT107" s="98"/>
      <c r="AU107" s="98"/>
      <c r="AV107" s="98"/>
      <c r="AW107" s="65"/>
      <c r="AX107" s="99"/>
      <c r="AY107" s="99"/>
      <c r="AZ107" s="104" t="str">
        <f>IF('BMP P Tracking Table'!$AL107="Yes",IF('BMP P Tracking Table'!$AM107="No",'BMP P Tracking Table'!$V107*VLOOKUP('BMP P Tracking Table'!$R107,'Loading Rates'!$B$1:$L$24,4,FALSE)+IF('BMP P Tracking Table'!$W107="By HSG",'BMP P Tracking Table'!$X107*VLOOKUP('BMP P Tracking Table'!$R107,'Loading Rates'!$B$1:$L$24,6,FALSE)+'BMP P Tracking Table'!$Y107*VLOOKUP('BMP P Tracking Table'!$R107,'Loading Rates'!$B$1:$L$24,7,FALSE)+'BMP P Tracking Table'!$Z107*VLOOKUP('BMP P Tracking Table'!$R107,'Loading Rates'!$B$1:$L$24,8,FALSE)+'BMP P Tracking Table'!$AA107*VLOOKUP('BMP P Tracking Table'!$R107,'Loading Rates'!$B$1:$L$24,9,FALSE),'BMP P Tracking Table'!$AB107*VLOOKUP('BMP P Tracking Table'!$R107,'Loading Rates'!$B$1:$L$24,10,FALSE)),'BMP P Tracking Table'!$AP107*VLOOKUP('BMP P Tracking Table'!$R107,'Loading Rates'!$B$1:$L$24,4,FALSE)+IF('BMP P Tracking Table'!$AQ107="By HSG",'BMP P Tracking Table'!$AR107*VLOOKUP('BMP P Tracking Table'!$R107,'Loading Rates'!$B$1:$L$24,6,FALSE)+'BMP P Tracking Table'!$AS107*VLOOKUP('BMP P Tracking Table'!$R107,'Loading Rates'!$B$1:$L$24,7,FALSE)+'BMP P Tracking Table'!$AT107*VLOOKUP('BMP P Tracking Table'!$R107,'Loading Rates'!$B$1:$L$24,8,FALSE)+'BMP P Tracking Table'!$AU107*VLOOKUP('BMP P Tracking Table'!$R107,'Loading Rates'!$B$1:$L$24,9,FALSE),'BMP P Tracking Table'!$AV107*VLOOKUP('BMP P Tracking Table'!$R107,'Loading Rates'!$B$1:$L$24,10,FALSE))),"")</f>
        <v/>
      </c>
      <c r="BA107" s="104">
        <f>IFERROR(IF('BMP P Tracking Table'!$AM107="Yes",MIN(2,IF('BMP P Tracking Table'!$AQ107="Total Pervious",(-(3630*'BMP P Tracking Table'!$AP107+20.691*'BMP P Tracking Table'!$AV107)+SQRT((3630*'BMP P Tracking Table'!$AP107+20.691*'BMP P Tracking Table'!$AV107)^2-(4*(996.798*'BMP P Tracking Table'!$AV107)*-'BMP P Tracking Table'!$AX107)))/(2*(996.798*'BMP P Tracking Table'!$AV107)),IF(SUM('BMP P Tracking Table'!$AR107:$AU107)=0,'BMP P Tracking Table'!$AV107/(-3630*'BMP P Tracking Table'!$AP107),(-(3630*'BMP P Tracking Table'!$AP107+20.691*'BMP P Tracking Table'!$AU107-216.711*'BMP P Tracking Table'!$AT107-83.853*'BMP P Tracking Table'!$AS107-42.834*'BMP P Tracking Table'!$AR107)+SQRT((3630*'BMP P Tracking Table'!$AP107+20.691*'BMP P Tracking Table'!$AU107-216.711*'BMP P Tracking Table'!$AT107-83.853*'BMP P Tracking Table'!$AS107-42.834*'BMP P Tracking Table'!$AR107)^2-(4*(149.919*'BMP P Tracking Table'!$AR107+236.676*'BMP P Tracking Table'!$AS107+726*'BMP P Tracking Table'!$AT107+996.798*'BMP P Tracking Table'!$AU107)*-'BMP P Tracking Table'!$AX107)))/(2*(149.919*'BMP P Tracking Table'!$AR107+236.676*'BMP P Tracking Table'!$AS107+726*'BMP P Tracking Table'!$AT107+996.798*'BMP P Tracking Table'!$AU107))))),MIN(2,IF('BMP P Tracking Table'!$AQ107="Total Pervious",(-(3630*'BMP P Tracking Table'!$V107+20.691*'BMP P Tracking Table'!$AB107)+SQRT((3630*'BMP P Tracking Table'!$V107+20.691*'BMP P Tracking Table'!$AB107)^2-(4*(996.798*'BMP P Tracking Table'!$AB107)*-'BMP P Tracking Table'!$AX107)))/(2*(996.798*'BMP P Tracking Table'!$AB107)),IF(SUM('BMP P Tracking Table'!$X107:$AA107)=0,'BMP P Tracking Table'!$AX107/(-3630*'BMP P Tracking Table'!$V107),(-(3630*'BMP P Tracking Table'!$V107+20.691*'BMP P Tracking Table'!$AA107-216.711*'BMP P Tracking Table'!$Z107-83.853*'BMP P Tracking Table'!$Y107-42.834*'BMP P Tracking Table'!$X107)+SQRT((3630*'BMP P Tracking Table'!$V107+20.691*'BMP P Tracking Table'!$AA107-216.711*'BMP P Tracking Table'!$Z107-83.853*'BMP P Tracking Table'!$Y107-42.834*'BMP P Tracking Table'!$X107)^2-(4*(149.919*'BMP P Tracking Table'!$X107+236.676*'BMP P Tracking Table'!$Y107+726*'BMP P Tracking Table'!$Z107+996.798*'BMP P Tracking Table'!$AA107)*-'BMP P Tracking Table'!$AX107)))/(2*(149.919*'BMP P Tracking Table'!$X107+236.676*'BMP P Tracking Table'!$Y107+726*'BMP P Tracking Table'!$Z107+996.798*'BMP P Tracking Table'!$AA107)))))),"")</f>
        <v>0</v>
      </c>
      <c r="BB107" s="102" t="str">
        <f>IFERROR((VLOOKUP(CONCATENATE('BMP P Tracking Table'!$AW107," ",'BMP P Tracking Table'!$AY107),'Performance Curves'!$C$1:$L$46,_xlfn.SINGLE(MATCH('BMP P Tracking Table'!$BA107,'Performance Curves'!$D$1:$L$1,1))+2,FALSE)-VLOOKUP(CONCATENATE('BMP P Tracking Table'!$AW107," ",'BMP P Tracking Table'!$AY107),'Performance Curves'!$C$1:$L$46,_xlfn.SINGLE(MATCH('BMP P Tracking Table'!$BA107,'Performance Curves'!$D$1:$L$1,1))+1,FALSE)),"")</f>
        <v/>
      </c>
      <c r="BC107" s="102">
        <f>IFERROR(('BMP P Tracking Table'!$BA107-INDEX('Performance Curves'!$D$1:$L$1,1,MATCH('BMP P Tracking Table'!$BA107,'Performance Curves'!$D$1:$L$1,1)))/(INDEX('Performance Curves'!$D$1:$L$1,1,MATCH('BMP P Tracking Table'!$BA107,'Performance Curves'!$D$1:$L$1,1)+1)-INDEX('Performance Curves'!$D$1:$L$1,1,MATCH('BMP P Tracking Table'!$BA107,'Performance Curves'!$D$1:$L$1,1))),"")</f>
        <v>0</v>
      </c>
      <c r="BD107" s="103" t="str" cm="1">
        <f t="array" ref="BD107">IFERROR(IF('BMP P Tracking Table'!$BA107=2,VLOOKUP(CONCATENATE('BMP P Tracking Table'!$AW107," ",'BMP P Tracking Table'!$AY107),'Performance Curves'!$C$1:$L$44,_xlfn.SINGLE(MATCH('BMP P Tracking Table'!$BA107,'Performance Curves'!$D$1:$L$1,1))+1,FALSE),'BMP P Tracking Table'!$BB107*'BMP P Tracking Table'!$BC107+VLOOKUP(CONCATENATE('BMP P Tracking Table'!$AW107," ",'BMP P Tracking Table'!$AY107),'Performance Curves'!$C$1:$L$44,_xlfn.SINGLE(MATCH('BMP P Tracking Table'!$BA107,'Performance Curves'!$D$1:$L$1,1))+1,FALSE)),"")</f>
        <v/>
      </c>
      <c r="BE107" s="104" t="str">
        <f>IFERROR('BMP P Tracking Table'!$BD107*'BMP P Tracking Table'!$AZ107,"")</f>
        <v/>
      </c>
      <c r="BF107" s="98"/>
      <c r="BG107" s="37">
        <f t="shared" si="17"/>
        <v>0</v>
      </c>
      <c r="BI107" s="36" t="str">
        <f t="shared" si="7"/>
        <v>EJ-WR-023</v>
      </c>
      <c r="BJ107" s="36" t="str">
        <f t="shared" si="8"/>
        <v>CB91 Loubier Drive drywell</v>
      </c>
      <c r="BK107" s="36" t="s">
        <v>800</v>
      </c>
      <c r="BP107" s="36" t="s">
        <v>874</v>
      </c>
      <c r="BQ107" s="36">
        <f t="shared" si="18"/>
        <v>1.1499999999999999</v>
      </c>
      <c r="BR107" s="36">
        <f t="shared" si="19"/>
        <v>0.72</v>
      </c>
      <c r="BS107" s="101">
        <f t="shared" si="20"/>
        <v>0.37391304347826093</v>
      </c>
      <c r="BT107" s="238">
        <f t="shared" si="21"/>
        <v>75116.279069767435</v>
      </c>
      <c r="BU107" s="238">
        <f t="shared" si="22"/>
        <v>65336.594794879587</v>
      </c>
    </row>
    <row r="108" spans="1:73">
      <c r="B108" s="65" t="s">
        <v>749</v>
      </c>
      <c r="C108" s="65" t="s">
        <v>688</v>
      </c>
      <c r="D108" s="65" t="s">
        <v>325</v>
      </c>
      <c r="E108" s="65" t="s">
        <v>10</v>
      </c>
      <c r="F108" s="94"/>
      <c r="G108" s="94"/>
      <c r="H108" s="65"/>
      <c r="I108" s="65"/>
      <c r="J108" s="65" t="s">
        <v>66</v>
      </c>
      <c r="K108" s="95">
        <f>ROUNDUP((VLOOKUP($U108,Dropdowns!$G$3:$I$17, 3, FALSE))*$AC108,-2)</f>
        <v>17300</v>
      </c>
      <c r="L108" s="65" t="s">
        <v>49</v>
      </c>
      <c r="M108" s="65"/>
      <c r="N108" s="65"/>
      <c r="O108" s="65"/>
      <c r="P108" s="65"/>
      <c r="Q108" s="65" t="s">
        <v>119</v>
      </c>
      <c r="R108" s="65" t="s">
        <v>146</v>
      </c>
      <c r="S108" s="65" t="str">
        <f>IFERROR(VLOOKUP('BMP P Tracking Table'!$R108,Dropdowns!$Q$3:$R$23,2,FALSE),"")</f>
        <v>Main Lake</v>
      </c>
      <c r="T108" s="65" t="s">
        <v>66</v>
      </c>
      <c r="U108" s="65" t="s">
        <v>47</v>
      </c>
      <c r="V108" s="65">
        <f>0.11+0.1</f>
        <v>0.21000000000000002</v>
      </c>
      <c r="W108" s="65" t="s">
        <v>220</v>
      </c>
      <c r="X108" s="65">
        <v>0.75</v>
      </c>
      <c r="Y108" s="65">
        <v>0</v>
      </c>
      <c r="Z108" s="65">
        <v>0</v>
      </c>
      <c r="AA108" s="65">
        <v>0</v>
      </c>
      <c r="AB108" s="65"/>
      <c r="AC108" s="97">
        <f>((1*(0.05+0.009*((V108/(V108+X108))*100))*(V108+X108))/12)*43560</f>
        <v>860.31000000000006</v>
      </c>
      <c r="AD108" s="65" t="s">
        <v>205</v>
      </c>
      <c r="AE108" s="104">
        <f>IFERROR('BMP P Tracking Table'!$V108*VLOOKUP('BMP P Tracking Table'!$R108,'Loading Rates'!$B$1:$L$24,4,FALSE)+IF('BMP P Tracking Table'!$W108="By HSG",'BMP P Tracking Table'!$X108*VLOOKUP('BMP P Tracking Table'!$R108,'Loading Rates'!$B$1:$L$24,6,FALSE)+'BMP P Tracking Table'!$Y108*VLOOKUP('BMP P Tracking Table'!$R108,'Loading Rates'!$B$1:$L$24,7,FALSE)+'BMP P Tracking Table'!$Z108*VLOOKUP('BMP P Tracking Table'!$R108,'Loading Rates'!$B$1:$L$24,8,FALSE)+'BMP P Tracking Table'!$AA108*VLOOKUP('BMP P Tracking Table'!$R108,'Loading Rates'!$B$1:$L$24,9,FALSE),'BMP P Tracking Table'!$AB108*VLOOKUP('BMP P Tracking Table'!$R108,'Loading Rates'!$B$1:$L$24,10,FALSE)),"")</f>
        <v>0.24957000000000001</v>
      </c>
      <c r="AF108" s="104">
        <f>IFERROR(MIN(2,IF('BMP P Tracking Table'!$W108="Total Pervious",(-(3630*'BMP P Tracking Table'!$V108+20.691*'BMP P Tracking Table'!$AB108)+SQRT((3630*'BMP P Tracking Table'!$V108+20.691*'BMP P Tracking Table'!$AB108)^2-(4*(996.798*'BMP P Tracking Table'!$AB108)*-'BMP P Tracking Table'!$AC108)))/(2*(996.798*'BMP P Tracking Table'!$AB108)),IF(SUM('BMP P Tracking Table'!$X108:$AA108)=0,'BMP P Tracking Table'!$AC108/(-3630*'BMP P Tracking Table'!$V108),(-(3630*'BMP P Tracking Table'!$V108+20.691*'BMP P Tracking Table'!$AA108-216.711*'BMP P Tracking Table'!$Z108-83.853*'BMP P Tracking Table'!$Y108-42.834*'BMP P Tracking Table'!$X108)+SQRT((3630*'BMP P Tracking Table'!$V108+20.691*'BMP P Tracking Table'!$AA108-216.711*'BMP P Tracking Table'!$Z108-83.853*'BMP P Tracking Table'!$Y108-42.834*'BMP P Tracking Table'!$X108)^2-(4*(149.919*'BMP P Tracking Table'!$X108+236.676*'BMP P Tracking Table'!$Y108+726*'BMP P Tracking Table'!$Z108+996.798*'BMP P Tracking Table'!$AA108)*-'BMP P Tracking Table'!$AC108)))/(2*(149.919*'BMP P Tracking Table'!$X108+236.676*'BMP P Tracking Table'!$Y108+726*'BMP P Tracking Table'!$Z108+996.798*'BMP P Tracking Table'!$AA108))))),"")</f>
        <v>1.0184888316312226</v>
      </c>
      <c r="AG108" s="104">
        <f>IFERROR((VLOOKUP(CONCATENATE('BMP P Tracking Table'!$U108," ",'BMP P Tracking Table'!$AD108),'Performance Curves'!$C$1:$L$46,_xlfn.SINGLE(MATCH('BMP P Tracking Table'!$AF108,'Performance Curves'!$D$1:$L$1,1))+2,FALSE)-VLOOKUP(CONCATENATE('BMP P Tracking Table'!$U108," ",'BMP P Tracking Table'!$AD108),'Performance Curves'!$C$1:$L$46,_xlfn.SINGLE(MATCH('BMP P Tracking Table'!$AF108,'Performance Curves'!$D$1:$L$1,1))+1,FALSE)),"")</f>
        <v>0</v>
      </c>
      <c r="AH108" s="104">
        <f>IFERROR(('BMP P Tracking Table'!$AF108-INDEX('Performance Curves'!$D$1:$L$1,1,MATCH('BMP P Tracking Table'!$AF108,'Performance Curves'!$D$1:$L$1,1)))/(INDEX('Performance Curves'!$D$1:$L$1,1,MATCH('BMP P Tracking Table'!$AF108,'Performance Curves'!$D$1:$L$1,1)+1)-INDEX('Performance Curves'!$D$1:$L$1,1,MATCH('BMP P Tracking Table'!$AF108,'Performance Curves'!$D$1:$L$1,1))),"")</f>
        <v>3.6977663262445226E-2</v>
      </c>
      <c r="AI108" s="103">
        <f>IFERROR(IF('BMP P Tracking Table'!$AF108=2,VLOOKUP(CONCATENATE('BMP P Tracking Table'!$U108," ",'BMP P Tracking Table'!$AD108),'Performance Curves'!$C$1:$L$46,_xlfn.SINGLE(MATCH('BMP P Tracking Table'!$AF108,'Performance Curves'!$D$1:$L$1,1))+1,FALSE),'BMP P Tracking Table'!$AG108*'BMP P Tracking Table'!$AH108+VLOOKUP(CONCATENATE('BMP P Tracking Table'!$U108," ",'BMP P Tracking Table'!$AD108),'Performance Curves'!$C$1:$L$46,_xlfn.SINGLE(MATCH('BMP P Tracking Table'!$AF108,'Performance Curves'!$D$1:$L$1,1))+1,FALSE)),"")</f>
        <v>1</v>
      </c>
      <c r="AJ108" s="104">
        <f>IFERROR('BMP P Tracking Table'!$AI108*'BMP P Tracking Table'!$AE108,"")</f>
        <v>0.24957000000000001</v>
      </c>
      <c r="AK108" s="65"/>
      <c r="AL108" s="98" t="s">
        <v>62</v>
      </c>
      <c r="AM108" s="98"/>
      <c r="AN108" s="64">
        <v>1</v>
      </c>
      <c r="AO108" s="102">
        <f t="shared" si="16"/>
        <v>0.24957000000000001</v>
      </c>
      <c r="AP108" s="98"/>
      <c r="AQ108" s="98"/>
      <c r="AR108" s="98"/>
      <c r="AS108" s="98"/>
      <c r="AT108" s="98"/>
      <c r="AU108" s="98"/>
      <c r="AV108" s="98"/>
      <c r="AW108" s="65"/>
      <c r="AX108" s="99"/>
      <c r="AY108" s="99"/>
      <c r="AZ108" s="104" t="str">
        <f>IF('BMP P Tracking Table'!$AL108="Yes",IF('BMP P Tracking Table'!$AM108="No",'BMP P Tracking Table'!$V108*VLOOKUP('BMP P Tracking Table'!$R108,'Loading Rates'!$B$1:$L$24,4,FALSE)+IF('BMP P Tracking Table'!$W108="By HSG",'BMP P Tracking Table'!$X108*VLOOKUP('BMP P Tracking Table'!$R108,'Loading Rates'!$B$1:$L$24,6,FALSE)+'BMP P Tracking Table'!$Y108*VLOOKUP('BMP P Tracking Table'!$R108,'Loading Rates'!$B$1:$L$24,7,FALSE)+'BMP P Tracking Table'!$Z108*VLOOKUP('BMP P Tracking Table'!$R108,'Loading Rates'!$B$1:$L$24,8,FALSE)+'BMP P Tracking Table'!$AA108*VLOOKUP('BMP P Tracking Table'!$R108,'Loading Rates'!$B$1:$L$24,9,FALSE),'BMP P Tracking Table'!$AB108*VLOOKUP('BMP P Tracking Table'!$R108,'Loading Rates'!$B$1:$L$24,10,FALSE)),'BMP P Tracking Table'!$AP108*VLOOKUP('BMP P Tracking Table'!$R108,'Loading Rates'!$B$1:$L$24,4,FALSE)+IF('BMP P Tracking Table'!$AQ108="By HSG",'BMP P Tracking Table'!$AR108*VLOOKUP('BMP P Tracking Table'!$R108,'Loading Rates'!$B$1:$L$24,6,FALSE)+'BMP P Tracking Table'!$AS108*VLOOKUP('BMP P Tracking Table'!$R108,'Loading Rates'!$B$1:$L$24,7,FALSE)+'BMP P Tracking Table'!$AT108*VLOOKUP('BMP P Tracking Table'!$R108,'Loading Rates'!$B$1:$L$24,8,FALSE)+'BMP P Tracking Table'!$AU108*VLOOKUP('BMP P Tracking Table'!$R108,'Loading Rates'!$B$1:$L$24,9,FALSE),'BMP P Tracking Table'!$AV108*VLOOKUP('BMP P Tracking Table'!$R108,'Loading Rates'!$B$1:$L$24,10,FALSE))),"")</f>
        <v/>
      </c>
      <c r="BA108" s="104">
        <f>IFERROR(IF('BMP P Tracking Table'!$AM108="Yes",MIN(2,IF('BMP P Tracking Table'!$AQ108="Total Pervious",(-(3630*'BMP P Tracking Table'!$AP108+20.691*'BMP P Tracking Table'!$AV108)+SQRT((3630*'BMP P Tracking Table'!$AP108+20.691*'BMP P Tracking Table'!$AV108)^2-(4*(996.798*'BMP P Tracking Table'!$AV108)*-'BMP P Tracking Table'!$AX108)))/(2*(996.798*'BMP P Tracking Table'!$AV108)),IF(SUM('BMP P Tracking Table'!$AR108:$AU108)=0,'BMP P Tracking Table'!$AV108/(-3630*'BMP P Tracking Table'!$AP108),(-(3630*'BMP P Tracking Table'!$AP108+20.691*'BMP P Tracking Table'!$AU108-216.711*'BMP P Tracking Table'!$AT108-83.853*'BMP P Tracking Table'!$AS108-42.834*'BMP P Tracking Table'!$AR108)+SQRT((3630*'BMP P Tracking Table'!$AP108+20.691*'BMP P Tracking Table'!$AU108-216.711*'BMP P Tracking Table'!$AT108-83.853*'BMP P Tracking Table'!$AS108-42.834*'BMP P Tracking Table'!$AR108)^2-(4*(149.919*'BMP P Tracking Table'!$AR108+236.676*'BMP P Tracking Table'!$AS108+726*'BMP P Tracking Table'!$AT108+996.798*'BMP P Tracking Table'!$AU108)*-'BMP P Tracking Table'!$AX108)))/(2*(149.919*'BMP P Tracking Table'!$AR108+236.676*'BMP P Tracking Table'!$AS108+726*'BMP P Tracking Table'!$AT108+996.798*'BMP P Tracking Table'!$AU108))))),MIN(2,IF('BMP P Tracking Table'!$AQ108="Total Pervious",(-(3630*'BMP P Tracking Table'!$V108+20.691*'BMP P Tracking Table'!$AB108)+SQRT((3630*'BMP P Tracking Table'!$V108+20.691*'BMP P Tracking Table'!$AB108)^2-(4*(996.798*'BMP P Tracking Table'!$AB108)*-'BMP P Tracking Table'!$AX108)))/(2*(996.798*'BMP P Tracking Table'!$AB108)),IF(SUM('BMP P Tracking Table'!$X108:$AA108)=0,'BMP P Tracking Table'!$AX108/(-3630*'BMP P Tracking Table'!$V108),(-(3630*'BMP P Tracking Table'!$V108+20.691*'BMP P Tracking Table'!$AA108-216.711*'BMP P Tracking Table'!$Z108-83.853*'BMP P Tracking Table'!$Y108-42.834*'BMP P Tracking Table'!$X108)+SQRT((3630*'BMP P Tracking Table'!$V108+20.691*'BMP P Tracking Table'!$AA108-216.711*'BMP P Tracking Table'!$Z108-83.853*'BMP P Tracking Table'!$Y108-42.834*'BMP P Tracking Table'!$X108)^2-(4*(149.919*'BMP P Tracking Table'!$X108+236.676*'BMP P Tracking Table'!$Y108+726*'BMP P Tracking Table'!$Z108+996.798*'BMP P Tracking Table'!$AA108)*-'BMP P Tracking Table'!$AX108)))/(2*(149.919*'BMP P Tracking Table'!$X108+236.676*'BMP P Tracking Table'!$Y108+726*'BMP P Tracking Table'!$Z108+996.798*'BMP P Tracking Table'!$AA108)))))),"")</f>
        <v>0</v>
      </c>
      <c r="BB108" s="102" t="str">
        <f>IFERROR((VLOOKUP(CONCATENATE('BMP P Tracking Table'!$AW108," ",'BMP P Tracking Table'!$AY108),'Performance Curves'!$C$1:$L$46,_xlfn.SINGLE(MATCH('BMP P Tracking Table'!$BA108,'Performance Curves'!$D$1:$L$1,1))+2,FALSE)-VLOOKUP(CONCATENATE('BMP P Tracking Table'!$AW108," ",'BMP P Tracking Table'!$AY108),'Performance Curves'!$C$1:$L$46,_xlfn.SINGLE(MATCH('BMP P Tracking Table'!$BA108,'Performance Curves'!$D$1:$L$1,1))+1,FALSE)),"")</f>
        <v/>
      </c>
      <c r="BC108" s="102">
        <f>IFERROR(('BMP P Tracking Table'!$BA108-INDEX('Performance Curves'!$D$1:$L$1,1,MATCH('BMP P Tracking Table'!$BA108,'Performance Curves'!$D$1:$L$1,1)))/(INDEX('Performance Curves'!$D$1:$L$1,1,MATCH('BMP P Tracking Table'!$BA108,'Performance Curves'!$D$1:$L$1,1)+1)-INDEX('Performance Curves'!$D$1:$L$1,1,MATCH('BMP P Tracking Table'!$BA108,'Performance Curves'!$D$1:$L$1,1))),"")</f>
        <v>0</v>
      </c>
      <c r="BD108" s="103" t="str" cm="1">
        <f t="array" ref="BD108">IFERROR(IF('BMP P Tracking Table'!$BA108=2,VLOOKUP(CONCATENATE('BMP P Tracking Table'!$AW108," ",'BMP P Tracking Table'!$AY108),'Performance Curves'!$C$1:$L$44,_xlfn.SINGLE(MATCH('BMP P Tracking Table'!$BA108,'Performance Curves'!$D$1:$L$1,1))+1,FALSE),'BMP P Tracking Table'!$BB108*'BMP P Tracking Table'!$BC108+VLOOKUP(CONCATENATE('BMP P Tracking Table'!$AW108," ",'BMP P Tracking Table'!$AY108),'Performance Curves'!$C$1:$L$44,_xlfn.SINGLE(MATCH('BMP P Tracking Table'!$BA108,'Performance Curves'!$D$1:$L$1,1))+1,FALSE)),"")</f>
        <v/>
      </c>
      <c r="BE108" s="104" t="str">
        <f>IFERROR('BMP P Tracking Table'!$BD108*'BMP P Tracking Table'!$AZ108,"")</f>
        <v/>
      </c>
      <c r="BF108" s="98"/>
      <c r="BG108" s="37">
        <f t="shared" si="17"/>
        <v>0</v>
      </c>
      <c r="BI108" s="36" t="str">
        <f t="shared" si="7"/>
        <v>EJ-WR-025</v>
      </c>
      <c r="BJ108" s="36" t="str">
        <f t="shared" si="8"/>
        <v>CB757 Loubier Drive drywell</v>
      </c>
      <c r="BK108" s="36" t="s">
        <v>800</v>
      </c>
      <c r="BP108" s="36" t="s">
        <v>874</v>
      </c>
      <c r="BQ108" s="36">
        <f t="shared" si="18"/>
        <v>0.96</v>
      </c>
      <c r="BR108" s="36">
        <f t="shared" si="19"/>
        <v>0.75</v>
      </c>
      <c r="BS108" s="101">
        <f t="shared" si="20"/>
        <v>0.21875000000000003</v>
      </c>
      <c r="BT108" s="238">
        <f t="shared" si="21"/>
        <v>82380.952380952367</v>
      </c>
      <c r="BU108" s="238">
        <f t="shared" si="22"/>
        <v>69319.229074007293</v>
      </c>
    </row>
    <row r="109" spans="1:73">
      <c r="B109" s="65" t="s">
        <v>760</v>
      </c>
      <c r="C109" s="65" t="s">
        <v>690</v>
      </c>
      <c r="D109" s="65" t="s">
        <v>325</v>
      </c>
      <c r="E109" s="65" t="s">
        <v>10</v>
      </c>
      <c r="F109" s="94"/>
      <c r="G109" s="94"/>
      <c r="H109" s="65"/>
      <c r="I109" s="65"/>
      <c r="J109" s="65" t="s">
        <v>66</v>
      </c>
      <c r="K109" s="95">
        <f>ROUNDUP((VLOOKUP($U109,Dropdowns!$G$3:$I$17, 3, FALSE))*$AC109,-2)</f>
        <v>29500</v>
      </c>
      <c r="L109" s="65" t="s">
        <v>49</v>
      </c>
      <c r="M109" s="65"/>
      <c r="N109" s="65"/>
      <c r="O109" s="65"/>
      <c r="P109" s="65"/>
      <c r="Q109" s="65" t="s">
        <v>119</v>
      </c>
      <c r="R109" s="65" t="s">
        <v>146</v>
      </c>
      <c r="S109" s="65" t="str">
        <f>IFERROR(VLOOKUP('BMP P Tracking Table'!$R109,Dropdowns!$Q$3:$R$23,2,FALSE),"")</f>
        <v>Main Lake</v>
      </c>
      <c r="T109" s="65" t="s">
        <v>66</v>
      </c>
      <c r="U109" s="65" t="s">
        <v>47</v>
      </c>
      <c r="V109" s="65">
        <f>0.28+0.13</f>
        <v>0.41000000000000003</v>
      </c>
      <c r="W109" s="65" t="s">
        <v>220</v>
      </c>
      <c r="X109" s="65">
        <v>0.32</v>
      </c>
      <c r="Y109" s="65">
        <v>0</v>
      </c>
      <c r="Z109" s="65">
        <v>0</v>
      </c>
      <c r="AA109" s="65">
        <v>0</v>
      </c>
      <c r="AB109" s="65"/>
      <c r="AC109" s="97">
        <f>((1*(0.05+0.009*((V109/(V109+X109))*100))*(V109+X109))/12)*43560</f>
        <v>1471.9650000000001</v>
      </c>
      <c r="AD109" s="65" t="s">
        <v>205</v>
      </c>
      <c r="AE109" s="104">
        <f>IFERROR('BMP P Tracking Table'!$V109*VLOOKUP('BMP P Tracking Table'!$R109,'Loading Rates'!$B$1:$L$24,4,FALSE)+IF('BMP P Tracking Table'!$W109="By HSG",'BMP P Tracking Table'!$X109*VLOOKUP('BMP P Tracking Table'!$R109,'Loading Rates'!$B$1:$L$24,6,FALSE)+'BMP P Tracking Table'!$Y109*VLOOKUP('BMP P Tracking Table'!$R109,'Loading Rates'!$B$1:$L$24,7,FALSE)+'BMP P Tracking Table'!$Z109*VLOOKUP('BMP P Tracking Table'!$R109,'Loading Rates'!$B$1:$L$24,8,FALSE)+'BMP P Tracking Table'!$AA109*VLOOKUP('BMP P Tracking Table'!$R109,'Loading Rates'!$B$1:$L$24,9,FALSE),'BMP P Tracking Table'!$AB109*VLOOKUP('BMP P Tracking Table'!$R109,'Loading Rates'!$B$1:$L$24,10,FALSE)),"")</f>
        <v>0.46437000000000006</v>
      </c>
      <c r="AF109" s="104">
        <f>IFERROR(MIN(2,IF('BMP P Tracking Table'!$W109="Total Pervious",(-(3630*'BMP P Tracking Table'!$V109+20.691*'BMP P Tracking Table'!$AB109)+SQRT((3630*'BMP P Tracking Table'!$V109+20.691*'BMP P Tracking Table'!$AB109)^2-(4*(996.798*'BMP P Tracking Table'!$AB109)*-'BMP P Tracking Table'!$AC109)))/(2*(996.798*'BMP P Tracking Table'!$AB109)),IF(SUM('BMP P Tracking Table'!$X109:$AA109)=0,'BMP P Tracking Table'!$AC109/(-3630*'BMP P Tracking Table'!$V109),(-(3630*'BMP P Tracking Table'!$V109+20.691*'BMP P Tracking Table'!$AA109-216.711*'BMP P Tracking Table'!$Z109-83.853*'BMP P Tracking Table'!$Y109-42.834*'BMP P Tracking Table'!$X109)+SQRT((3630*'BMP P Tracking Table'!$V109+20.691*'BMP P Tracking Table'!$AA109-216.711*'BMP P Tracking Table'!$Z109-83.853*'BMP P Tracking Table'!$Y109-42.834*'BMP P Tracking Table'!$X109)^2-(4*(149.919*'BMP P Tracking Table'!$X109+236.676*'BMP P Tracking Table'!$Y109+726*'BMP P Tracking Table'!$Z109+996.798*'BMP P Tracking Table'!$AA109)*-'BMP P Tracking Table'!$AC109)))/(2*(149.919*'BMP P Tracking Table'!$X109+236.676*'BMP P Tracking Table'!$Y109+726*'BMP P Tracking Table'!$Z109+996.798*'BMP P Tracking Table'!$AA109))))),"")</f>
        <v>0.9677486348745864</v>
      </c>
      <c r="AG109" s="104">
        <f>IFERROR((VLOOKUP(CONCATENATE('BMP P Tracking Table'!$U109," ",'BMP P Tracking Table'!$AD109),'Performance Curves'!$C$1:$L$46,_xlfn.SINGLE(MATCH('BMP P Tracking Table'!$AF109,'Performance Curves'!$D$1:$L$1,1))+2,FALSE)-VLOOKUP(CONCATENATE('BMP P Tracking Table'!$U109," ",'BMP P Tracking Table'!$AD109),'Performance Curves'!$C$1:$L$46,_xlfn.SINGLE(MATCH('BMP P Tracking Table'!$AF109,'Performance Curves'!$D$1:$L$1,1))+1,FALSE)),"")</f>
        <v>1.0000000000000009E-2</v>
      </c>
      <c r="AH109" s="104">
        <f>IFERROR(('BMP P Tracking Table'!$AF109-INDEX('Performance Curves'!$D$1:$L$1,1,MATCH('BMP P Tracking Table'!$AF109,'Performance Curves'!$D$1:$L$1,1)))/(INDEX('Performance Curves'!$D$1:$L$1,1,MATCH('BMP P Tracking Table'!$AF109,'Performance Curves'!$D$1:$L$1,1)+1)-INDEX('Performance Curves'!$D$1:$L$1,1,MATCH('BMP P Tracking Table'!$AF109,'Performance Curves'!$D$1:$L$1,1))),"")</f>
        <v>0.838743174372932</v>
      </c>
      <c r="AI109" s="103">
        <f>IFERROR(IF('BMP P Tracking Table'!$AF109=2,VLOOKUP(CONCATENATE('BMP P Tracking Table'!$U109," ",'BMP P Tracking Table'!$AD109),'Performance Curves'!$C$1:$L$46,_xlfn.SINGLE(MATCH('BMP P Tracking Table'!$AF109,'Performance Curves'!$D$1:$L$1,1))+1,FALSE),'BMP P Tracking Table'!$AG109*'BMP P Tracking Table'!$AH109+VLOOKUP(CONCATENATE('BMP P Tracking Table'!$U109," ",'BMP P Tracking Table'!$AD109),'Performance Curves'!$C$1:$L$46,_xlfn.SINGLE(MATCH('BMP P Tracking Table'!$AF109,'Performance Curves'!$D$1:$L$1,1))+1,FALSE)),"")</f>
        <v>0.99838743174372935</v>
      </c>
      <c r="AJ109" s="104">
        <f>IFERROR('BMP P Tracking Table'!$AI109*'BMP P Tracking Table'!$AE109,"")</f>
        <v>0.46362117167883565</v>
      </c>
      <c r="AK109" s="65"/>
      <c r="AL109" s="98" t="s">
        <v>62</v>
      </c>
      <c r="AM109" s="98"/>
      <c r="AN109" s="64">
        <v>1</v>
      </c>
      <c r="AO109" s="102">
        <f t="shared" si="16"/>
        <v>0.46362117167883565</v>
      </c>
      <c r="AP109" s="98"/>
      <c r="AQ109" s="98"/>
      <c r="AR109" s="98"/>
      <c r="AS109" s="98"/>
      <c r="AT109" s="98"/>
      <c r="AU109" s="98"/>
      <c r="AV109" s="98"/>
      <c r="AW109" s="65"/>
      <c r="AX109" s="99"/>
      <c r="AY109" s="99"/>
      <c r="AZ109" s="104" t="str">
        <f>IF('BMP P Tracking Table'!$AL109="Yes",IF('BMP P Tracking Table'!$AM109="No",'BMP P Tracking Table'!$V109*VLOOKUP('BMP P Tracking Table'!$R109,'Loading Rates'!$B$1:$L$24,4,FALSE)+IF('BMP P Tracking Table'!$W109="By HSG",'BMP P Tracking Table'!$X109*VLOOKUP('BMP P Tracking Table'!$R109,'Loading Rates'!$B$1:$L$24,6,FALSE)+'BMP P Tracking Table'!$Y109*VLOOKUP('BMP P Tracking Table'!$R109,'Loading Rates'!$B$1:$L$24,7,FALSE)+'BMP P Tracking Table'!$Z109*VLOOKUP('BMP P Tracking Table'!$R109,'Loading Rates'!$B$1:$L$24,8,FALSE)+'BMP P Tracking Table'!$AA109*VLOOKUP('BMP P Tracking Table'!$R109,'Loading Rates'!$B$1:$L$24,9,FALSE),'BMP P Tracking Table'!$AB109*VLOOKUP('BMP P Tracking Table'!$R109,'Loading Rates'!$B$1:$L$24,10,FALSE)),'BMP P Tracking Table'!$AP109*VLOOKUP('BMP P Tracking Table'!$R109,'Loading Rates'!$B$1:$L$24,4,FALSE)+IF('BMP P Tracking Table'!$AQ109="By HSG",'BMP P Tracking Table'!$AR109*VLOOKUP('BMP P Tracking Table'!$R109,'Loading Rates'!$B$1:$L$24,6,FALSE)+'BMP P Tracking Table'!$AS109*VLOOKUP('BMP P Tracking Table'!$R109,'Loading Rates'!$B$1:$L$24,7,FALSE)+'BMP P Tracking Table'!$AT109*VLOOKUP('BMP P Tracking Table'!$R109,'Loading Rates'!$B$1:$L$24,8,FALSE)+'BMP P Tracking Table'!$AU109*VLOOKUP('BMP P Tracking Table'!$R109,'Loading Rates'!$B$1:$L$24,9,FALSE),'BMP P Tracking Table'!$AV109*VLOOKUP('BMP P Tracking Table'!$R109,'Loading Rates'!$B$1:$L$24,10,FALSE))),"")</f>
        <v/>
      </c>
      <c r="BA109" s="104">
        <f>IFERROR(IF('BMP P Tracking Table'!$AM109="Yes",MIN(2,IF('BMP P Tracking Table'!$AQ109="Total Pervious",(-(3630*'BMP P Tracking Table'!$AP109+20.691*'BMP P Tracking Table'!$AV109)+SQRT((3630*'BMP P Tracking Table'!$AP109+20.691*'BMP P Tracking Table'!$AV109)^2-(4*(996.798*'BMP P Tracking Table'!$AV109)*-'BMP P Tracking Table'!$AX109)))/(2*(996.798*'BMP P Tracking Table'!$AV109)),IF(SUM('BMP P Tracking Table'!$AR109:$AU109)=0,'BMP P Tracking Table'!$AV109/(-3630*'BMP P Tracking Table'!$AP109),(-(3630*'BMP P Tracking Table'!$AP109+20.691*'BMP P Tracking Table'!$AU109-216.711*'BMP P Tracking Table'!$AT109-83.853*'BMP P Tracking Table'!$AS109-42.834*'BMP P Tracking Table'!$AR109)+SQRT((3630*'BMP P Tracking Table'!$AP109+20.691*'BMP P Tracking Table'!$AU109-216.711*'BMP P Tracking Table'!$AT109-83.853*'BMP P Tracking Table'!$AS109-42.834*'BMP P Tracking Table'!$AR109)^2-(4*(149.919*'BMP P Tracking Table'!$AR109+236.676*'BMP P Tracking Table'!$AS109+726*'BMP P Tracking Table'!$AT109+996.798*'BMP P Tracking Table'!$AU109)*-'BMP P Tracking Table'!$AX109)))/(2*(149.919*'BMP P Tracking Table'!$AR109+236.676*'BMP P Tracking Table'!$AS109+726*'BMP P Tracking Table'!$AT109+996.798*'BMP P Tracking Table'!$AU109))))),MIN(2,IF('BMP P Tracking Table'!$AQ109="Total Pervious",(-(3630*'BMP P Tracking Table'!$V109+20.691*'BMP P Tracking Table'!$AB109)+SQRT((3630*'BMP P Tracking Table'!$V109+20.691*'BMP P Tracking Table'!$AB109)^2-(4*(996.798*'BMP P Tracking Table'!$AB109)*-'BMP P Tracking Table'!$AX109)))/(2*(996.798*'BMP P Tracking Table'!$AB109)),IF(SUM('BMP P Tracking Table'!$X109:$AA109)=0,'BMP P Tracking Table'!$AX109/(-3630*'BMP P Tracking Table'!$V109),(-(3630*'BMP P Tracking Table'!$V109+20.691*'BMP P Tracking Table'!$AA109-216.711*'BMP P Tracking Table'!$Z109-83.853*'BMP P Tracking Table'!$Y109-42.834*'BMP P Tracking Table'!$X109)+SQRT((3630*'BMP P Tracking Table'!$V109+20.691*'BMP P Tracking Table'!$AA109-216.711*'BMP P Tracking Table'!$Z109-83.853*'BMP P Tracking Table'!$Y109-42.834*'BMP P Tracking Table'!$X109)^2-(4*(149.919*'BMP P Tracking Table'!$X109+236.676*'BMP P Tracking Table'!$Y109+726*'BMP P Tracking Table'!$Z109+996.798*'BMP P Tracking Table'!$AA109)*-'BMP P Tracking Table'!$AX109)))/(2*(149.919*'BMP P Tracking Table'!$X109+236.676*'BMP P Tracking Table'!$Y109+726*'BMP P Tracking Table'!$Z109+996.798*'BMP P Tracking Table'!$AA109)))))),"")</f>
        <v>0</v>
      </c>
      <c r="BB109" s="102" t="str">
        <f>IFERROR((VLOOKUP(CONCATENATE('BMP P Tracking Table'!$AW109," ",'BMP P Tracking Table'!$AY109),'Performance Curves'!$C$1:$L$46,_xlfn.SINGLE(MATCH('BMP P Tracking Table'!$BA109,'Performance Curves'!$D$1:$L$1,1))+2,FALSE)-VLOOKUP(CONCATENATE('BMP P Tracking Table'!$AW109," ",'BMP P Tracking Table'!$AY109),'Performance Curves'!$C$1:$L$46,_xlfn.SINGLE(MATCH('BMP P Tracking Table'!$BA109,'Performance Curves'!$D$1:$L$1,1))+1,FALSE)),"")</f>
        <v/>
      </c>
      <c r="BC109" s="102">
        <f>IFERROR(('BMP P Tracking Table'!$BA109-INDEX('Performance Curves'!$D$1:$L$1,1,MATCH('BMP P Tracking Table'!$BA109,'Performance Curves'!$D$1:$L$1,1)))/(INDEX('Performance Curves'!$D$1:$L$1,1,MATCH('BMP P Tracking Table'!$BA109,'Performance Curves'!$D$1:$L$1,1)+1)-INDEX('Performance Curves'!$D$1:$L$1,1,MATCH('BMP P Tracking Table'!$BA109,'Performance Curves'!$D$1:$L$1,1))),"")</f>
        <v>0</v>
      </c>
      <c r="BD109" s="103" t="str" cm="1">
        <f t="array" ref="BD109">IFERROR(IF('BMP P Tracking Table'!$BA109=2,VLOOKUP(CONCATENATE('BMP P Tracking Table'!$AW109," ",'BMP P Tracking Table'!$AY109),'Performance Curves'!$C$1:$L$44,_xlfn.SINGLE(MATCH('BMP P Tracking Table'!$BA109,'Performance Curves'!$D$1:$L$1,1))+1,FALSE),'BMP P Tracking Table'!$BB109*'BMP P Tracking Table'!$BC109+VLOOKUP(CONCATENATE('BMP P Tracking Table'!$AW109," ",'BMP P Tracking Table'!$AY109),'Performance Curves'!$C$1:$L$44,_xlfn.SINGLE(MATCH('BMP P Tracking Table'!$BA109,'Performance Curves'!$D$1:$L$1,1))+1,FALSE)),"")</f>
        <v/>
      </c>
      <c r="BE109" s="104" t="str">
        <f>IFERROR('BMP P Tracking Table'!$BD109*'BMP P Tracking Table'!$AZ109,"")</f>
        <v/>
      </c>
      <c r="BF109" s="98"/>
      <c r="BG109" s="37">
        <f t="shared" si="17"/>
        <v>0</v>
      </c>
      <c r="BI109" s="36" t="str">
        <f t="shared" si="7"/>
        <v>EJ-WR-029</v>
      </c>
      <c r="BJ109" s="36" t="str">
        <f t="shared" si="8"/>
        <v>CB1425 Killoran Drive drywell</v>
      </c>
      <c r="BK109" s="36" t="s">
        <v>801</v>
      </c>
      <c r="BL109" s="36" t="s">
        <v>820</v>
      </c>
      <c r="BO109" s="36" t="s">
        <v>819</v>
      </c>
      <c r="BP109" s="36" t="s">
        <v>874</v>
      </c>
      <c r="BQ109" s="36">
        <f t="shared" si="18"/>
        <v>0.73</v>
      </c>
      <c r="BR109" s="36">
        <f t="shared" si="19"/>
        <v>0.32</v>
      </c>
      <c r="BS109" s="101">
        <f t="shared" si="20"/>
        <v>0.56164383561643838</v>
      </c>
      <c r="BT109" s="238">
        <f t="shared" si="21"/>
        <v>71951.219512195123</v>
      </c>
      <c r="BU109" s="238">
        <f t="shared" si="22"/>
        <v>63629.535927309931</v>
      </c>
    </row>
    <row r="110" spans="1:73">
      <c r="B110" s="65" t="s">
        <v>758</v>
      </c>
      <c r="C110" s="65" t="s">
        <v>691</v>
      </c>
      <c r="D110" s="65" t="s">
        <v>325</v>
      </c>
      <c r="E110" s="65" t="s">
        <v>10</v>
      </c>
      <c r="F110" s="94"/>
      <c r="G110" s="94"/>
      <c r="H110" s="65"/>
      <c r="I110" s="65"/>
      <c r="J110" s="65" t="s">
        <v>66</v>
      </c>
      <c r="K110" s="95">
        <f>ROUNDUP((VLOOKUP($U110,Dropdowns!$G$3:$I$17, 3, FALSE))*$AC110,-2)</f>
        <v>23900</v>
      </c>
      <c r="L110" s="65" t="s">
        <v>49</v>
      </c>
      <c r="M110" s="65"/>
      <c r="N110" s="65"/>
      <c r="O110" s="65"/>
      <c r="P110" s="65"/>
      <c r="Q110" s="65" t="s">
        <v>119</v>
      </c>
      <c r="R110" s="65" t="s">
        <v>146</v>
      </c>
      <c r="S110" s="65" t="str">
        <f>IFERROR(VLOOKUP('BMP P Tracking Table'!$R110,Dropdowns!$Q$3:$R$23,2,FALSE),"")</f>
        <v>Main Lake</v>
      </c>
      <c r="T110" s="65" t="s">
        <v>66</v>
      </c>
      <c r="U110" s="65" t="s">
        <v>47</v>
      </c>
      <c r="V110" s="65">
        <f>0.13+0.18</f>
        <v>0.31</v>
      </c>
      <c r="W110" s="65" t="s">
        <v>220</v>
      </c>
      <c r="X110" s="65">
        <v>0.44</v>
      </c>
      <c r="Y110" s="65">
        <v>0</v>
      </c>
      <c r="Z110" s="65">
        <v>0</v>
      </c>
      <c r="AA110" s="65">
        <v>0</v>
      </c>
      <c r="AB110" s="65"/>
      <c r="AC110" s="97">
        <f>((1*(0.05+0.009*((V110/(V110+X110))*100)*(V110+X110))/12)*43560)</f>
        <v>1194.2700000000002</v>
      </c>
      <c r="AD110" s="65" t="s">
        <v>205</v>
      </c>
      <c r="AE110" s="104">
        <f>IFERROR('BMP P Tracking Table'!$V110*VLOOKUP('BMP P Tracking Table'!$R110,'Loading Rates'!$B$1:$L$24,4,FALSE)+IF('BMP P Tracking Table'!$W110="By HSG",'BMP P Tracking Table'!$X110*VLOOKUP('BMP P Tracking Table'!$R110,'Loading Rates'!$B$1:$L$24,6,FALSE)+'BMP P Tracking Table'!$Y110*VLOOKUP('BMP P Tracking Table'!$R110,'Loading Rates'!$B$1:$L$24,7,FALSE)+'BMP P Tracking Table'!$Z110*VLOOKUP('BMP P Tracking Table'!$R110,'Loading Rates'!$B$1:$L$24,8,FALSE)+'BMP P Tracking Table'!$AA110*VLOOKUP('BMP P Tracking Table'!$R110,'Loading Rates'!$B$1:$L$24,9,FALSE),'BMP P Tracking Table'!$AB110*VLOOKUP('BMP P Tracking Table'!$R110,'Loading Rates'!$B$1:$L$24,10,FALSE)),"")</f>
        <v>0.35507</v>
      </c>
      <c r="AF110" s="104">
        <f>IFERROR(MIN(2,IF('BMP P Tracking Table'!$W110="Total Pervious",(-(3630*'BMP P Tracking Table'!$V110+20.691*'BMP P Tracking Table'!$AB110)+SQRT((3630*'BMP P Tracking Table'!$V110+20.691*'BMP P Tracking Table'!$AB110)^2-(4*(996.798*'BMP P Tracking Table'!$AB110)*-'BMP P Tracking Table'!$AC110)))/(2*(996.798*'BMP P Tracking Table'!$AB110)),IF(SUM('BMP P Tracking Table'!$X110:$AA110)=0,'BMP P Tracking Table'!$AC110/(-3630*'BMP P Tracking Table'!$V110),(-(3630*'BMP P Tracking Table'!$V110+20.691*'BMP P Tracking Table'!$AA110-216.711*'BMP P Tracking Table'!$Z110-83.853*'BMP P Tracking Table'!$Y110-42.834*'BMP P Tracking Table'!$X110)+SQRT((3630*'BMP P Tracking Table'!$V110+20.691*'BMP P Tracking Table'!$AA110-216.711*'BMP P Tracking Table'!$Z110-83.853*'BMP P Tracking Table'!$Y110-42.834*'BMP P Tracking Table'!$X110)^2-(4*(149.919*'BMP P Tracking Table'!$X110+236.676*'BMP P Tracking Table'!$Y110+726*'BMP P Tracking Table'!$Z110+996.798*'BMP P Tracking Table'!$AA110)*-'BMP P Tracking Table'!$AC110)))/(2*(149.919*'BMP P Tracking Table'!$X110+236.676*'BMP P Tracking Table'!$Y110+726*'BMP P Tracking Table'!$Z110+996.798*'BMP P Tracking Table'!$AA110))))),"")</f>
        <v>1.0176295379518339</v>
      </c>
      <c r="AG110" s="104">
        <f>IFERROR((VLOOKUP(CONCATENATE('BMP P Tracking Table'!$U110," ",'BMP P Tracking Table'!$AD110),'Performance Curves'!$C$1:$L$46,_xlfn.SINGLE(MATCH('BMP P Tracking Table'!$AF110,'Performance Curves'!$D$1:$L$1,1))+2,FALSE)-VLOOKUP(CONCATENATE('BMP P Tracking Table'!$U110," ",'BMP P Tracking Table'!$AD110),'Performance Curves'!$C$1:$L$46,_xlfn.SINGLE(MATCH('BMP P Tracking Table'!$AF110,'Performance Curves'!$D$1:$L$1,1))+1,FALSE)),"")</f>
        <v>0</v>
      </c>
      <c r="AH110" s="104">
        <f>IFERROR(('BMP P Tracking Table'!$AF110-INDEX('Performance Curves'!$D$1:$L$1,1,MATCH('BMP P Tracking Table'!$AF110,'Performance Curves'!$D$1:$L$1,1)))/(INDEX('Performance Curves'!$D$1:$L$1,1,MATCH('BMP P Tracking Table'!$AF110,'Performance Curves'!$D$1:$L$1,1)+1)-INDEX('Performance Curves'!$D$1:$L$1,1,MATCH('BMP P Tracking Table'!$AF110,'Performance Curves'!$D$1:$L$1,1))),"")</f>
        <v>3.5259075903667725E-2</v>
      </c>
      <c r="AI110" s="103">
        <f>IFERROR(IF('BMP P Tracking Table'!$AF110=2,VLOOKUP(CONCATENATE('BMP P Tracking Table'!$U110," ",'BMP P Tracking Table'!$AD110),'Performance Curves'!$C$1:$L$46,_xlfn.SINGLE(MATCH('BMP P Tracking Table'!$AF110,'Performance Curves'!$D$1:$L$1,1))+1,FALSE),'BMP P Tracking Table'!$AG110*'BMP P Tracking Table'!$AH110+VLOOKUP(CONCATENATE('BMP P Tracking Table'!$U110," ",'BMP P Tracking Table'!$AD110),'Performance Curves'!$C$1:$L$46,_xlfn.SINGLE(MATCH('BMP P Tracking Table'!$AF110,'Performance Curves'!$D$1:$L$1,1))+1,FALSE)),"")</f>
        <v>1</v>
      </c>
      <c r="AJ110" s="104">
        <f>IFERROR('BMP P Tracking Table'!$AI110*'BMP P Tracking Table'!$AE110,"")</f>
        <v>0.35507</v>
      </c>
      <c r="AK110" s="65"/>
      <c r="AL110" s="98" t="s">
        <v>62</v>
      </c>
      <c r="AM110" s="98"/>
      <c r="AN110" s="64">
        <v>1</v>
      </c>
      <c r="AO110" s="102">
        <f t="shared" si="16"/>
        <v>0.35507</v>
      </c>
      <c r="AP110" s="98"/>
      <c r="AQ110" s="98"/>
      <c r="AR110" s="98"/>
      <c r="AS110" s="98"/>
      <c r="AT110" s="98"/>
      <c r="AU110" s="98"/>
      <c r="AV110" s="98"/>
      <c r="AW110" s="65"/>
      <c r="AX110" s="99"/>
      <c r="AY110" s="99"/>
      <c r="AZ110" s="104" t="str">
        <f>IF('BMP P Tracking Table'!$AL110="Yes",IF('BMP P Tracking Table'!$AM110="No",'BMP P Tracking Table'!$V110*VLOOKUP('BMP P Tracking Table'!$R110,'Loading Rates'!$B$1:$L$24,4,FALSE)+IF('BMP P Tracking Table'!$W110="By HSG",'BMP P Tracking Table'!$X110*VLOOKUP('BMP P Tracking Table'!$R110,'Loading Rates'!$B$1:$L$24,6,FALSE)+'BMP P Tracking Table'!$Y110*VLOOKUP('BMP P Tracking Table'!$R110,'Loading Rates'!$B$1:$L$24,7,FALSE)+'BMP P Tracking Table'!$Z110*VLOOKUP('BMP P Tracking Table'!$R110,'Loading Rates'!$B$1:$L$24,8,FALSE)+'BMP P Tracking Table'!$AA110*VLOOKUP('BMP P Tracking Table'!$R110,'Loading Rates'!$B$1:$L$24,9,FALSE),'BMP P Tracking Table'!$AB110*VLOOKUP('BMP P Tracking Table'!$R110,'Loading Rates'!$B$1:$L$24,10,FALSE)),'BMP P Tracking Table'!$AP110*VLOOKUP('BMP P Tracking Table'!$R110,'Loading Rates'!$B$1:$L$24,4,FALSE)+IF('BMP P Tracking Table'!$AQ110="By HSG",'BMP P Tracking Table'!$AR110*VLOOKUP('BMP P Tracking Table'!$R110,'Loading Rates'!$B$1:$L$24,6,FALSE)+'BMP P Tracking Table'!$AS110*VLOOKUP('BMP P Tracking Table'!$R110,'Loading Rates'!$B$1:$L$24,7,FALSE)+'BMP P Tracking Table'!$AT110*VLOOKUP('BMP P Tracking Table'!$R110,'Loading Rates'!$B$1:$L$24,8,FALSE)+'BMP P Tracking Table'!$AU110*VLOOKUP('BMP P Tracking Table'!$R110,'Loading Rates'!$B$1:$L$24,9,FALSE),'BMP P Tracking Table'!$AV110*VLOOKUP('BMP P Tracking Table'!$R110,'Loading Rates'!$B$1:$L$24,10,FALSE))),"")</f>
        <v/>
      </c>
      <c r="BA110" s="104">
        <f>IFERROR(IF('BMP P Tracking Table'!$AM110="Yes",MIN(2,IF('BMP P Tracking Table'!$AQ110="Total Pervious",(-(3630*'BMP P Tracking Table'!$AP110+20.691*'BMP P Tracking Table'!$AV110)+SQRT((3630*'BMP P Tracking Table'!$AP110+20.691*'BMP P Tracking Table'!$AV110)^2-(4*(996.798*'BMP P Tracking Table'!$AV110)*-'BMP P Tracking Table'!$AX110)))/(2*(996.798*'BMP P Tracking Table'!$AV110)),IF(SUM('BMP P Tracking Table'!$AR110:$AU110)=0,'BMP P Tracking Table'!$AV110/(-3630*'BMP P Tracking Table'!$AP110),(-(3630*'BMP P Tracking Table'!$AP110+20.691*'BMP P Tracking Table'!$AU110-216.711*'BMP P Tracking Table'!$AT110-83.853*'BMP P Tracking Table'!$AS110-42.834*'BMP P Tracking Table'!$AR110)+SQRT((3630*'BMP P Tracking Table'!$AP110+20.691*'BMP P Tracking Table'!$AU110-216.711*'BMP P Tracking Table'!$AT110-83.853*'BMP P Tracking Table'!$AS110-42.834*'BMP P Tracking Table'!$AR110)^2-(4*(149.919*'BMP P Tracking Table'!$AR110+236.676*'BMP P Tracking Table'!$AS110+726*'BMP P Tracking Table'!$AT110+996.798*'BMP P Tracking Table'!$AU110)*-'BMP P Tracking Table'!$AX110)))/(2*(149.919*'BMP P Tracking Table'!$AR110+236.676*'BMP P Tracking Table'!$AS110+726*'BMP P Tracking Table'!$AT110+996.798*'BMP P Tracking Table'!$AU110))))),MIN(2,IF('BMP P Tracking Table'!$AQ110="Total Pervious",(-(3630*'BMP P Tracking Table'!$V110+20.691*'BMP P Tracking Table'!$AB110)+SQRT((3630*'BMP P Tracking Table'!$V110+20.691*'BMP P Tracking Table'!$AB110)^2-(4*(996.798*'BMP P Tracking Table'!$AB110)*-'BMP P Tracking Table'!$AX110)))/(2*(996.798*'BMP P Tracking Table'!$AB110)),IF(SUM('BMP P Tracking Table'!$X110:$AA110)=0,'BMP P Tracking Table'!$AX110/(-3630*'BMP P Tracking Table'!$V110),(-(3630*'BMP P Tracking Table'!$V110+20.691*'BMP P Tracking Table'!$AA110-216.711*'BMP P Tracking Table'!$Z110-83.853*'BMP P Tracking Table'!$Y110-42.834*'BMP P Tracking Table'!$X110)+SQRT((3630*'BMP P Tracking Table'!$V110+20.691*'BMP P Tracking Table'!$AA110-216.711*'BMP P Tracking Table'!$Z110-83.853*'BMP P Tracking Table'!$Y110-42.834*'BMP P Tracking Table'!$X110)^2-(4*(149.919*'BMP P Tracking Table'!$X110+236.676*'BMP P Tracking Table'!$Y110+726*'BMP P Tracking Table'!$Z110+996.798*'BMP P Tracking Table'!$AA110)*-'BMP P Tracking Table'!$AX110)))/(2*(149.919*'BMP P Tracking Table'!$X110+236.676*'BMP P Tracking Table'!$Y110+726*'BMP P Tracking Table'!$Z110+996.798*'BMP P Tracking Table'!$AA110)))))),"")</f>
        <v>0</v>
      </c>
      <c r="BB110" s="102" t="str">
        <f>IFERROR((VLOOKUP(CONCATENATE('BMP P Tracking Table'!$AW110," ",'BMP P Tracking Table'!$AY110),'Performance Curves'!$C$1:$L$46,_xlfn.SINGLE(MATCH('BMP P Tracking Table'!$BA110,'Performance Curves'!$D$1:$L$1,1))+2,FALSE)-VLOOKUP(CONCATENATE('BMP P Tracking Table'!$AW110," ",'BMP P Tracking Table'!$AY110),'Performance Curves'!$C$1:$L$46,_xlfn.SINGLE(MATCH('BMP P Tracking Table'!$BA110,'Performance Curves'!$D$1:$L$1,1))+1,FALSE)),"")</f>
        <v/>
      </c>
      <c r="BC110" s="102">
        <f>IFERROR(('BMP P Tracking Table'!$BA110-INDEX('Performance Curves'!$D$1:$L$1,1,MATCH('BMP P Tracking Table'!$BA110,'Performance Curves'!$D$1:$L$1,1)))/(INDEX('Performance Curves'!$D$1:$L$1,1,MATCH('BMP P Tracking Table'!$BA110,'Performance Curves'!$D$1:$L$1,1)+1)-INDEX('Performance Curves'!$D$1:$L$1,1,MATCH('BMP P Tracking Table'!$BA110,'Performance Curves'!$D$1:$L$1,1))),"")</f>
        <v>0</v>
      </c>
      <c r="BD110" s="103" t="str" cm="1">
        <f t="array" ref="BD110">IFERROR(IF('BMP P Tracking Table'!$BA110=2,VLOOKUP(CONCATENATE('BMP P Tracking Table'!$AW110," ",'BMP P Tracking Table'!$AY110),'Performance Curves'!$C$1:$L$44,_xlfn.SINGLE(MATCH('BMP P Tracking Table'!$BA110,'Performance Curves'!$D$1:$L$1,1))+1,FALSE),'BMP P Tracking Table'!$BB110*'BMP P Tracking Table'!$BC110+VLOOKUP(CONCATENATE('BMP P Tracking Table'!$AW110," ",'BMP P Tracking Table'!$AY110),'Performance Curves'!$C$1:$L$44,_xlfn.SINGLE(MATCH('BMP P Tracking Table'!$BA110,'Performance Curves'!$D$1:$L$1,1))+1,FALSE)),"")</f>
        <v/>
      </c>
      <c r="BE110" s="104" t="str">
        <f>IFERROR('BMP P Tracking Table'!$BD110*'BMP P Tracking Table'!$AZ110,"")</f>
        <v/>
      </c>
      <c r="BF110" s="98"/>
      <c r="BG110" s="37">
        <f t="shared" si="17"/>
        <v>0</v>
      </c>
      <c r="BI110" s="36" t="str">
        <f t="shared" si="7"/>
        <v>EJ-WR-027</v>
      </c>
      <c r="BJ110" s="36" t="str">
        <f t="shared" si="8"/>
        <v>CB54 and CB55 Killoran Drive drywells</v>
      </c>
      <c r="BK110" s="36" t="s">
        <v>800</v>
      </c>
      <c r="BP110" s="36" t="s">
        <v>874</v>
      </c>
      <c r="BQ110" s="36">
        <f t="shared" si="18"/>
        <v>0.75</v>
      </c>
      <c r="BR110" s="36">
        <f t="shared" si="19"/>
        <v>0.44</v>
      </c>
      <c r="BS110" s="101">
        <f t="shared" si="20"/>
        <v>0.41333333333333333</v>
      </c>
      <c r="BT110" s="238">
        <f t="shared" si="21"/>
        <v>77096.774193548394</v>
      </c>
      <c r="BU110" s="238">
        <f t="shared" si="22"/>
        <v>67310.671135269105</v>
      </c>
    </row>
    <row r="111" spans="1:73">
      <c r="B111" s="65" t="s">
        <v>759</v>
      </c>
      <c r="C111" s="65" t="s">
        <v>692</v>
      </c>
      <c r="D111" s="65" t="s">
        <v>325</v>
      </c>
      <c r="E111" s="65" t="s">
        <v>10</v>
      </c>
      <c r="F111" s="94"/>
      <c r="G111" s="94"/>
      <c r="H111" s="65"/>
      <c r="I111" s="65"/>
      <c r="J111" s="65" t="s">
        <v>66</v>
      </c>
      <c r="K111" s="95">
        <f>ROUNDUP((VLOOKUP($U111,Dropdowns!$G$3:$I$17, 3, FALSE))*$AC111,-2)</f>
        <v>63100</v>
      </c>
      <c r="L111" s="65" t="s">
        <v>49</v>
      </c>
      <c r="M111" s="65"/>
      <c r="N111" s="65"/>
      <c r="O111" s="65"/>
      <c r="P111" s="65"/>
      <c r="Q111" s="65" t="s">
        <v>119</v>
      </c>
      <c r="R111" s="65" t="s">
        <v>146</v>
      </c>
      <c r="S111" s="65" t="str">
        <f>IFERROR(VLOOKUP('BMP P Tracking Table'!$R111,Dropdowns!$Q$3:$R$23,2,FALSE),"")</f>
        <v>Main Lake</v>
      </c>
      <c r="T111" s="65" t="s">
        <v>66</v>
      </c>
      <c r="U111" s="65" t="s">
        <v>47</v>
      </c>
      <c r="V111" s="65">
        <f>0.56+0.35</f>
        <v>0.91</v>
      </c>
      <c r="W111" s="65" t="s">
        <v>220</v>
      </c>
      <c r="X111" s="65">
        <v>0.96</v>
      </c>
      <c r="Y111" s="65">
        <v>0</v>
      </c>
      <c r="Z111" s="65">
        <v>0</v>
      </c>
      <c r="AA111" s="65">
        <v>0</v>
      </c>
      <c r="AB111" s="65"/>
      <c r="AC111" s="97">
        <f>((1*(0.05+0.009*((V111/(V111+X111))*100)*(V111+X111))/12)*43560)</f>
        <v>3154.4700000000003</v>
      </c>
      <c r="AD111" s="65" t="s">
        <v>205</v>
      </c>
      <c r="AE111" s="104">
        <f>IFERROR('BMP P Tracking Table'!$V111*VLOOKUP('BMP P Tracking Table'!$R111,'Loading Rates'!$B$1:$L$24,4,FALSE)+IF('BMP P Tracking Table'!$W111="By HSG",'BMP P Tracking Table'!$X111*VLOOKUP('BMP P Tracking Table'!$R111,'Loading Rates'!$B$1:$L$24,6,FALSE)+'BMP P Tracking Table'!$Y111*VLOOKUP('BMP P Tracking Table'!$R111,'Loading Rates'!$B$1:$L$24,7,FALSE)+'BMP P Tracking Table'!$Z111*VLOOKUP('BMP P Tracking Table'!$R111,'Loading Rates'!$B$1:$L$24,8,FALSE)+'BMP P Tracking Table'!$AA111*VLOOKUP('BMP P Tracking Table'!$R111,'Loading Rates'!$B$1:$L$24,9,FALSE),'BMP P Tracking Table'!$AB111*VLOOKUP('BMP P Tracking Table'!$R111,'Loading Rates'!$B$1:$L$24,10,FALSE)),"")</f>
        <v>1.0356700000000001</v>
      </c>
      <c r="AF111" s="104">
        <f>IFERROR(MIN(2,IF('BMP P Tracking Table'!$W111="Total Pervious",(-(3630*'BMP P Tracking Table'!$V111+20.691*'BMP P Tracking Table'!$AB111)+SQRT((3630*'BMP P Tracking Table'!$V111+20.691*'BMP P Tracking Table'!$AB111)^2-(4*(996.798*'BMP P Tracking Table'!$AB111)*-'BMP P Tracking Table'!$AC111)))/(2*(996.798*'BMP P Tracking Table'!$AB111)),IF(SUM('BMP P Tracking Table'!$X111:$AA111)=0,'BMP P Tracking Table'!$AC111/(-3630*'BMP P Tracking Table'!$V111),(-(3630*'BMP P Tracking Table'!$V111+20.691*'BMP P Tracking Table'!$AA111-216.711*'BMP P Tracking Table'!$Z111-83.853*'BMP P Tracking Table'!$Y111-42.834*'BMP P Tracking Table'!$X111)+SQRT((3630*'BMP P Tracking Table'!$V111+20.691*'BMP P Tracking Table'!$AA111-216.711*'BMP P Tracking Table'!$Z111-83.853*'BMP P Tracking Table'!$Y111-42.834*'BMP P Tracking Table'!$X111)^2-(4*(149.919*'BMP P Tracking Table'!$X111+236.676*'BMP P Tracking Table'!$Y111+726*'BMP P Tracking Table'!$Z111+996.798*'BMP P Tracking Table'!$AA111)*-'BMP P Tracking Table'!$AC111)))/(2*(149.919*'BMP P Tracking Table'!$X111+236.676*'BMP P Tracking Table'!$Y111+726*'BMP P Tracking Table'!$Z111+996.798*'BMP P Tracking Table'!$AA111))))),"")</f>
        <v>0.92891346849937262</v>
      </c>
      <c r="AG111" s="104">
        <f>IFERROR((VLOOKUP(CONCATENATE('BMP P Tracking Table'!$U111," ",'BMP P Tracking Table'!$AD111),'Performance Curves'!$C$1:$L$46,_xlfn.SINGLE(MATCH('BMP P Tracking Table'!$AF111,'Performance Curves'!$D$1:$L$1,1))+2,FALSE)-VLOOKUP(CONCATENATE('BMP P Tracking Table'!$U111," ",'BMP P Tracking Table'!$AD111),'Performance Curves'!$C$1:$L$46,_xlfn.SINGLE(MATCH('BMP P Tracking Table'!$AF111,'Performance Curves'!$D$1:$L$1,1))+1,FALSE)),"")</f>
        <v>1.0000000000000009E-2</v>
      </c>
      <c r="AH111" s="104">
        <f>IFERROR(('BMP P Tracking Table'!$AF111-INDEX('Performance Curves'!$D$1:$L$1,1,MATCH('BMP P Tracking Table'!$AF111,'Performance Curves'!$D$1:$L$1,1)))/(INDEX('Performance Curves'!$D$1:$L$1,1,MATCH('BMP P Tracking Table'!$AF111,'Performance Curves'!$D$1:$L$1,1)+1)-INDEX('Performance Curves'!$D$1:$L$1,1,MATCH('BMP P Tracking Table'!$AF111,'Performance Curves'!$D$1:$L$1,1))),"")</f>
        <v>0.64456734249686298</v>
      </c>
      <c r="AI111" s="103">
        <f>IFERROR(IF('BMP P Tracking Table'!$AF111=2,VLOOKUP(CONCATENATE('BMP P Tracking Table'!$U111," ",'BMP P Tracking Table'!$AD111),'Performance Curves'!$C$1:$L$46,_xlfn.SINGLE(MATCH('BMP P Tracking Table'!$AF111,'Performance Curves'!$D$1:$L$1,1))+1,FALSE),'BMP P Tracking Table'!$AG111*'BMP P Tracking Table'!$AH111+VLOOKUP(CONCATENATE('BMP P Tracking Table'!$U111," ",'BMP P Tracking Table'!$AD111),'Performance Curves'!$C$1:$L$46,_xlfn.SINGLE(MATCH('BMP P Tracking Table'!$AF111,'Performance Curves'!$D$1:$L$1,1))+1,FALSE)),"")</f>
        <v>0.99644567342496859</v>
      </c>
      <c r="AJ111" s="104">
        <f>IFERROR('BMP P Tracking Table'!$AI111*'BMP P Tracking Table'!$AE111,"")</f>
        <v>1.0319888905960373</v>
      </c>
      <c r="AK111" s="65"/>
      <c r="AL111" s="98" t="s">
        <v>62</v>
      </c>
      <c r="AM111" s="98"/>
      <c r="AN111" s="64">
        <v>1</v>
      </c>
      <c r="AO111" s="102">
        <f t="shared" si="16"/>
        <v>1.0319888905960373</v>
      </c>
      <c r="AP111" s="98"/>
      <c r="AQ111" s="98"/>
      <c r="AR111" s="98"/>
      <c r="AS111" s="98"/>
      <c r="AT111" s="98"/>
      <c r="AU111" s="98"/>
      <c r="AV111" s="98"/>
      <c r="AW111" s="65"/>
      <c r="AX111" s="99"/>
      <c r="AY111" s="99"/>
      <c r="AZ111" s="104" t="str">
        <f>IF('BMP P Tracking Table'!$AL111="Yes",IF('BMP P Tracking Table'!$AM111="No",'BMP P Tracking Table'!$V111*VLOOKUP('BMP P Tracking Table'!$R111,'Loading Rates'!$B$1:$L$24,4,FALSE)+IF('BMP P Tracking Table'!$W111="By HSG",'BMP P Tracking Table'!$X111*VLOOKUP('BMP P Tracking Table'!$R111,'Loading Rates'!$B$1:$L$24,6,FALSE)+'BMP P Tracking Table'!$Y111*VLOOKUP('BMP P Tracking Table'!$R111,'Loading Rates'!$B$1:$L$24,7,FALSE)+'BMP P Tracking Table'!$Z111*VLOOKUP('BMP P Tracking Table'!$R111,'Loading Rates'!$B$1:$L$24,8,FALSE)+'BMP P Tracking Table'!$AA111*VLOOKUP('BMP P Tracking Table'!$R111,'Loading Rates'!$B$1:$L$24,9,FALSE),'BMP P Tracking Table'!$AB111*VLOOKUP('BMP P Tracking Table'!$R111,'Loading Rates'!$B$1:$L$24,10,FALSE)),'BMP P Tracking Table'!$AP111*VLOOKUP('BMP P Tracking Table'!$R111,'Loading Rates'!$B$1:$L$24,4,FALSE)+IF('BMP P Tracking Table'!$AQ111="By HSG",'BMP P Tracking Table'!$AR111*VLOOKUP('BMP P Tracking Table'!$R111,'Loading Rates'!$B$1:$L$24,6,FALSE)+'BMP P Tracking Table'!$AS111*VLOOKUP('BMP P Tracking Table'!$R111,'Loading Rates'!$B$1:$L$24,7,FALSE)+'BMP P Tracking Table'!$AT111*VLOOKUP('BMP P Tracking Table'!$R111,'Loading Rates'!$B$1:$L$24,8,FALSE)+'BMP P Tracking Table'!$AU111*VLOOKUP('BMP P Tracking Table'!$R111,'Loading Rates'!$B$1:$L$24,9,FALSE),'BMP P Tracking Table'!$AV111*VLOOKUP('BMP P Tracking Table'!$R111,'Loading Rates'!$B$1:$L$24,10,FALSE))),"")</f>
        <v/>
      </c>
      <c r="BA111" s="104">
        <f>IFERROR(IF('BMP P Tracking Table'!$AM111="Yes",MIN(2,IF('BMP P Tracking Table'!$AQ111="Total Pervious",(-(3630*'BMP P Tracking Table'!$AP111+20.691*'BMP P Tracking Table'!$AV111)+SQRT((3630*'BMP P Tracking Table'!$AP111+20.691*'BMP P Tracking Table'!$AV111)^2-(4*(996.798*'BMP P Tracking Table'!$AV111)*-'BMP P Tracking Table'!$AX111)))/(2*(996.798*'BMP P Tracking Table'!$AV111)),IF(SUM('BMP P Tracking Table'!$AR111:$AU111)=0,'BMP P Tracking Table'!$AV111/(-3630*'BMP P Tracking Table'!$AP111),(-(3630*'BMP P Tracking Table'!$AP111+20.691*'BMP P Tracking Table'!$AU111-216.711*'BMP P Tracking Table'!$AT111-83.853*'BMP P Tracking Table'!$AS111-42.834*'BMP P Tracking Table'!$AR111)+SQRT((3630*'BMP P Tracking Table'!$AP111+20.691*'BMP P Tracking Table'!$AU111-216.711*'BMP P Tracking Table'!$AT111-83.853*'BMP P Tracking Table'!$AS111-42.834*'BMP P Tracking Table'!$AR111)^2-(4*(149.919*'BMP P Tracking Table'!$AR111+236.676*'BMP P Tracking Table'!$AS111+726*'BMP P Tracking Table'!$AT111+996.798*'BMP P Tracking Table'!$AU111)*-'BMP P Tracking Table'!$AX111)))/(2*(149.919*'BMP P Tracking Table'!$AR111+236.676*'BMP P Tracking Table'!$AS111+726*'BMP P Tracking Table'!$AT111+996.798*'BMP P Tracking Table'!$AU111))))),MIN(2,IF('BMP P Tracking Table'!$AQ111="Total Pervious",(-(3630*'BMP P Tracking Table'!$V111+20.691*'BMP P Tracking Table'!$AB111)+SQRT((3630*'BMP P Tracking Table'!$V111+20.691*'BMP P Tracking Table'!$AB111)^2-(4*(996.798*'BMP P Tracking Table'!$AB111)*-'BMP P Tracking Table'!$AX111)))/(2*(996.798*'BMP P Tracking Table'!$AB111)),IF(SUM('BMP P Tracking Table'!$X111:$AA111)=0,'BMP P Tracking Table'!$AX111/(-3630*'BMP P Tracking Table'!$V111),(-(3630*'BMP P Tracking Table'!$V111+20.691*'BMP P Tracking Table'!$AA111-216.711*'BMP P Tracking Table'!$Z111-83.853*'BMP P Tracking Table'!$Y111-42.834*'BMP P Tracking Table'!$X111)+SQRT((3630*'BMP P Tracking Table'!$V111+20.691*'BMP P Tracking Table'!$AA111-216.711*'BMP P Tracking Table'!$Z111-83.853*'BMP P Tracking Table'!$Y111-42.834*'BMP P Tracking Table'!$X111)^2-(4*(149.919*'BMP P Tracking Table'!$X111+236.676*'BMP P Tracking Table'!$Y111+726*'BMP P Tracking Table'!$Z111+996.798*'BMP P Tracking Table'!$AA111)*-'BMP P Tracking Table'!$AX111)))/(2*(149.919*'BMP P Tracking Table'!$X111+236.676*'BMP P Tracking Table'!$Y111+726*'BMP P Tracking Table'!$Z111+996.798*'BMP P Tracking Table'!$AA111)))))),"")</f>
        <v>0</v>
      </c>
      <c r="BB111" s="102" t="str">
        <f>IFERROR((VLOOKUP(CONCATENATE('BMP P Tracking Table'!$AW111," ",'BMP P Tracking Table'!$AY111),'Performance Curves'!$C$1:$L$46,_xlfn.SINGLE(MATCH('BMP P Tracking Table'!$BA111,'Performance Curves'!$D$1:$L$1,1))+2,FALSE)-VLOOKUP(CONCATENATE('BMP P Tracking Table'!$AW111," ",'BMP P Tracking Table'!$AY111),'Performance Curves'!$C$1:$L$46,_xlfn.SINGLE(MATCH('BMP P Tracking Table'!$BA111,'Performance Curves'!$D$1:$L$1,1))+1,FALSE)),"")</f>
        <v/>
      </c>
      <c r="BC111" s="102">
        <f>IFERROR(('BMP P Tracking Table'!$BA111-INDEX('Performance Curves'!$D$1:$L$1,1,MATCH('BMP P Tracking Table'!$BA111,'Performance Curves'!$D$1:$L$1,1)))/(INDEX('Performance Curves'!$D$1:$L$1,1,MATCH('BMP P Tracking Table'!$BA111,'Performance Curves'!$D$1:$L$1,1)+1)-INDEX('Performance Curves'!$D$1:$L$1,1,MATCH('BMP P Tracking Table'!$BA111,'Performance Curves'!$D$1:$L$1,1))),"")</f>
        <v>0</v>
      </c>
      <c r="BD111" s="103" t="str" cm="1">
        <f t="array" ref="BD111">IFERROR(IF('BMP P Tracking Table'!$BA111=2,VLOOKUP(CONCATENATE('BMP P Tracking Table'!$AW111," ",'BMP P Tracking Table'!$AY111),'Performance Curves'!$C$1:$L$44,_xlfn.SINGLE(MATCH('BMP P Tracking Table'!$BA111,'Performance Curves'!$D$1:$L$1,1))+1,FALSE),'BMP P Tracking Table'!$BB111*'BMP P Tracking Table'!$BC111+VLOOKUP(CONCATENATE('BMP P Tracking Table'!$AW111," ",'BMP P Tracking Table'!$AY111),'Performance Curves'!$C$1:$L$44,_xlfn.SINGLE(MATCH('BMP P Tracking Table'!$BA111,'Performance Curves'!$D$1:$L$1,1))+1,FALSE)),"")</f>
        <v/>
      </c>
      <c r="BE111" s="104" t="str">
        <f>IFERROR('BMP P Tracking Table'!$BD111*'BMP P Tracking Table'!$AZ111,"")</f>
        <v/>
      </c>
      <c r="BF111" s="98"/>
      <c r="BG111" s="37">
        <f t="shared" si="17"/>
        <v>0</v>
      </c>
      <c r="BI111" s="36" t="str">
        <f t="shared" si="7"/>
        <v>EJ-WR-028</v>
      </c>
      <c r="BJ111" s="36" t="str">
        <f t="shared" si="8"/>
        <v>CB56 and CB57 Killoran Drive drywells</v>
      </c>
      <c r="BK111" s="36" t="s">
        <v>801</v>
      </c>
      <c r="BP111" s="36" t="s">
        <v>874</v>
      </c>
      <c r="BQ111" s="36">
        <f t="shared" si="18"/>
        <v>1.87</v>
      </c>
      <c r="BR111" s="36">
        <f t="shared" si="19"/>
        <v>0.96</v>
      </c>
      <c r="BS111" s="101">
        <f t="shared" si="20"/>
        <v>0.48663101604278075</v>
      </c>
      <c r="BT111" s="238">
        <f t="shared" si="21"/>
        <v>69340.659340659331</v>
      </c>
      <c r="BU111" s="238">
        <f t="shared" si="22"/>
        <v>61144.069064111587</v>
      </c>
    </row>
    <row r="112" spans="1:73">
      <c r="B112" s="65" t="s">
        <v>761</v>
      </c>
      <c r="C112" s="65" t="s">
        <v>693</v>
      </c>
      <c r="D112" s="65" t="s">
        <v>325</v>
      </c>
      <c r="E112" s="65" t="s">
        <v>10</v>
      </c>
      <c r="F112" s="94"/>
      <c r="G112" s="94"/>
      <c r="H112" s="65"/>
      <c r="I112" s="65"/>
      <c r="J112" s="65" t="s">
        <v>66</v>
      </c>
      <c r="K112" s="95">
        <v>2500</v>
      </c>
      <c r="L112" s="65" t="s">
        <v>49</v>
      </c>
      <c r="M112" s="65"/>
      <c r="N112" s="65"/>
      <c r="O112" s="65"/>
      <c r="P112" s="65"/>
      <c r="Q112" s="65" t="s">
        <v>119</v>
      </c>
      <c r="R112" s="65" t="s">
        <v>146</v>
      </c>
      <c r="S112" s="65" t="str">
        <f>IFERROR(VLOOKUP('BMP P Tracking Table'!$R112,Dropdowns!$Q$3:$R$23,2,FALSE),"")</f>
        <v>Main Lake</v>
      </c>
      <c r="T112" s="65" t="s">
        <v>66</v>
      </c>
      <c r="U112" s="65" t="s">
        <v>570</v>
      </c>
      <c r="V112" s="65">
        <v>0.05</v>
      </c>
      <c r="W112" s="65" t="s">
        <v>220</v>
      </c>
      <c r="X112" s="65">
        <v>0</v>
      </c>
      <c r="Y112" s="65">
        <v>0</v>
      </c>
      <c r="Z112" s="65">
        <v>0</v>
      </c>
      <c r="AA112" s="65">
        <v>0</v>
      </c>
      <c r="AB112" s="65"/>
      <c r="AC112" s="97"/>
      <c r="AD112" s="65" t="s">
        <v>205</v>
      </c>
      <c r="AE112" s="104">
        <f>IFERROR('BMP P Tracking Table'!$V112*VLOOKUP('BMP P Tracking Table'!$R112,'Loading Rates'!$B$1:$L$24,4,FALSE)+IF('BMP P Tracking Table'!$W112="By HSG",'BMP P Tracking Table'!$X112*VLOOKUP('BMP P Tracking Table'!$R112,'Loading Rates'!$B$1:$L$24,6,FALSE)+'BMP P Tracking Table'!$Y112*VLOOKUP('BMP P Tracking Table'!$R112,'Loading Rates'!$B$1:$L$24,7,FALSE)+'BMP P Tracking Table'!$Z112*VLOOKUP('BMP P Tracking Table'!$R112,'Loading Rates'!$B$1:$L$24,8,FALSE)+'BMP P Tracking Table'!$AA112*VLOOKUP('BMP P Tracking Table'!$R112,'Loading Rates'!$B$1:$L$24,9,FALSE),'BMP P Tracking Table'!$AB112*VLOOKUP('BMP P Tracking Table'!$R112,'Loading Rates'!$B$1:$L$24,10,FALSE)),"")</f>
        <v>5.5850000000000004E-2</v>
      </c>
      <c r="AF112" s="104">
        <f>IFERROR(MIN(2,IF('BMP P Tracking Table'!$W112="Total Pervious",(-(3630*'BMP P Tracking Table'!$V112+20.691*'BMP P Tracking Table'!$AB112)+SQRT((3630*'BMP P Tracking Table'!$V112+20.691*'BMP P Tracking Table'!$AB112)^2-(4*(996.798*'BMP P Tracking Table'!$AB112)*-'BMP P Tracking Table'!$AC112)))/(2*(996.798*'BMP P Tracking Table'!$AB112)),IF(SUM('BMP P Tracking Table'!$X112:$AA112)=0,'BMP P Tracking Table'!$AC112/(-3630*'BMP P Tracking Table'!$V112),(-(3630*'BMP P Tracking Table'!$V112+20.691*'BMP P Tracking Table'!$AA112-216.711*'BMP P Tracking Table'!$Z112-83.853*'BMP P Tracking Table'!$Y112-42.834*'BMP P Tracking Table'!$X112)+SQRT((3630*'BMP P Tracking Table'!$V112+20.691*'BMP P Tracking Table'!$AA112-216.711*'BMP P Tracking Table'!$Z112-83.853*'BMP P Tracking Table'!$Y112-42.834*'BMP P Tracking Table'!$X112)^2-(4*(149.919*'BMP P Tracking Table'!$X112+236.676*'BMP P Tracking Table'!$Y112+726*'BMP P Tracking Table'!$Z112+996.798*'BMP P Tracking Table'!$AA112)*-'BMP P Tracking Table'!$AC112)))/(2*(149.919*'BMP P Tracking Table'!$X112+236.676*'BMP P Tracking Table'!$Y112+726*'BMP P Tracking Table'!$Z112+996.798*'BMP P Tracking Table'!$AA112))))),"")</f>
        <v>0</v>
      </c>
      <c r="AG112" s="104" t="str">
        <f>IFERROR((VLOOKUP(CONCATENATE('BMP P Tracking Table'!$U112," ",'BMP P Tracking Table'!$AD112),'Performance Curves'!$C$1:$L$46,_xlfn.SINGLE(MATCH('BMP P Tracking Table'!$AF112,'Performance Curves'!$D$1:$L$1,1))+2,FALSE)-VLOOKUP(CONCATENATE('BMP P Tracking Table'!$U112," ",'BMP P Tracking Table'!$AD112),'Performance Curves'!$C$1:$L$46,_xlfn.SINGLE(MATCH('BMP P Tracking Table'!$AF112,'Performance Curves'!$D$1:$L$1,1))+1,FALSE)),"")</f>
        <v/>
      </c>
      <c r="AH112" s="104">
        <f>IFERROR(('BMP P Tracking Table'!$AF112-INDEX('Performance Curves'!$D$1:$L$1,1,MATCH('BMP P Tracking Table'!$AF112,'Performance Curves'!$D$1:$L$1,1)))/(INDEX('Performance Curves'!$D$1:$L$1,1,MATCH('BMP P Tracking Table'!$AF112,'Performance Curves'!$D$1:$L$1,1)+1)-INDEX('Performance Curves'!$D$1:$L$1,1,MATCH('BMP P Tracking Table'!$AF112,'Performance Curves'!$D$1:$L$1,1))),"")</f>
        <v>0</v>
      </c>
      <c r="AI112" s="103" t="str">
        <f>IFERROR(IF('BMP P Tracking Table'!$AF112=2,VLOOKUP(CONCATENATE('BMP P Tracking Table'!$U112," ",'BMP P Tracking Table'!$AD112),'Performance Curves'!$C$1:$L$46,_xlfn.SINGLE(MATCH('BMP P Tracking Table'!$AF112,'Performance Curves'!$D$1:$L$1,1))+1,FALSE),'BMP P Tracking Table'!$AG112*'BMP P Tracking Table'!$AH112+VLOOKUP(CONCATENATE('BMP P Tracking Table'!$U112," ",'BMP P Tracking Table'!$AD112),'Performance Curves'!$C$1:$L$46,_xlfn.SINGLE(MATCH('BMP P Tracking Table'!$AF112,'Performance Curves'!$D$1:$L$1,1))+1,FALSE)),"")</f>
        <v/>
      </c>
      <c r="AJ112" s="104" t="str">
        <f>IFERROR('BMP P Tracking Table'!$AI112*'BMP P Tracking Table'!$AE112,"")</f>
        <v/>
      </c>
      <c r="AK112" s="65">
        <v>0.06</v>
      </c>
      <c r="AL112" s="98" t="s">
        <v>62</v>
      </c>
      <c r="AM112" s="98"/>
      <c r="AN112" s="64">
        <v>1</v>
      </c>
      <c r="AO112" s="102">
        <f t="shared" si="16"/>
        <v>0.06</v>
      </c>
      <c r="AP112" s="98"/>
      <c r="AQ112" s="98"/>
      <c r="AR112" s="98"/>
      <c r="AS112" s="98"/>
      <c r="AT112" s="98"/>
      <c r="AU112" s="98"/>
      <c r="AV112" s="98"/>
      <c r="AW112" s="65"/>
      <c r="AX112" s="99"/>
      <c r="AY112" s="99"/>
      <c r="AZ112" s="104" t="str">
        <f>IF('BMP P Tracking Table'!$AL112="Yes",IF('BMP P Tracking Table'!$AM112="No",'BMP P Tracking Table'!$V112*VLOOKUP('BMP P Tracking Table'!$R112,'Loading Rates'!$B$1:$L$24,4,FALSE)+IF('BMP P Tracking Table'!$W112="By HSG",'BMP P Tracking Table'!$X112*VLOOKUP('BMP P Tracking Table'!$R112,'Loading Rates'!$B$1:$L$24,6,FALSE)+'BMP P Tracking Table'!$Y112*VLOOKUP('BMP P Tracking Table'!$R112,'Loading Rates'!$B$1:$L$24,7,FALSE)+'BMP P Tracking Table'!$Z112*VLOOKUP('BMP P Tracking Table'!$R112,'Loading Rates'!$B$1:$L$24,8,FALSE)+'BMP P Tracking Table'!$AA112*VLOOKUP('BMP P Tracking Table'!$R112,'Loading Rates'!$B$1:$L$24,9,FALSE),'BMP P Tracking Table'!$AB112*VLOOKUP('BMP P Tracking Table'!$R112,'Loading Rates'!$B$1:$L$24,10,FALSE)),'BMP P Tracking Table'!$AP112*VLOOKUP('BMP P Tracking Table'!$R112,'Loading Rates'!$B$1:$L$24,4,FALSE)+IF('BMP P Tracking Table'!$AQ112="By HSG",'BMP P Tracking Table'!$AR112*VLOOKUP('BMP P Tracking Table'!$R112,'Loading Rates'!$B$1:$L$24,6,FALSE)+'BMP P Tracking Table'!$AS112*VLOOKUP('BMP P Tracking Table'!$R112,'Loading Rates'!$B$1:$L$24,7,FALSE)+'BMP P Tracking Table'!$AT112*VLOOKUP('BMP P Tracking Table'!$R112,'Loading Rates'!$B$1:$L$24,8,FALSE)+'BMP P Tracking Table'!$AU112*VLOOKUP('BMP P Tracking Table'!$R112,'Loading Rates'!$B$1:$L$24,9,FALSE),'BMP P Tracking Table'!$AV112*VLOOKUP('BMP P Tracking Table'!$R112,'Loading Rates'!$B$1:$L$24,10,FALSE))),"")</f>
        <v/>
      </c>
      <c r="BA112" s="104">
        <f>IFERROR(IF('BMP P Tracking Table'!$AM112="Yes",MIN(2,IF('BMP P Tracking Table'!$AQ112="Total Pervious",(-(3630*'BMP P Tracking Table'!$AP112+20.691*'BMP P Tracking Table'!$AV112)+SQRT((3630*'BMP P Tracking Table'!$AP112+20.691*'BMP P Tracking Table'!$AV112)^2-(4*(996.798*'BMP P Tracking Table'!$AV112)*-'BMP P Tracking Table'!$AX112)))/(2*(996.798*'BMP P Tracking Table'!$AV112)),IF(SUM('BMP P Tracking Table'!$AR112:$AU112)=0,'BMP P Tracking Table'!$AV112/(-3630*'BMP P Tracking Table'!$AP112),(-(3630*'BMP P Tracking Table'!$AP112+20.691*'BMP P Tracking Table'!$AU112-216.711*'BMP P Tracking Table'!$AT112-83.853*'BMP P Tracking Table'!$AS112-42.834*'BMP P Tracking Table'!$AR112)+SQRT((3630*'BMP P Tracking Table'!$AP112+20.691*'BMP P Tracking Table'!$AU112-216.711*'BMP P Tracking Table'!$AT112-83.853*'BMP P Tracking Table'!$AS112-42.834*'BMP P Tracking Table'!$AR112)^2-(4*(149.919*'BMP P Tracking Table'!$AR112+236.676*'BMP P Tracking Table'!$AS112+726*'BMP P Tracking Table'!$AT112+996.798*'BMP P Tracking Table'!$AU112)*-'BMP P Tracking Table'!$AX112)))/(2*(149.919*'BMP P Tracking Table'!$AR112+236.676*'BMP P Tracking Table'!$AS112+726*'BMP P Tracking Table'!$AT112+996.798*'BMP P Tracking Table'!$AU112))))),MIN(2,IF('BMP P Tracking Table'!$AQ112="Total Pervious",(-(3630*'BMP P Tracking Table'!$V112+20.691*'BMP P Tracking Table'!$AB112)+SQRT((3630*'BMP P Tracking Table'!$V112+20.691*'BMP P Tracking Table'!$AB112)^2-(4*(996.798*'BMP P Tracking Table'!$AB112)*-'BMP P Tracking Table'!$AX112)))/(2*(996.798*'BMP P Tracking Table'!$AB112)),IF(SUM('BMP P Tracking Table'!$X112:$AA112)=0,'BMP P Tracking Table'!$AX112/(-3630*'BMP P Tracking Table'!$V112),(-(3630*'BMP P Tracking Table'!$V112+20.691*'BMP P Tracking Table'!$AA112-216.711*'BMP P Tracking Table'!$Z112-83.853*'BMP P Tracking Table'!$Y112-42.834*'BMP P Tracking Table'!$X112)+SQRT((3630*'BMP P Tracking Table'!$V112+20.691*'BMP P Tracking Table'!$AA112-216.711*'BMP P Tracking Table'!$Z112-83.853*'BMP P Tracking Table'!$Y112-42.834*'BMP P Tracking Table'!$X112)^2-(4*(149.919*'BMP P Tracking Table'!$X112+236.676*'BMP P Tracking Table'!$Y112+726*'BMP P Tracking Table'!$Z112+996.798*'BMP P Tracking Table'!$AA112)*-'BMP P Tracking Table'!$AX112)))/(2*(149.919*'BMP P Tracking Table'!$X112+236.676*'BMP P Tracking Table'!$Y112+726*'BMP P Tracking Table'!$Z112+996.798*'BMP P Tracking Table'!$AA112)))))),"")</f>
        <v>0</v>
      </c>
      <c r="BB112" s="102" t="str">
        <f>IFERROR((VLOOKUP(CONCATENATE('BMP P Tracking Table'!$AW112," ",'BMP P Tracking Table'!$AY112),'Performance Curves'!$C$1:$L$46,_xlfn.SINGLE(MATCH('BMP P Tracking Table'!$BA112,'Performance Curves'!$D$1:$L$1,1))+2,FALSE)-VLOOKUP(CONCATENATE('BMP P Tracking Table'!$AW112," ",'BMP P Tracking Table'!$AY112),'Performance Curves'!$C$1:$L$46,_xlfn.SINGLE(MATCH('BMP P Tracking Table'!$BA112,'Performance Curves'!$D$1:$L$1,1))+1,FALSE)),"")</f>
        <v/>
      </c>
      <c r="BC112" s="102">
        <f>IFERROR(('BMP P Tracking Table'!$BA112-INDEX('Performance Curves'!$D$1:$L$1,1,MATCH('BMP P Tracking Table'!$BA112,'Performance Curves'!$D$1:$L$1,1)))/(INDEX('Performance Curves'!$D$1:$L$1,1,MATCH('BMP P Tracking Table'!$BA112,'Performance Curves'!$D$1:$L$1,1)+1)-INDEX('Performance Curves'!$D$1:$L$1,1,MATCH('BMP P Tracking Table'!$BA112,'Performance Curves'!$D$1:$L$1,1))),"")</f>
        <v>0</v>
      </c>
      <c r="BD112" s="103" t="str" cm="1">
        <f t="array" ref="BD112">IFERROR(IF('BMP P Tracking Table'!$BA112=2,VLOOKUP(CONCATENATE('BMP P Tracking Table'!$AW112," ",'BMP P Tracking Table'!$AY112),'Performance Curves'!$C$1:$L$44,_xlfn.SINGLE(MATCH('BMP P Tracking Table'!$BA112,'Performance Curves'!$D$1:$L$1,1))+1,FALSE),'BMP P Tracking Table'!$BB112*'BMP P Tracking Table'!$BC112+VLOOKUP(CONCATENATE('BMP P Tracking Table'!$AW112," ",'BMP P Tracking Table'!$AY112),'Performance Curves'!$C$1:$L$44,_xlfn.SINGLE(MATCH('BMP P Tracking Table'!$BA112,'Performance Curves'!$D$1:$L$1,1))+1,FALSE)),"")</f>
        <v/>
      </c>
      <c r="BE112" s="104" t="str">
        <f>IFERROR('BMP P Tracking Table'!$BD112*'BMP P Tracking Table'!$AZ112,"")</f>
        <v/>
      </c>
      <c r="BF112" s="98"/>
      <c r="BG112" s="37">
        <f t="shared" si="17"/>
        <v>0</v>
      </c>
      <c r="BI112" s="36" t="str">
        <f t="shared" si="7"/>
        <v>EJ-WR-030</v>
      </c>
      <c r="BJ112" s="36" t="str">
        <f t="shared" si="8"/>
        <v>Killoran Drive cul de sac impervious removal</v>
      </c>
      <c r="BK112" s="36" t="s">
        <v>801</v>
      </c>
      <c r="BP112" s="36" t="s">
        <v>874</v>
      </c>
      <c r="BQ112" s="36">
        <f t="shared" si="18"/>
        <v>0.05</v>
      </c>
      <c r="BR112" s="36">
        <f t="shared" si="19"/>
        <v>0</v>
      </c>
      <c r="BS112" s="101">
        <f t="shared" si="20"/>
        <v>1</v>
      </c>
      <c r="BT112" s="238">
        <f t="shared" si="21"/>
        <v>50000</v>
      </c>
      <c r="BU112" s="238">
        <f t="shared" si="22"/>
        <v>41666.666666666672</v>
      </c>
    </row>
    <row r="113" spans="1:73">
      <c r="B113" s="65" t="s">
        <v>762</v>
      </c>
      <c r="C113" s="65" t="s">
        <v>694</v>
      </c>
      <c r="D113" s="65" t="s">
        <v>325</v>
      </c>
      <c r="E113" s="65" t="s">
        <v>10</v>
      </c>
      <c r="F113" s="94"/>
      <c r="G113" s="94"/>
      <c r="H113" s="65"/>
      <c r="I113" s="65"/>
      <c r="J113" s="65" t="s">
        <v>66</v>
      </c>
      <c r="K113" s="95">
        <f>ROUNDUP((VLOOKUP($U113,Dropdowns!$G$3:$I$17, 3, FALSE))*$AC113,-2)</f>
        <v>31800</v>
      </c>
      <c r="L113" s="65" t="s">
        <v>49</v>
      </c>
      <c r="M113" s="65"/>
      <c r="N113" s="65"/>
      <c r="O113" s="65"/>
      <c r="P113" s="65"/>
      <c r="Q113" s="65" t="s">
        <v>119</v>
      </c>
      <c r="R113" s="65" t="s">
        <v>146</v>
      </c>
      <c r="S113" s="65" t="str">
        <f>IFERROR(VLOOKUP('BMP P Tracking Table'!$R113,Dropdowns!$Q$3:$R$23,2,FALSE),"")</f>
        <v>Main Lake</v>
      </c>
      <c r="T113" s="65" t="s">
        <v>66</v>
      </c>
      <c r="U113" s="65" t="s">
        <v>47</v>
      </c>
      <c r="V113" s="65">
        <f>0.11+0.32</f>
        <v>0.43</v>
      </c>
      <c r="W113" s="65" t="s">
        <v>220</v>
      </c>
      <c r="X113" s="65">
        <v>0.17</v>
      </c>
      <c r="Y113" s="65">
        <v>0</v>
      </c>
      <c r="Z113" s="65">
        <v>0</v>
      </c>
      <c r="AA113" s="65">
        <v>0</v>
      </c>
      <c r="AB113" s="65"/>
      <c r="AC113" s="97">
        <f t="shared" ref="AC113:AC120" si="23">((1*(0.05+0.009*((V113/(V113+X113))*100)*(V113+X113))/12)*43560)</f>
        <v>1586.31</v>
      </c>
      <c r="AD113" s="65" t="s">
        <v>205</v>
      </c>
      <c r="AE113" s="104">
        <f>IFERROR('BMP P Tracking Table'!$V113*VLOOKUP('BMP P Tracking Table'!$R113,'Loading Rates'!$B$1:$L$24,4,FALSE)+IF('BMP P Tracking Table'!$W113="By HSG",'BMP P Tracking Table'!$X113*VLOOKUP('BMP P Tracking Table'!$R113,'Loading Rates'!$B$1:$L$24,6,FALSE)+'BMP P Tracking Table'!$Y113*VLOOKUP('BMP P Tracking Table'!$R113,'Loading Rates'!$B$1:$L$24,7,FALSE)+'BMP P Tracking Table'!$Z113*VLOOKUP('BMP P Tracking Table'!$R113,'Loading Rates'!$B$1:$L$24,8,FALSE)+'BMP P Tracking Table'!$AA113*VLOOKUP('BMP P Tracking Table'!$R113,'Loading Rates'!$B$1:$L$24,9,FALSE),'BMP P Tracking Table'!$AB113*VLOOKUP('BMP P Tracking Table'!$R113,'Loading Rates'!$B$1:$L$24,10,FALSE)),"")</f>
        <v>0.48371000000000003</v>
      </c>
      <c r="AF113" s="104">
        <f>IFERROR(MIN(2,IF('BMP P Tracking Table'!$W113="Total Pervious",(-(3630*'BMP P Tracking Table'!$V113+20.691*'BMP P Tracking Table'!$AB113)+SQRT((3630*'BMP P Tracking Table'!$V113+20.691*'BMP P Tracking Table'!$AB113)^2-(4*(996.798*'BMP P Tracking Table'!$AB113)*-'BMP P Tracking Table'!$AC113)))/(2*(996.798*'BMP P Tracking Table'!$AB113)),IF(SUM('BMP P Tracking Table'!$X113:$AA113)=0,'BMP P Tracking Table'!$AC113/(-3630*'BMP P Tracking Table'!$V113),(-(3630*'BMP P Tracking Table'!$V113+20.691*'BMP P Tracking Table'!$AA113-216.711*'BMP P Tracking Table'!$Z113-83.853*'BMP P Tracking Table'!$Y113-42.834*'BMP P Tracking Table'!$X113)+SQRT((3630*'BMP P Tracking Table'!$V113+20.691*'BMP P Tracking Table'!$AA113-216.711*'BMP P Tracking Table'!$Z113-83.853*'BMP P Tracking Table'!$Y113-42.834*'BMP P Tracking Table'!$X113)^2-(4*(149.919*'BMP P Tracking Table'!$X113+236.676*'BMP P Tracking Table'!$Y113+726*'BMP P Tracking Table'!$Z113+996.798*'BMP P Tracking Table'!$AA113)*-'BMP P Tracking Table'!$AC113)))/(2*(149.919*'BMP P Tracking Table'!$X113+236.676*'BMP P Tracking Table'!$Y113+726*'BMP P Tracking Table'!$Z113+996.798*'BMP P Tracking Table'!$AA113))))),"")</f>
        <v>1.0044902642302409</v>
      </c>
      <c r="AG113" s="104">
        <f>IFERROR((VLOOKUP(CONCATENATE('BMP P Tracking Table'!$U113," ",'BMP P Tracking Table'!$AD113),'Performance Curves'!$C$1:$L$46,_xlfn.SINGLE(MATCH('BMP P Tracking Table'!$AF113,'Performance Curves'!$D$1:$L$1,1))+2,FALSE)-VLOOKUP(CONCATENATE('BMP P Tracking Table'!$U113," ",'BMP P Tracking Table'!$AD113),'Performance Curves'!$C$1:$L$46,_xlfn.SINGLE(MATCH('BMP P Tracking Table'!$AF113,'Performance Curves'!$D$1:$L$1,1))+1,FALSE)),"")</f>
        <v>0</v>
      </c>
      <c r="AH113" s="104">
        <f>IFERROR(('BMP P Tracking Table'!$AF113-INDEX('Performance Curves'!$D$1:$L$1,1,MATCH('BMP P Tracking Table'!$AF113,'Performance Curves'!$D$1:$L$1,1)))/(INDEX('Performance Curves'!$D$1:$L$1,1,MATCH('BMP P Tracking Table'!$AF113,'Performance Curves'!$D$1:$L$1,1)+1)-INDEX('Performance Curves'!$D$1:$L$1,1,MATCH('BMP P Tracking Table'!$AF113,'Performance Curves'!$D$1:$L$1,1))),"")</f>
        <v>8.980528460481807E-3</v>
      </c>
      <c r="AI113" s="103">
        <f>IFERROR(IF('BMP P Tracking Table'!$AF113=2,VLOOKUP(CONCATENATE('BMP P Tracking Table'!$U113," ",'BMP P Tracking Table'!$AD113),'Performance Curves'!$C$1:$L$46,_xlfn.SINGLE(MATCH('BMP P Tracking Table'!$AF113,'Performance Curves'!$D$1:$L$1,1))+1,FALSE),'BMP P Tracking Table'!$AG113*'BMP P Tracking Table'!$AH113+VLOOKUP(CONCATENATE('BMP P Tracking Table'!$U113," ",'BMP P Tracking Table'!$AD113),'Performance Curves'!$C$1:$L$46,_xlfn.SINGLE(MATCH('BMP P Tracking Table'!$AF113,'Performance Curves'!$D$1:$L$1,1))+1,FALSE)),"")</f>
        <v>1</v>
      </c>
      <c r="AJ113" s="104">
        <f>IFERROR('BMP P Tracking Table'!$AI113*'BMP P Tracking Table'!$AE113,"")</f>
        <v>0.48371000000000003</v>
      </c>
      <c r="AK113" s="65"/>
      <c r="AL113" s="98" t="s">
        <v>62</v>
      </c>
      <c r="AM113" s="98"/>
      <c r="AN113" s="64">
        <v>1</v>
      </c>
      <c r="AO113" s="102">
        <f t="shared" si="16"/>
        <v>0.48371000000000003</v>
      </c>
      <c r="AP113" s="98"/>
      <c r="AQ113" s="98"/>
      <c r="AR113" s="98"/>
      <c r="AS113" s="98"/>
      <c r="AT113" s="98"/>
      <c r="AU113" s="98"/>
      <c r="AV113" s="98"/>
      <c r="AW113" s="65"/>
      <c r="AX113" s="99"/>
      <c r="AY113" s="99"/>
      <c r="AZ113" s="104" t="str">
        <f>IF('BMP P Tracking Table'!$AL113="Yes",IF('BMP P Tracking Table'!$AM113="No",'BMP P Tracking Table'!$V113*VLOOKUP('BMP P Tracking Table'!$R113,'Loading Rates'!$B$1:$L$24,4,FALSE)+IF('BMP P Tracking Table'!$W113="By HSG",'BMP P Tracking Table'!$X113*VLOOKUP('BMP P Tracking Table'!$R113,'Loading Rates'!$B$1:$L$24,6,FALSE)+'BMP P Tracking Table'!$Y113*VLOOKUP('BMP P Tracking Table'!$R113,'Loading Rates'!$B$1:$L$24,7,FALSE)+'BMP P Tracking Table'!$Z113*VLOOKUP('BMP P Tracking Table'!$R113,'Loading Rates'!$B$1:$L$24,8,FALSE)+'BMP P Tracking Table'!$AA113*VLOOKUP('BMP P Tracking Table'!$R113,'Loading Rates'!$B$1:$L$24,9,FALSE),'BMP P Tracking Table'!$AB113*VLOOKUP('BMP P Tracking Table'!$R113,'Loading Rates'!$B$1:$L$24,10,FALSE)),'BMP P Tracking Table'!$AP113*VLOOKUP('BMP P Tracking Table'!$R113,'Loading Rates'!$B$1:$L$24,4,FALSE)+IF('BMP P Tracking Table'!$AQ113="By HSG",'BMP P Tracking Table'!$AR113*VLOOKUP('BMP P Tracking Table'!$R113,'Loading Rates'!$B$1:$L$24,6,FALSE)+'BMP P Tracking Table'!$AS113*VLOOKUP('BMP P Tracking Table'!$R113,'Loading Rates'!$B$1:$L$24,7,FALSE)+'BMP P Tracking Table'!$AT113*VLOOKUP('BMP P Tracking Table'!$R113,'Loading Rates'!$B$1:$L$24,8,FALSE)+'BMP P Tracking Table'!$AU113*VLOOKUP('BMP P Tracking Table'!$R113,'Loading Rates'!$B$1:$L$24,9,FALSE),'BMP P Tracking Table'!$AV113*VLOOKUP('BMP P Tracking Table'!$R113,'Loading Rates'!$B$1:$L$24,10,FALSE))),"")</f>
        <v/>
      </c>
      <c r="BA113" s="104">
        <f>IFERROR(IF('BMP P Tracking Table'!$AM113="Yes",MIN(2,IF('BMP P Tracking Table'!$AQ113="Total Pervious",(-(3630*'BMP P Tracking Table'!$AP113+20.691*'BMP P Tracking Table'!$AV113)+SQRT((3630*'BMP P Tracking Table'!$AP113+20.691*'BMP P Tracking Table'!$AV113)^2-(4*(996.798*'BMP P Tracking Table'!$AV113)*-'BMP P Tracking Table'!$AX113)))/(2*(996.798*'BMP P Tracking Table'!$AV113)),IF(SUM('BMP P Tracking Table'!$AR113:$AU113)=0,'BMP P Tracking Table'!$AV113/(-3630*'BMP P Tracking Table'!$AP113),(-(3630*'BMP P Tracking Table'!$AP113+20.691*'BMP P Tracking Table'!$AU113-216.711*'BMP P Tracking Table'!$AT113-83.853*'BMP P Tracking Table'!$AS113-42.834*'BMP P Tracking Table'!$AR113)+SQRT((3630*'BMP P Tracking Table'!$AP113+20.691*'BMP P Tracking Table'!$AU113-216.711*'BMP P Tracking Table'!$AT113-83.853*'BMP P Tracking Table'!$AS113-42.834*'BMP P Tracking Table'!$AR113)^2-(4*(149.919*'BMP P Tracking Table'!$AR113+236.676*'BMP P Tracking Table'!$AS113+726*'BMP P Tracking Table'!$AT113+996.798*'BMP P Tracking Table'!$AU113)*-'BMP P Tracking Table'!$AX113)))/(2*(149.919*'BMP P Tracking Table'!$AR113+236.676*'BMP P Tracking Table'!$AS113+726*'BMP P Tracking Table'!$AT113+996.798*'BMP P Tracking Table'!$AU113))))),MIN(2,IF('BMP P Tracking Table'!$AQ113="Total Pervious",(-(3630*'BMP P Tracking Table'!$V113+20.691*'BMP P Tracking Table'!$AB113)+SQRT((3630*'BMP P Tracking Table'!$V113+20.691*'BMP P Tracking Table'!$AB113)^2-(4*(996.798*'BMP P Tracking Table'!$AB113)*-'BMP P Tracking Table'!$AX113)))/(2*(996.798*'BMP P Tracking Table'!$AB113)),IF(SUM('BMP P Tracking Table'!$X113:$AA113)=0,'BMP P Tracking Table'!$AX113/(-3630*'BMP P Tracking Table'!$V113),(-(3630*'BMP P Tracking Table'!$V113+20.691*'BMP P Tracking Table'!$AA113-216.711*'BMP P Tracking Table'!$Z113-83.853*'BMP P Tracking Table'!$Y113-42.834*'BMP P Tracking Table'!$X113)+SQRT((3630*'BMP P Tracking Table'!$V113+20.691*'BMP P Tracking Table'!$AA113-216.711*'BMP P Tracking Table'!$Z113-83.853*'BMP P Tracking Table'!$Y113-42.834*'BMP P Tracking Table'!$X113)^2-(4*(149.919*'BMP P Tracking Table'!$X113+236.676*'BMP P Tracking Table'!$Y113+726*'BMP P Tracking Table'!$Z113+996.798*'BMP P Tracking Table'!$AA113)*-'BMP P Tracking Table'!$AX113)))/(2*(149.919*'BMP P Tracking Table'!$X113+236.676*'BMP P Tracking Table'!$Y113+726*'BMP P Tracking Table'!$Z113+996.798*'BMP P Tracking Table'!$AA113)))))),"")</f>
        <v>0</v>
      </c>
      <c r="BB113" s="102" t="str">
        <f>IFERROR((VLOOKUP(CONCATENATE('BMP P Tracking Table'!$AW113," ",'BMP P Tracking Table'!$AY113),'Performance Curves'!$C$1:$L$46,_xlfn.SINGLE(MATCH('BMP P Tracking Table'!$BA113,'Performance Curves'!$D$1:$L$1,1))+2,FALSE)-VLOOKUP(CONCATENATE('BMP P Tracking Table'!$AW113," ",'BMP P Tracking Table'!$AY113),'Performance Curves'!$C$1:$L$46,_xlfn.SINGLE(MATCH('BMP P Tracking Table'!$BA113,'Performance Curves'!$D$1:$L$1,1))+1,FALSE)),"")</f>
        <v/>
      </c>
      <c r="BC113" s="102">
        <f>IFERROR(('BMP P Tracking Table'!$BA113-INDEX('Performance Curves'!$D$1:$L$1,1,MATCH('BMP P Tracking Table'!$BA113,'Performance Curves'!$D$1:$L$1,1)))/(INDEX('Performance Curves'!$D$1:$L$1,1,MATCH('BMP P Tracking Table'!$BA113,'Performance Curves'!$D$1:$L$1,1)+1)-INDEX('Performance Curves'!$D$1:$L$1,1,MATCH('BMP P Tracking Table'!$BA113,'Performance Curves'!$D$1:$L$1,1))),"")</f>
        <v>0</v>
      </c>
      <c r="BD113" s="103" t="str" cm="1">
        <f t="array" ref="BD113">IFERROR(IF('BMP P Tracking Table'!$BA113=2,VLOOKUP(CONCATENATE('BMP P Tracking Table'!$AW113," ",'BMP P Tracking Table'!$AY113),'Performance Curves'!$C$1:$L$44,_xlfn.SINGLE(MATCH('BMP P Tracking Table'!$BA113,'Performance Curves'!$D$1:$L$1,1))+1,FALSE),'BMP P Tracking Table'!$BB113*'BMP P Tracking Table'!$BC113+VLOOKUP(CONCATENATE('BMP P Tracking Table'!$AW113," ",'BMP P Tracking Table'!$AY113),'Performance Curves'!$C$1:$L$44,_xlfn.SINGLE(MATCH('BMP P Tracking Table'!$BA113,'Performance Curves'!$D$1:$L$1,1))+1,FALSE)),"")</f>
        <v/>
      </c>
      <c r="BE113" s="104" t="str">
        <f>IFERROR('BMP P Tracking Table'!$BD113*'BMP P Tracking Table'!$AZ113,"")</f>
        <v/>
      </c>
      <c r="BF113" s="98"/>
      <c r="BG113" s="37">
        <f t="shared" si="17"/>
        <v>0</v>
      </c>
      <c r="BI113" s="36" t="str">
        <f t="shared" si="7"/>
        <v>EJ-WR-031</v>
      </c>
      <c r="BJ113" s="36" t="str">
        <f t="shared" si="8"/>
        <v>CB35 Cascadnac Ave drywell</v>
      </c>
      <c r="BK113" s="36" t="s">
        <v>802</v>
      </c>
      <c r="BL113" s="36" t="s">
        <v>822</v>
      </c>
      <c r="BM113" s="36" t="s">
        <v>823</v>
      </c>
      <c r="BO113" s="36" t="s">
        <v>819</v>
      </c>
      <c r="BP113" s="36" t="s">
        <v>874</v>
      </c>
      <c r="BQ113" s="36">
        <f t="shared" si="18"/>
        <v>0.6</v>
      </c>
      <c r="BR113" s="36">
        <f t="shared" si="19"/>
        <v>0.17</v>
      </c>
      <c r="BS113" s="101">
        <f t="shared" si="20"/>
        <v>0.71666666666666667</v>
      </c>
      <c r="BT113" s="238">
        <f t="shared" si="21"/>
        <v>73953.488372093023</v>
      </c>
      <c r="BU113" s="238">
        <f t="shared" si="22"/>
        <v>65741.870128796174</v>
      </c>
    </row>
    <row r="114" spans="1:73">
      <c r="B114" s="65" t="s">
        <v>743</v>
      </c>
      <c r="C114" s="65" t="s">
        <v>695</v>
      </c>
      <c r="D114" s="65" t="s">
        <v>325</v>
      </c>
      <c r="E114" s="65" t="s">
        <v>10</v>
      </c>
      <c r="F114" s="94"/>
      <c r="G114" s="94"/>
      <c r="H114" s="65"/>
      <c r="I114" s="65"/>
      <c r="J114" s="65" t="s">
        <v>66</v>
      </c>
      <c r="K114" s="95">
        <f>ROUNDUP((VLOOKUP($U114,Dropdowns!$G$3:$I$17, 3, FALSE))*$AC114,-2)</f>
        <v>12800</v>
      </c>
      <c r="L114" s="65" t="s">
        <v>49</v>
      </c>
      <c r="M114" s="65"/>
      <c r="N114" s="65"/>
      <c r="O114" s="65"/>
      <c r="P114" s="65"/>
      <c r="Q114" s="65" t="s">
        <v>119</v>
      </c>
      <c r="R114" s="65" t="s">
        <v>146</v>
      </c>
      <c r="S114" s="65" t="str">
        <f>IFERROR(VLOOKUP('BMP P Tracking Table'!$R114,Dropdowns!$Q$3:$R$23,2,FALSE),"")</f>
        <v>Main Lake</v>
      </c>
      <c r="T114" s="65" t="s">
        <v>66</v>
      </c>
      <c r="U114" s="65" t="s">
        <v>47</v>
      </c>
      <c r="V114" s="65">
        <f>0.09+0.05</f>
        <v>0.14000000000000001</v>
      </c>
      <c r="W114" s="65" t="s">
        <v>220</v>
      </c>
      <c r="X114" s="65">
        <v>0.17</v>
      </c>
      <c r="Y114" s="65">
        <v>0</v>
      </c>
      <c r="Z114" s="65">
        <v>0</v>
      </c>
      <c r="AA114" s="65">
        <v>0</v>
      </c>
      <c r="AB114" s="65"/>
      <c r="AC114" s="97">
        <f t="shared" si="23"/>
        <v>638.88</v>
      </c>
      <c r="AD114" s="65" t="s">
        <v>205</v>
      </c>
      <c r="AE114" s="104">
        <f>IFERROR('BMP P Tracking Table'!$V114*VLOOKUP('BMP P Tracking Table'!$R114,'Loading Rates'!$B$1:$L$24,4,FALSE)+IF('BMP P Tracking Table'!$W114="By HSG",'BMP P Tracking Table'!$X114*VLOOKUP('BMP P Tracking Table'!$R114,'Loading Rates'!$B$1:$L$24,6,FALSE)+'BMP P Tracking Table'!$Y114*VLOOKUP('BMP P Tracking Table'!$R114,'Loading Rates'!$B$1:$L$24,7,FALSE)+'BMP P Tracking Table'!$Z114*VLOOKUP('BMP P Tracking Table'!$R114,'Loading Rates'!$B$1:$L$24,8,FALSE)+'BMP P Tracking Table'!$AA114*VLOOKUP('BMP P Tracking Table'!$R114,'Loading Rates'!$B$1:$L$24,9,FALSE),'BMP P Tracking Table'!$AB114*VLOOKUP('BMP P Tracking Table'!$R114,'Loading Rates'!$B$1:$L$24,10,FALSE)),"")</f>
        <v>0.15978000000000003</v>
      </c>
      <c r="AF114" s="104">
        <f>IFERROR(MIN(2,IF('BMP P Tracking Table'!$W114="Total Pervious",(-(3630*'BMP P Tracking Table'!$V114+20.691*'BMP P Tracking Table'!$AB114)+SQRT((3630*'BMP P Tracking Table'!$V114+20.691*'BMP P Tracking Table'!$AB114)^2-(4*(996.798*'BMP P Tracking Table'!$AB114)*-'BMP P Tracking Table'!$AC114)))/(2*(996.798*'BMP P Tracking Table'!$AB114)),IF(SUM('BMP P Tracking Table'!$X114:$AA114)=0,'BMP P Tracking Table'!$AC114/(-3630*'BMP P Tracking Table'!$V114),(-(3630*'BMP P Tracking Table'!$V114+20.691*'BMP P Tracking Table'!$AA114-216.711*'BMP P Tracking Table'!$Z114-83.853*'BMP P Tracking Table'!$Y114-42.834*'BMP P Tracking Table'!$X114)+SQRT((3630*'BMP P Tracking Table'!$V114+20.691*'BMP P Tracking Table'!$AA114-216.711*'BMP P Tracking Table'!$Z114-83.853*'BMP P Tracking Table'!$Y114-42.834*'BMP P Tracking Table'!$X114)^2-(4*(149.919*'BMP P Tracking Table'!$X114+236.676*'BMP P Tracking Table'!$Y114+726*'BMP P Tracking Table'!$Z114+996.798*'BMP P Tracking Table'!$AA114)*-'BMP P Tracking Table'!$AC114)))/(2*(149.919*'BMP P Tracking Table'!$X114+236.676*'BMP P Tracking Table'!$Y114+726*'BMP P Tracking Table'!$Z114+996.798*'BMP P Tracking Table'!$AA114))))),"")</f>
        <v>1.2019176294503229</v>
      </c>
      <c r="AG114" s="104">
        <f>IFERROR((VLOOKUP(CONCATENATE('BMP P Tracking Table'!$U114," ",'BMP P Tracking Table'!$AD114),'Performance Curves'!$C$1:$L$46,_xlfn.SINGLE(MATCH('BMP P Tracking Table'!$AF114,'Performance Curves'!$D$1:$L$1,1))+2,FALSE)-VLOOKUP(CONCATENATE('BMP P Tracking Table'!$U114," ",'BMP P Tracking Table'!$AD114),'Performance Curves'!$C$1:$L$46,_xlfn.SINGLE(MATCH('BMP P Tracking Table'!$AF114,'Performance Curves'!$D$1:$L$1,1))+1,FALSE)),"")</f>
        <v>0</v>
      </c>
      <c r="AH114" s="104">
        <f>IFERROR(('BMP P Tracking Table'!$AF114-INDEX('Performance Curves'!$D$1:$L$1,1,MATCH('BMP P Tracking Table'!$AF114,'Performance Curves'!$D$1:$L$1,1)))/(INDEX('Performance Curves'!$D$1:$L$1,1,MATCH('BMP P Tracking Table'!$AF114,'Performance Curves'!$D$1:$L$1,1)+1)-INDEX('Performance Curves'!$D$1:$L$1,1,MATCH('BMP P Tracking Table'!$AF114,'Performance Curves'!$D$1:$L$1,1))),"")</f>
        <v>0.40383525890064575</v>
      </c>
      <c r="AI114" s="103">
        <f>IFERROR(IF('BMP P Tracking Table'!$AF114=2,VLOOKUP(CONCATENATE('BMP P Tracking Table'!$U114," ",'BMP P Tracking Table'!$AD114),'Performance Curves'!$C$1:$L$46,_xlfn.SINGLE(MATCH('BMP P Tracking Table'!$AF114,'Performance Curves'!$D$1:$L$1,1))+1,FALSE),'BMP P Tracking Table'!$AG114*'BMP P Tracking Table'!$AH114+VLOOKUP(CONCATENATE('BMP P Tracking Table'!$U114," ",'BMP P Tracking Table'!$AD114),'Performance Curves'!$C$1:$L$46,_xlfn.SINGLE(MATCH('BMP P Tracking Table'!$AF114,'Performance Curves'!$D$1:$L$1,1))+1,FALSE)),"")</f>
        <v>1</v>
      </c>
      <c r="AJ114" s="104">
        <f>IFERROR('BMP P Tracking Table'!$AI114*'BMP P Tracking Table'!$AE114,"")</f>
        <v>0.15978000000000003</v>
      </c>
      <c r="AK114" s="65"/>
      <c r="AL114" s="98" t="s">
        <v>62</v>
      </c>
      <c r="AM114" s="98"/>
      <c r="AN114" s="64">
        <v>1</v>
      </c>
      <c r="AO114" s="102">
        <f t="shared" si="16"/>
        <v>0.15978000000000003</v>
      </c>
      <c r="AP114" s="98"/>
      <c r="AQ114" s="98"/>
      <c r="AR114" s="98"/>
      <c r="AS114" s="98"/>
      <c r="AT114" s="98"/>
      <c r="AU114" s="98"/>
      <c r="AV114" s="98"/>
      <c r="AW114" s="65"/>
      <c r="AX114" s="99"/>
      <c r="AY114" s="99"/>
      <c r="AZ114" s="104" t="str">
        <f>IF('BMP P Tracking Table'!$AL114="Yes",IF('BMP P Tracking Table'!$AM114="No",'BMP P Tracking Table'!$V114*VLOOKUP('BMP P Tracking Table'!$R114,'Loading Rates'!$B$1:$L$24,4,FALSE)+IF('BMP P Tracking Table'!$W114="By HSG",'BMP P Tracking Table'!$X114*VLOOKUP('BMP P Tracking Table'!$R114,'Loading Rates'!$B$1:$L$24,6,FALSE)+'BMP P Tracking Table'!$Y114*VLOOKUP('BMP P Tracking Table'!$R114,'Loading Rates'!$B$1:$L$24,7,FALSE)+'BMP P Tracking Table'!$Z114*VLOOKUP('BMP P Tracking Table'!$R114,'Loading Rates'!$B$1:$L$24,8,FALSE)+'BMP P Tracking Table'!$AA114*VLOOKUP('BMP P Tracking Table'!$R114,'Loading Rates'!$B$1:$L$24,9,FALSE),'BMP P Tracking Table'!$AB114*VLOOKUP('BMP P Tracking Table'!$R114,'Loading Rates'!$B$1:$L$24,10,FALSE)),'BMP P Tracking Table'!$AP114*VLOOKUP('BMP P Tracking Table'!$R114,'Loading Rates'!$B$1:$L$24,4,FALSE)+IF('BMP P Tracking Table'!$AQ114="By HSG",'BMP P Tracking Table'!$AR114*VLOOKUP('BMP P Tracking Table'!$R114,'Loading Rates'!$B$1:$L$24,6,FALSE)+'BMP P Tracking Table'!$AS114*VLOOKUP('BMP P Tracking Table'!$R114,'Loading Rates'!$B$1:$L$24,7,FALSE)+'BMP P Tracking Table'!$AT114*VLOOKUP('BMP P Tracking Table'!$R114,'Loading Rates'!$B$1:$L$24,8,FALSE)+'BMP P Tracking Table'!$AU114*VLOOKUP('BMP P Tracking Table'!$R114,'Loading Rates'!$B$1:$L$24,9,FALSE),'BMP P Tracking Table'!$AV114*VLOOKUP('BMP P Tracking Table'!$R114,'Loading Rates'!$B$1:$L$24,10,FALSE))),"")</f>
        <v/>
      </c>
      <c r="BA114" s="104">
        <f>IFERROR(IF('BMP P Tracking Table'!$AM114="Yes",MIN(2,IF('BMP P Tracking Table'!$AQ114="Total Pervious",(-(3630*'BMP P Tracking Table'!$AP114+20.691*'BMP P Tracking Table'!$AV114)+SQRT((3630*'BMP P Tracking Table'!$AP114+20.691*'BMP P Tracking Table'!$AV114)^2-(4*(996.798*'BMP P Tracking Table'!$AV114)*-'BMP P Tracking Table'!$AX114)))/(2*(996.798*'BMP P Tracking Table'!$AV114)),IF(SUM('BMP P Tracking Table'!$AR114:$AU114)=0,'BMP P Tracking Table'!$AV114/(-3630*'BMP P Tracking Table'!$AP114),(-(3630*'BMP P Tracking Table'!$AP114+20.691*'BMP P Tracking Table'!$AU114-216.711*'BMP P Tracking Table'!$AT114-83.853*'BMP P Tracking Table'!$AS114-42.834*'BMP P Tracking Table'!$AR114)+SQRT((3630*'BMP P Tracking Table'!$AP114+20.691*'BMP P Tracking Table'!$AU114-216.711*'BMP P Tracking Table'!$AT114-83.853*'BMP P Tracking Table'!$AS114-42.834*'BMP P Tracking Table'!$AR114)^2-(4*(149.919*'BMP P Tracking Table'!$AR114+236.676*'BMP P Tracking Table'!$AS114+726*'BMP P Tracking Table'!$AT114+996.798*'BMP P Tracking Table'!$AU114)*-'BMP P Tracking Table'!$AX114)))/(2*(149.919*'BMP P Tracking Table'!$AR114+236.676*'BMP P Tracking Table'!$AS114+726*'BMP P Tracking Table'!$AT114+996.798*'BMP P Tracking Table'!$AU114))))),MIN(2,IF('BMP P Tracking Table'!$AQ114="Total Pervious",(-(3630*'BMP P Tracking Table'!$V114+20.691*'BMP P Tracking Table'!$AB114)+SQRT((3630*'BMP P Tracking Table'!$V114+20.691*'BMP P Tracking Table'!$AB114)^2-(4*(996.798*'BMP P Tracking Table'!$AB114)*-'BMP P Tracking Table'!$AX114)))/(2*(996.798*'BMP P Tracking Table'!$AB114)),IF(SUM('BMP P Tracking Table'!$X114:$AA114)=0,'BMP P Tracking Table'!$AX114/(-3630*'BMP P Tracking Table'!$V114),(-(3630*'BMP P Tracking Table'!$V114+20.691*'BMP P Tracking Table'!$AA114-216.711*'BMP P Tracking Table'!$Z114-83.853*'BMP P Tracking Table'!$Y114-42.834*'BMP P Tracking Table'!$X114)+SQRT((3630*'BMP P Tracking Table'!$V114+20.691*'BMP P Tracking Table'!$AA114-216.711*'BMP P Tracking Table'!$Z114-83.853*'BMP P Tracking Table'!$Y114-42.834*'BMP P Tracking Table'!$X114)^2-(4*(149.919*'BMP P Tracking Table'!$X114+236.676*'BMP P Tracking Table'!$Y114+726*'BMP P Tracking Table'!$Z114+996.798*'BMP P Tracking Table'!$AA114)*-'BMP P Tracking Table'!$AX114)))/(2*(149.919*'BMP P Tracking Table'!$X114+236.676*'BMP P Tracking Table'!$Y114+726*'BMP P Tracking Table'!$Z114+996.798*'BMP P Tracking Table'!$AA114)))))),"")</f>
        <v>0</v>
      </c>
      <c r="BB114" s="102" t="str">
        <f>IFERROR((VLOOKUP(CONCATENATE('BMP P Tracking Table'!$AW114," ",'BMP P Tracking Table'!$AY114),'Performance Curves'!$C$1:$L$46,_xlfn.SINGLE(MATCH('BMP P Tracking Table'!$BA114,'Performance Curves'!$D$1:$L$1,1))+2,FALSE)-VLOOKUP(CONCATENATE('BMP P Tracking Table'!$AW114," ",'BMP P Tracking Table'!$AY114),'Performance Curves'!$C$1:$L$46,_xlfn.SINGLE(MATCH('BMP P Tracking Table'!$BA114,'Performance Curves'!$D$1:$L$1,1))+1,FALSE)),"")</f>
        <v/>
      </c>
      <c r="BC114" s="102">
        <f>IFERROR(('BMP P Tracking Table'!$BA114-INDEX('Performance Curves'!$D$1:$L$1,1,MATCH('BMP P Tracking Table'!$BA114,'Performance Curves'!$D$1:$L$1,1)))/(INDEX('Performance Curves'!$D$1:$L$1,1,MATCH('BMP P Tracking Table'!$BA114,'Performance Curves'!$D$1:$L$1,1)+1)-INDEX('Performance Curves'!$D$1:$L$1,1,MATCH('BMP P Tracking Table'!$BA114,'Performance Curves'!$D$1:$L$1,1))),"")</f>
        <v>0</v>
      </c>
      <c r="BD114" s="103" t="str" cm="1">
        <f t="array" ref="BD114">IFERROR(IF('BMP P Tracking Table'!$BA114=2,VLOOKUP(CONCATENATE('BMP P Tracking Table'!$AW114," ",'BMP P Tracking Table'!$AY114),'Performance Curves'!$C$1:$L$44,_xlfn.SINGLE(MATCH('BMP P Tracking Table'!$BA114,'Performance Curves'!$D$1:$L$1,1))+1,FALSE),'BMP P Tracking Table'!$BB114*'BMP P Tracking Table'!$BC114+VLOOKUP(CONCATENATE('BMP P Tracking Table'!$AW114," ",'BMP P Tracking Table'!$AY114),'Performance Curves'!$C$1:$L$44,_xlfn.SINGLE(MATCH('BMP P Tracking Table'!$BA114,'Performance Curves'!$D$1:$L$1,1))+1,FALSE)),"")</f>
        <v/>
      </c>
      <c r="BE114" s="104" t="str">
        <f>IFERROR('BMP P Tracking Table'!$BD114*'BMP P Tracking Table'!$AZ114,"")</f>
        <v/>
      </c>
      <c r="BF114" s="98"/>
      <c r="BG114" s="37">
        <f t="shared" si="17"/>
        <v>0</v>
      </c>
      <c r="BI114" s="36" t="str">
        <f t="shared" si="7"/>
        <v>EJ-WR-032</v>
      </c>
      <c r="BJ114" s="36" t="str">
        <f t="shared" si="8"/>
        <v>CB36 Cascadnac Ave drywell</v>
      </c>
      <c r="BK114" s="36" t="s">
        <v>802</v>
      </c>
      <c r="BP114" s="36" t="s">
        <v>874</v>
      </c>
      <c r="BQ114" s="36">
        <f t="shared" si="18"/>
        <v>0.31000000000000005</v>
      </c>
      <c r="BR114" s="36">
        <f t="shared" si="19"/>
        <v>0.17</v>
      </c>
      <c r="BS114" s="101">
        <f t="shared" si="20"/>
        <v>0.45161290322580644</v>
      </c>
      <c r="BT114" s="238">
        <f t="shared" si="21"/>
        <v>91428.57142857142</v>
      </c>
      <c r="BU114" s="238">
        <f t="shared" si="22"/>
        <v>80110.151458255088</v>
      </c>
    </row>
    <row r="115" spans="1:73">
      <c r="B115" s="65" t="s">
        <v>763</v>
      </c>
      <c r="C115" s="65" t="s">
        <v>696</v>
      </c>
      <c r="D115" s="65" t="s">
        <v>325</v>
      </c>
      <c r="E115" s="65" t="s">
        <v>10</v>
      </c>
      <c r="F115" s="94"/>
      <c r="G115" s="94"/>
      <c r="H115" s="65"/>
      <c r="I115" s="65"/>
      <c r="J115" s="65" t="s">
        <v>66</v>
      </c>
      <c r="K115" s="95">
        <f>ROUNDUP((VLOOKUP($U115,Dropdowns!$G$3:$I$17, 3, FALSE))*$AC115,-2)</f>
        <v>10900</v>
      </c>
      <c r="L115" s="65" t="s">
        <v>49</v>
      </c>
      <c r="M115" s="65"/>
      <c r="N115" s="65"/>
      <c r="O115" s="65"/>
      <c r="P115" s="65"/>
      <c r="Q115" s="65" t="s">
        <v>119</v>
      </c>
      <c r="R115" s="65" t="s">
        <v>146</v>
      </c>
      <c r="S115" s="65" t="str">
        <f>IFERROR(VLOOKUP('BMP P Tracking Table'!$R115,Dropdowns!$Q$3:$R$23,2,FALSE),"")</f>
        <v>Main Lake</v>
      </c>
      <c r="T115" s="65" t="s">
        <v>66</v>
      </c>
      <c r="U115" s="65" t="s">
        <v>47</v>
      </c>
      <c r="V115" s="65">
        <f>0.07+0.04</f>
        <v>0.11000000000000001</v>
      </c>
      <c r="W115" s="65" t="s">
        <v>220</v>
      </c>
      <c r="X115" s="65">
        <v>0.2</v>
      </c>
      <c r="Y115" s="65">
        <v>0</v>
      </c>
      <c r="Z115" s="65">
        <v>0</v>
      </c>
      <c r="AA115" s="65">
        <v>0</v>
      </c>
      <c r="AB115" s="65"/>
      <c r="AC115" s="97">
        <f t="shared" si="23"/>
        <v>540.87</v>
      </c>
      <c r="AD115" s="65" t="s">
        <v>206</v>
      </c>
      <c r="AE115" s="104">
        <f>IFERROR('BMP P Tracking Table'!$V115*VLOOKUP('BMP P Tracking Table'!$R115,'Loading Rates'!$B$1:$L$24,4,FALSE)+IF('BMP P Tracking Table'!$W115="By HSG",'BMP P Tracking Table'!$X115*VLOOKUP('BMP P Tracking Table'!$R115,'Loading Rates'!$B$1:$L$24,6,FALSE)+'BMP P Tracking Table'!$Y115*VLOOKUP('BMP P Tracking Table'!$R115,'Loading Rates'!$B$1:$L$24,7,FALSE)+'BMP P Tracking Table'!$Z115*VLOOKUP('BMP P Tracking Table'!$R115,'Loading Rates'!$B$1:$L$24,8,FALSE)+'BMP P Tracking Table'!$AA115*VLOOKUP('BMP P Tracking Table'!$R115,'Loading Rates'!$B$1:$L$24,9,FALSE),'BMP P Tracking Table'!$AB115*VLOOKUP('BMP P Tracking Table'!$R115,'Loading Rates'!$B$1:$L$24,10,FALSE)),"")</f>
        <v>0.12687000000000001</v>
      </c>
      <c r="AF115" s="104">
        <f>IFERROR(MIN(2,IF('BMP P Tracking Table'!$W115="Total Pervious",(-(3630*'BMP P Tracking Table'!$V115+20.691*'BMP P Tracking Table'!$AB115)+SQRT((3630*'BMP P Tracking Table'!$V115+20.691*'BMP P Tracking Table'!$AB115)^2-(4*(996.798*'BMP P Tracking Table'!$AB115)*-'BMP P Tracking Table'!$AC115)))/(2*(996.798*'BMP P Tracking Table'!$AB115)),IF(SUM('BMP P Tracking Table'!$X115:$AA115)=0,'BMP P Tracking Table'!$AC115/(-3630*'BMP P Tracking Table'!$V115),(-(3630*'BMP P Tracking Table'!$V115+20.691*'BMP P Tracking Table'!$AA115-216.711*'BMP P Tracking Table'!$Z115-83.853*'BMP P Tracking Table'!$Y115-42.834*'BMP P Tracking Table'!$X115)+SQRT((3630*'BMP P Tracking Table'!$V115+20.691*'BMP P Tracking Table'!$AA115-216.711*'BMP P Tracking Table'!$Z115-83.853*'BMP P Tracking Table'!$Y115-42.834*'BMP P Tracking Table'!$X115)^2-(4*(149.919*'BMP P Tracking Table'!$X115+236.676*'BMP P Tracking Table'!$Y115+726*'BMP P Tracking Table'!$Z115+996.798*'BMP P Tracking Table'!$AA115)*-'BMP P Tracking Table'!$AC115)))/(2*(149.919*'BMP P Tracking Table'!$X115+236.676*'BMP P Tracking Table'!$Y115+726*'BMP P Tracking Table'!$Z115+996.798*'BMP P Tracking Table'!$AA115))))),"")</f>
        <v>1.2620239753867901</v>
      </c>
      <c r="AG115" s="104">
        <f>IFERROR((VLOOKUP(CONCATENATE('BMP P Tracking Table'!$U115," ",'BMP P Tracking Table'!$AD115),'Performance Curves'!$C$1:$L$46,_xlfn.SINGLE(MATCH('BMP P Tracking Table'!$AF115,'Performance Curves'!$D$1:$L$1,1))+2,FALSE)-VLOOKUP(CONCATENATE('BMP P Tracking Table'!$U115," ",'BMP P Tracking Table'!$AD115),'Performance Curves'!$C$1:$L$46,_xlfn.SINGLE(MATCH('BMP P Tracking Table'!$AF115,'Performance Curves'!$D$1:$L$1,1))+1,FALSE)),"")</f>
        <v>2.0000000000000018E-2</v>
      </c>
      <c r="AH115" s="104">
        <f>IFERROR(('BMP P Tracking Table'!$AF115-INDEX('Performance Curves'!$D$1:$L$1,1,MATCH('BMP P Tracking Table'!$AF115,'Performance Curves'!$D$1:$L$1,1)))/(INDEX('Performance Curves'!$D$1:$L$1,1,MATCH('BMP P Tracking Table'!$AF115,'Performance Curves'!$D$1:$L$1,1)+1)-INDEX('Performance Curves'!$D$1:$L$1,1,MATCH('BMP P Tracking Table'!$AF115,'Performance Curves'!$D$1:$L$1,1))),"")</f>
        <v>0.52404795077358024</v>
      </c>
      <c r="AI115" s="103">
        <f>IFERROR(IF('BMP P Tracking Table'!$AF115=2,VLOOKUP(CONCATENATE('BMP P Tracking Table'!$U115," ",'BMP P Tracking Table'!$AD115),'Performance Curves'!$C$1:$L$46,_xlfn.SINGLE(MATCH('BMP P Tracking Table'!$AF115,'Performance Curves'!$D$1:$L$1,1))+1,FALSE),'BMP P Tracking Table'!$AG115*'BMP P Tracking Table'!$AH115+VLOOKUP(CONCATENATE('BMP P Tracking Table'!$U115," ",'BMP P Tracking Table'!$AD115),'Performance Curves'!$C$1:$L$46,_xlfn.SINGLE(MATCH('BMP P Tracking Table'!$AF115,'Performance Curves'!$D$1:$L$1,1))+1,FALSE)),"")</f>
        <v>0.99048095901547162</v>
      </c>
      <c r="AJ115" s="104">
        <f>IFERROR('BMP P Tracking Table'!$AI115*'BMP P Tracking Table'!$AE115,"")</f>
        <v>0.12566231927029289</v>
      </c>
      <c r="AK115" s="65"/>
      <c r="AL115" s="98" t="s">
        <v>62</v>
      </c>
      <c r="AM115" s="98"/>
      <c r="AN115" s="64">
        <v>1</v>
      </c>
      <c r="AO115" s="102">
        <f t="shared" si="16"/>
        <v>0.12566231927029289</v>
      </c>
      <c r="AP115" s="98"/>
      <c r="AQ115" s="98"/>
      <c r="AR115" s="98"/>
      <c r="AS115" s="98"/>
      <c r="AT115" s="98"/>
      <c r="AU115" s="98"/>
      <c r="AV115" s="98"/>
      <c r="AW115" s="65"/>
      <c r="AX115" s="99"/>
      <c r="AY115" s="99"/>
      <c r="AZ115" s="104" t="str">
        <f>IF('BMP P Tracking Table'!$AL115="Yes",IF('BMP P Tracking Table'!$AM115="No",'BMP P Tracking Table'!$V115*VLOOKUP('BMP P Tracking Table'!$R115,'Loading Rates'!$B$1:$L$24,4,FALSE)+IF('BMP P Tracking Table'!$W115="By HSG",'BMP P Tracking Table'!$X115*VLOOKUP('BMP P Tracking Table'!$R115,'Loading Rates'!$B$1:$L$24,6,FALSE)+'BMP P Tracking Table'!$Y115*VLOOKUP('BMP P Tracking Table'!$R115,'Loading Rates'!$B$1:$L$24,7,FALSE)+'BMP P Tracking Table'!$Z115*VLOOKUP('BMP P Tracking Table'!$R115,'Loading Rates'!$B$1:$L$24,8,FALSE)+'BMP P Tracking Table'!$AA115*VLOOKUP('BMP P Tracking Table'!$R115,'Loading Rates'!$B$1:$L$24,9,FALSE),'BMP P Tracking Table'!$AB115*VLOOKUP('BMP P Tracking Table'!$R115,'Loading Rates'!$B$1:$L$24,10,FALSE)),'BMP P Tracking Table'!$AP115*VLOOKUP('BMP P Tracking Table'!$R115,'Loading Rates'!$B$1:$L$24,4,FALSE)+IF('BMP P Tracking Table'!$AQ115="By HSG",'BMP P Tracking Table'!$AR115*VLOOKUP('BMP P Tracking Table'!$R115,'Loading Rates'!$B$1:$L$24,6,FALSE)+'BMP P Tracking Table'!$AS115*VLOOKUP('BMP P Tracking Table'!$R115,'Loading Rates'!$B$1:$L$24,7,FALSE)+'BMP P Tracking Table'!$AT115*VLOOKUP('BMP P Tracking Table'!$R115,'Loading Rates'!$B$1:$L$24,8,FALSE)+'BMP P Tracking Table'!$AU115*VLOOKUP('BMP P Tracking Table'!$R115,'Loading Rates'!$B$1:$L$24,9,FALSE),'BMP P Tracking Table'!$AV115*VLOOKUP('BMP P Tracking Table'!$R115,'Loading Rates'!$B$1:$L$24,10,FALSE))),"")</f>
        <v/>
      </c>
      <c r="BA115" s="104">
        <f>IFERROR(IF('BMP P Tracking Table'!$AM115="Yes",MIN(2,IF('BMP P Tracking Table'!$AQ115="Total Pervious",(-(3630*'BMP P Tracking Table'!$AP115+20.691*'BMP P Tracking Table'!$AV115)+SQRT((3630*'BMP P Tracking Table'!$AP115+20.691*'BMP P Tracking Table'!$AV115)^2-(4*(996.798*'BMP P Tracking Table'!$AV115)*-'BMP P Tracking Table'!$AX115)))/(2*(996.798*'BMP P Tracking Table'!$AV115)),IF(SUM('BMP P Tracking Table'!$AR115:$AU115)=0,'BMP P Tracking Table'!$AV115/(-3630*'BMP P Tracking Table'!$AP115),(-(3630*'BMP P Tracking Table'!$AP115+20.691*'BMP P Tracking Table'!$AU115-216.711*'BMP P Tracking Table'!$AT115-83.853*'BMP P Tracking Table'!$AS115-42.834*'BMP P Tracking Table'!$AR115)+SQRT((3630*'BMP P Tracking Table'!$AP115+20.691*'BMP P Tracking Table'!$AU115-216.711*'BMP P Tracking Table'!$AT115-83.853*'BMP P Tracking Table'!$AS115-42.834*'BMP P Tracking Table'!$AR115)^2-(4*(149.919*'BMP P Tracking Table'!$AR115+236.676*'BMP P Tracking Table'!$AS115+726*'BMP P Tracking Table'!$AT115+996.798*'BMP P Tracking Table'!$AU115)*-'BMP P Tracking Table'!$AX115)))/(2*(149.919*'BMP P Tracking Table'!$AR115+236.676*'BMP P Tracking Table'!$AS115+726*'BMP P Tracking Table'!$AT115+996.798*'BMP P Tracking Table'!$AU115))))),MIN(2,IF('BMP P Tracking Table'!$AQ115="Total Pervious",(-(3630*'BMP P Tracking Table'!$V115+20.691*'BMP P Tracking Table'!$AB115)+SQRT((3630*'BMP P Tracking Table'!$V115+20.691*'BMP P Tracking Table'!$AB115)^2-(4*(996.798*'BMP P Tracking Table'!$AB115)*-'BMP P Tracking Table'!$AX115)))/(2*(996.798*'BMP P Tracking Table'!$AB115)),IF(SUM('BMP P Tracking Table'!$X115:$AA115)=0,'BMP P Tracking Table'!$AX115/(-3630*'BMP P Tracking Table'!$V115),(-(3630*'BMP P Tracking Table'!$V115+20.691*'BMP P Tracking Table'!$AA115-216.711*'BMP P Tracking Table'!$Z115-83.853*'BMP P Tracking Table'!$Y115-42.834*'BMP P Tracking Table'!$X115)+SQRT((3630*'BMP P Tracking Table'!$V115+20.691*'BMP P Tracking Table'!$AA115-216.711*'BMP P Tracking Table'!$Z115-83.853*'BMP P Tracking Table'!$Y115-42.834*'BMP P Tracking Table'!$X115)^2-(4*(149.919*'BMP P Tracking Table'!$X115+236.676*'BMP P Tracking Table'!$Y115+726*'BMP P Tracking Table'!$Z115+996.798*'BMP P Tracking Table'!$AA115)*-'BMP P Tracking Table'!$AX115)))/(2*(149.919*'BMP P Tracking Table'!$X115+236.676*'BMP P Tracking Table'!$Y115+726*'BMP P Tracking Table'!$Z115+996.798*'BMP P Tracking Table'!$AA115)))))),"")</f>
        <v>0</v>
      </c>
      <c r="BB115" s="102" t="str">
        <f>IFERROR((VLOOKUP(CONCATENATE('BMP P Tracking Table'!$AW115," ",'BMP P Tracking Table'!$AY115),'Performance Curves'!$C$1:$L$46,_xlfn.SINGLE(MATCH('BMP P Tracking Table'!$BA115,'Performance Curves'!$D$1:$L$1,1))+2,FALSE)-VLOOKUP(CONCATENATE('BMP P Tracking Table'!$AW115," ",'BMP P Tracking Table'!$AY115),'Performance Curves'!$C$1:$L$46,_xlfn.SINGLE(MATCH('BMP P Tracking Table'!$BA115,'Performance Curves'!$D$1:$L$1,1))+1,FALSE)),"")</f>
        <v/>
      </c>
      <c r="BC115" s="102">
        <f>IFERROR(('BMP P Tracking Table'!$BA115-INDEX('Performance Curves'!$D$1:$L$1,1,MATCH('BMP P Tracking Table'!$BA115,'Performance Curves'!$D$1:$L$1,1)))/(INDEX('Performance Curves'!$D$1:$L$1,1,MATCH('BMP P Tracking Table'!$BA115,'Performance Curves'!$D$1:$L$1,1)+1)-INDEX('Performance Curves'!$D$1:$L$1,1,MATCH('BMP P Tracking Table'!$BA115,'Performance Curves'!$D$1:$L$1,1))),"")</f>
        <v>0</v>
      </c>
      <c r="BD115" s="103" t="str" cm="1">
        <f t="array" ref="BD115">IFERROR(IF('BMP P Tracking Table'!$BA115=2,VLOOKUP(CONCATENATE('BMP P Tracking Table'!$AW115," ",'BMP P Tracking Table'!$AY115),'Performance Curves'!$C$1:$L$44,_xlfn.SINGLE(MATCH('BMP P Tracking Table'!$BA115,'Performance Curves'!$D$1:$L$1,1))+1,FALSE),'BMP P Tracking Table'!$BB115*'BMP P Tracking Table'!$BC115+VLOOKUP(CONCATENATE('BMP P Tracking Table'!$AW115," ",'BMP P Tracking Table'!$AY115),'Performance Curves'!$C$1:$L$44,_xlfn.SINGLE(MATCH('BMP P Tracking Table'!$BA115,'Performance Curves'!$D$1:$L$1,1))+1,FALSE)),"")</f>
        <v/>
      </c>
      <c r="BE115" s="104" t="str">
        <f>IFERROR('BMP P Tracking Table'!$BD115*'BMP P Tracking Table'!$AZ115,"")</f>
        <v/>
      </c>
      <c r="BF115" s="98"/>
      <c r="BG115" s="37">
        <f t="shared" si="17"/>
        <v>0</v>
      </c>
      <c r="BI115" s="36" t="str">
        <f t="shared" si="7"/>
        <v>EJ-WR-033</v>
      </c>
      <c r="BJ115" s="36" t="str">
        <f t="shared" si="8"/>
        <v>CB37 Cascadnac Ave drywell</v>
      </c>
      <c r="BK115" s="36" t="s">
        <v>802</v>
      </c>
      <c r="BP115" s="36" t="s">
        <v>874</v>
      </c>
      <c r="BQ115" s="36">
        <f t="shared" si="18"/>
        <v>0.31000000000000005</v>
      </c>
      <c r="BR115" s="36">
        <f t="shared" si="19"/>
        <v>0.2</v>
      </c>
      <c r="BS115" s="101">
        <f t="shared" si="20"/>
        <v>0.35483870967741932</v>
      </c>
      <c r="BT115" s="238">
        <f t="shared" si="21"/>
        <v>99090.909090909074</v>
      </c>
      <c r="BU115" s="238">
        <f t="shared" si="22"/>
        <v>86740.401285724205</v>
      </c>
    </row>
    <row r="116" spans="1:73">
      <c r="B116" s="65" t="s">
        <v>764</v>
      </c>
      <c r="C116" s="65" t="s">
        <v>697</v>
      </c>
      <c r="D116" s="65" t="s">
        <v>325</v>
      </c>
      <c r="E116" s="65" t="s">
        <v>10</v>
      </c>
      <c r="F116" s="94"/>
      <c r="G116" s="94"/>
      <c r="H116" s="65"/>
      <c r="I116" s="65"/>
      <c r="J116" s="65" t="s">
        <v>66</v>
      </c>
      <c r="K116" s="95">
        <f>ROUNDUP((VLOOKUP($U116,Dropdowns!$G$3:$I$17, 3, FALSE))*$AC116,-2)</f>
        <v>16100</v>
      </c>
      <c r="L116" s="65" t="s">
        <v>49</v>
      </c>
      <c r="M116" s="65"/>
      <c r="N116" s="65"/>
      <c r="O116" s="65"/>
      <c r="P116" s="65"/>
      <c r="Q116" s="65" t="s">
        <v>119</v>
      </c>
      <c r="R116" s="65" t="s">
        <v>146</v>
      </c>
      <c r="S116" s="65" t="str">
        <f>IFERROR(VLOOKUP('BMP P Tracking Table'!$R116,Dropdowns!$Q$3:$R$23,2,FALSE),"")</f>
        <v>Main Lake</v>
      </c>
      <c r="T116" s="65" t="s">
        <v>66</v>
      </c>
      <c r="U116" s="65" t="s">
        <v>47</v>
      </c>
      <c r="V116" s="65">
        <f>0.11+0.08</f>
        <v>0.19</v>
      </c>
      <c r="W116" s="65" t="s">
        <v>220</v>
      </c>
      <c r="X116" s="65">
        <v>0.19</v>
      </c>
      <c r="Y116" s="65">
        <v>0</v>
      </c>
      <c r="Z116" s="65">
        <v>0</v>
      </c>
      <c r="AA116" s="65">
        <v>0</v>
      </c>
      <c r="AB116" s="65"/>
      <c r="AC116" s="97">
        <f t="shared" si="23"/>
        <v>802.2299999999999</v>
      </c>
      <c r="AD116" s="65" t="s">
        <v>206</v>
      </c>
      <c r="AE116" s="104">
        <f>IFERROR('BMP P Tracking Table'!$V116*VLOOKUP('BMP P Tracking Table'!$R116,'Loading Rates'!$B$1:$L$24,4,FALSE)+IF('BMP P Tracking Table'!$W116="By HSG",'BMP P Tracking Table'!$X116*VLOOKUP('BMP P Tracking Table'!$R116,'Loading Rates'!$B$1:$L$24,6,FALSE)+'BMP P Tracking Table'!$Y116*VLOOKUP('BMP P Tracking Table'!$R116,'Loading Rates'!$B$1:$L$24,7,FALSE)+'BMP P Tracking Table'!$Z116*VLOOKUP('BMP P Tracking Table'!$R116,'Loading Rates'!$B$1:$L$24,8,FALSE)+'BMP P Tracking Table'!$AA116*VLOOKUP('BMP P Tracking Table'!$R116,'Loading Rates'!$B$1:$L$24,9,FALSE),'BMP P Tracking Table'!$AB116*VLOOKUP('BMP P Tracking Table'!$R116,'Loading Rates'!$B$1:$L$24,10,FALSE)),"")</f>
        <v>0.21603</v>
      </c>
      <c r="AF116" s="104">
        <f>IFERROR(MIN(2,IF('BMP P Tracking Table'!$W116="Total Pervious",(-(3630*'BMP P Tracking Table'!$V116+20.691*'BMP P Tracking Table'!$AB116)+SQRT((3630*'BMP P Tracking Table'!$V116+20.691*'BMP P Tracking Table'!$AB116)^2-(4*(996.798*'BMP P Tracking Table'!$AB116)*-'BMP P Tracking Table'!$AC116)))/(2*(996.798*'BMP P Tracking Table'!$AB116)),IF(SUM('BMP P Tracking Table'!$X116:$AA116)=0,'BMP P Tracking Table'!$AC116/(-3630*'BMP P Tracking Table'!$V116),(-(3630*'BMP P Tracking Table'!$V116+20.691*'BMP P Tracking Table'!$AA116-216.711*'BMP P Tracking Table'!$Z116-83.853*'BMP P Tracking Table'!$Y116-42.834*'BMP P Tracking Table'!$X116)+SQRT((3630*'BMP P Tracking Table'!$V116+20.691*'BMP P Tracking Table'!$AA116-216.711*'BMP P Tracking Table'!$Z116-83.853*'BMP P Tracking Table'!$Y116-42.834*'BMP P Tracking Table'!$X116)^2-(4*(149.919*'BMP P Tracking Table'!$X116+236.676*'BMP P Tracking Table'!$Y116+726*'BMP P Tracking Table'!$Z116+996.798*'BMP P Tracking Table'!$AA116)*-'BMP P Tracking Table'!$AC116)))/(2*(149.919*'BMP P Tracking Table'!$X116+236.676*'BMP P Tracking Table'!$Y116+726*'BMP P Tracking Table'!$Z116+996.798*'BMP P Tracking Table'!$AA116))))),"")</f>
        <v>1.1242253971154519</v>
      </c>
      <c r="AG116" s="104">
        <f>IFERROR((VLOOKUP(CONCATENATE('BMP P Tracking Table'!$U116," ",'BMP P Tracking Table'!$AD116),'Performance Curves'!$C$1:$L$46,_xlfn.SINGLE(MATCH('BMP P Tracking Table'!$AF116,'Performance Curves'!$D$1:$L$1,1))+2,FALSE)-VLOOKUP(CONCATENATE('BMP P Tracking Table'!$U116," ",'BMP P Tracking Table'!$AD116),'Performance Curves'!$C$1:$L$46,_xlfn.SINGLE(MATCH('BMP P Tracking Table'!$AF116,'Performance Curves'!$D$1:$L$1,1))+1,FALSE)),"")</f>
        <v>2.0000000000000018E-2</v>
      </c>
      <c r="AH116" s="104">
        <f>IFERROR(('BMP P Tracking Table'!$AF116-INDEX('Performance Curves'!$D$1:$L$1,1,MATCH('BMP P Tracking Table'!$AF116,'Performance Curves'!$D$1:$L$1,1)))/(INDEX('Performance Curves'!$D$1:$L$1,1,MATCH('BMP P Tracking Table'!$AF116,'Performance Curves'!$D$1:$L$1,1)+1)-INDEX('Performance Curves'!$D$1:$L$1,1,MATCH('BMP P Tracking Table'!$AF116,'Performance Curves'!$D$1:$L$1,1))),"")</f>
        <v>0.24845079423090377</v>
      </c>
      <c r="AI116" s="103">
        <f>IFERROR(IF('BMP P Tracking Table'!$AF116=2,VLOOKUP(CONCATENATE('BMP P Tracking Table'!$U116," ",'BMP P Tracking Table'!$AD116),'Performance Curves'!$C$1:$L$46,_xlfn.SINGLE(MATCH('BMP P Tracking Table'!$AF116,'Performance Curves'!$D$1:$L$1,1))+1,FALSE),'BMP P Tracking Table'!$AG116*'BMP P Tracking Table'!$AH116+VLOOKUP(CONCATENATE('BMP P Tracking Table'!$U116," ",'BMP P Tracking Table'!$AD116),'Performance Curves'!$C$1:$L$46,_xlfn.SINGLE(MATCH('BMP P Tracking Table'!$AF116,'Performance Curves'!$D$1:$L$1,1))+1,FALSE)),"")</f>
        <v>0.98496901588461805</v>
      </c>
      <c r="AJ116" s="104">
        <f>IFERROR('BMP P Tracking Table'!$AI116*'BMP P Tracking Table'!$AE116,"")</f>
        <v>0.21278285650155404</v>
      </c>
      <c r="AK116" s="65"/>
      <c r="AL116" s="98" t="s">
        <v>62</v>
      </c>
      <c r="AM116" s="98"/>
      <c r="AN116" s="64">
        <v>1</v>
      </c>
      <c r="AO116" s="102">
        <f t="shared" si="16"/>
        <v>0.21278285650155404</v>
      </c>
      <c r="AP116" s="98"/>
      <c r="AQ116" s="98"/>
      <c r="AR116" s="98"/>
      <c r="AS116" s="98"/>
      <c r="AT116" s="98"/>
      <c r="AU116" s="98"/>
      <c r="AV116" s="98"/>
      <c r="AW116" s="65"/>
      <c r="AX116" s="99"/>
      <c r="AY116" s="99"/>
      <c r="AZ116" s="104" t="str">
        <f>IF('BMP P Tracking Table'!$AL116="Yes",IF('BMP P Tracking Table'!$AM116="No",'BMP P Tracking Table'!$V116*VLOOKUP('BMP P Tracking Table'!$R116,'Loading Rates'!$B$1:$L$24,4,FALSE)+IF('BMP P Tracking Table'!$W116="By HSG",'BMP P Tracking Table'!$X116*VLOOKUP('BMP P Tracking Table'!$R116,'Loading Rates'!$B$1:$L$24,6,FALSE)+'BMP P Tracking Table'!$Y116*VLOOKUP('BMP P Tracking Table'!$R116,'Loading Rates'!$B$1:$L$24,7,FALSE)+'BMP P Tracking Table'!$Z116*VLOOKUP('BMP P Tracking Table'!$R116,'Loading Rates'!$B$1:$L$24,8,FALSE)+'BMP P Tracking Table'!$AA116*VLOOKUP('BMP P Tracking Table'!$R116,'Loading Rates'!$B$1:$L$24,9,FALSE),'BMP P Tracking Table'!$AB116*VLOOKUP('BMP P Tracking Table'!$R116,'Loading Rates'!$B$1:$L$24,10,FALSE)),'BMP P Tracking Table'!$AP116*VLOOKUP('BMP P Tracking Table'!$R116,'Loading Rates'!$B$1:$L$24,4,FALSE)+IF('BMP P Tracking Table'!$AQ116="By HSG",'BMP P Tracking Table'!$AR116*VLOOKUP('BMP P Tracking Table'!$R116,'Loading Rates'!$B$1:$L$24,6,FALSE)+'BMP P Tracking Table'!$AS116*VLOOKUP('BMP P Tracking Table'!$R116,'Loading Rates'!$B$1:$L$24,7,FALSE)+'BMP P Tracking Table'!$AT116*VLOOKUP('BMP P Tracking Table'!$R116,'Loading Rates'!$B$1:$L$24,8,FALSE)+'BMP P Tracking Table'!$AU116*VLOOKUP('BMP P Tracking Table'!$R116,'Loading Rates'!$B$1:$L$24,9,FALSE),'BMP P Tracking Table'!$AV116*VLOOKUP('BMP P Tracking Table'!$R116,'Loading Rates'!$B$1:$L$24,10,FALSE))),"")</f>
        <v/>
      </c>
      <c r="BA116" s="104">
        <f>IFERROR(IF('BMP P Tracking Table'!$AM116="Yes",MIN(2,IF('BMP P Tracking Table'!$AQ116="Total Pervious",(-(3630*'BMP P Tracking Table'!$AP116+20.691*'BMP P Tracking Table'!$AV116)+SQRT((3630*'BMP P Tracking Table'!$AP116+20.691*'BMP P Tracking Table'!$AV116)^2-(4*(996.798*'BMP P Tracking Table'!$AV116)*-'BMP P Tracking Table'!$AX116)))/(2*(996.798*'BMP P Tracking Table'!$AV116)),IF(SUM('BMP P Tracking Table'!$AR116:$AU116)=0,'BMP P Tracking Table'!$AV116/(-3630*'BMP P Tracking Table'!$AP116),(-(3630*'BMP P Tracking Table'!$AP116+20.691*'BMP P Tracking Table'!$AU116-216.711*'BMP P Tracking Table'!$AT116-83.853*'BMP P Tracking Table'!$AS116-42.834*'BMP P Tracking Table'!$AR116)+SQRT((3630*'BMP P Tracking Table'!$AP116+20.691*'BMP P Tracking Table'!$AU116-216.711*'BMP P Tracking Table'!$AT116-83.853*'BMP P Tracking Table'!$AS116-42.834*'BMP P Tracking Table'!$AR116)^2-(4*(149.919*'BMP P Tracking Table'!$AR116+236.676*'BMP P Tracking Table'!$AS116+726*'BMP P Tracking Table'!$AT116+996.798*'BMP P Tracking Table'!$AU116)*-'BMP P Tracking Table'!$AX116)))/(2*(149.919*'BMP P Tracking Table'!$AR116+236.676*'BMP P Tracking Table'!$AS116+726*'BMP P Tracking Table'!$AT116+996.798*'BMP P Tracking Table'!$AU116))))),MIN(2,IF('BMP P Tracking Table'!$AQ116="Total Pervious",(-(3630*'BMP P Tracking Table'!$V116+20.691*'BMP P Tracking Table'!$AB116)+SQRT((3630*'BMP P Tracking Table'!$V116+20.691*'BMP P Tracking Table'!$AB116)^2-(4*(996.798*'BMP P Tracking Table'!$AB116)*-'BMP P Tracking Table'!$AX116)))/(2*(996.798*'BMP P Tracking Table'!$AB116)),IF(SUM('BMP P Tracking Table'!$X116:$AA116)=0,'BMP P Tracking Table'!$AX116/(-3630*'BMP P Tracking Table'!$V116),(-(3630*'BMP P Tracking Table'!$V116+20.691*'BMP P Tracking Table'!$AA116-216.711*'BMP P Tracking Table'!$Z116-83.853*'BMP P Tracking Table'!$Y116-42.834*'BMP P Tracking Table'!$X116)+SQRT((3630*'BMP P Tracking Table'!$V116+20.691*'BMP P Tracking Table'!$AA116-216.711*'BMP P Tracking Table'!$Z116-83.853*'BMP P Tracking Table'!$Y116-42.834*'BMP P Tracking Table'!$X116)^2-(4*(149.919*'BMP P Tracking Table'!$X116+236.676*'BMP P Tracking Table'!$Y116+726*'BMP P Tracking Table'!$Z116+996.798*'BMP P Tracking Table'!$AA116)*-'BMP P Tracking Table'!$AX116)))/(2*(149.919*'BMP P Tracking Table'!$X116+236.676*'BMP P Tracking Table'!$Y116+726*'BMP P Tracking Table'!$Z116+996.798*'BMP P Tracking Table'!$AA116)))))),"")</f>
        <v>0</v>
      </c>
      <c r="BB116" s="102" t="str">
        <f>IFERROR((VLOOKUP(CONCATENATE('BMP P Tracking Table'!$AW116," ",'BMP P Tracking Table'!$AY116),'Performance Curves'!$C$1:$L$46,_xlfn.SINGLE(MATCH('BMP P Tracking Table'!$BA116,'Performance Curves'!$D$1:$L$1,1))+2,FALSE)-VLOOKUP(CONCATENATE('BMP P Tracking Table'!$AW116," ",'BMP P Tracking Table'!$AY116),'Performance Curves'!$C$1:$L$46,_xlfn.SINGLE(MATCH('BMP P Tracking Table'!$BA116,'Performance Curves'!$D$1:$L$1,1))+1,FALSE)),"")</f>
        <v/>
      </c>
      <c r="BC116" s="102">
        <f>IFERROR(('BMP P Tracking Table'!$BA116-INDEX('Performance Curves'!$D$1:$L$1,1,MATCH('BMP P Tracking Table'!$BA116,'Performance Curves'!$D$1:$L$1,1)))/(INDEX('Performance Curves'!$D$1:$L$1,1,MATCH('BMP P Tracking Table'!$BA116,'Performance Curves'!$D$1:$L$1,1)+1)-INDEX('Performance Curves'!$D$1:$L$1,1,MATCH('BMP P Tracking Table'!$BA116,'Performance Curves'!$D$1:$L$1,1))),"")</f>
        <v>0</v>
      </c>
      <c r="BD116" s="103" t="str" cm="1">
        <f t="array" ref="BD116">IFERROR(IF('BMP P Tracking Table'!$BA116=2,VLOOKUP(CONCATENATE('BMP P Tracking Table'!$AW116," ",'BMP P Tracking Table'!$AY116),'Performance Curves'!$C$1:$L$44,_xlfn.SINGLE(MATCH('BMP P Tracking Table'!$BA116,'Performance Curves'!$D$1:$L$1,1))+1,FALSE),'BMP P Tracking Table'!$BB116*'BMP P Tracking Table'!$BC116+VLOOKUP(CONCATENATE('BMP P Tracking Table'!$AW116," ",'BMP P Tracking Table'!$AY116),'Performance Curves'!$C$1:$L$44,_xlfn.SINGLE(MATCH('BMP P Tracking Table'!$BA116,'Performance Curves'!$D$1:$L$1,1))+1,FALSE)),"")</f>
        <v/>
      </c>
      <c r="BE116" s="104" t="str">
        <f>IFERROR('BMP P Tracking Table'!$BD116*'BMP P Tracking Table'!$AZ116,"")</f>
        <v/>
      </c>
      <c r="BF116" s="92"/>
      <c r="BG116" s="37">
        <f t="shared" si="17"/>
        <v>0</v>
      </c>
      <c r="BI116" s="36" t="str">
        <f t="shared" si="7"/>
        <v>EJ-WR-034</v>
      </c>
      <c r="BJ116" s="36" t="str">
        <f t="shared" si="8"/>
        <v>CB42 Cascadnac and Owaissa Ave drywell</v>
      </c>
      <c r="BK116" s="36" t="s">
        <v>802</v>
      </c>
      <c r="BP116" s="36" t="s">
        <v>874</v>
      </c>
      <c r="BQ116" s="36">
        <f t="shared" si="18"/>
        <v>0.38</v>
      </c>
      <c r="BR116" s="36">
        <f t="shared" si="19"/>
        <v>0.19</v>
      </c>
      <c r="BS116" s="101">
        <f t="shared" si="20"/>
        <v>0.5</v>
      </c>
      <c r="BT116" s="238">
        <f t="shared" si="21"/>
        <v>84736.84210526316</v>
      </c>
      <c r="BU116" s="238">
        <f t="shared" si="22"/>
        <v>75663.990345398968</v>
      </c>
    </row>
    <row r="117" spans="1:73">
      <c r="B117" s="65" t="s">
        <v>765</v>
      </c>
      <c r="C117" s="65" t="s">
        <v>698</v>
      </c>
      <c r="D117" s="65" t="s">
        <v>325</v>
      </c>
      <c r="E117" s="65" t="s">
        <v>10</v>
      </c>
      <c r="F117" s="94"/>
      <c r="G117" s="94"/>
      <c r="H117" s="65"/>
      <c r="I117" s="65"/>
      <c r="J117" s="65" t="s">
        <v>66</v>
      </c>
      <c r="K117" s="95">
        <f>ROUNDUP((VLOOKUP($U117,Dropdowns!$G$3:$I$17, 3, FALSE))*$AC117,-2)</f>
        <v>18700</v>
      </c>
      <c r="L117" s="65" t="s">
        <v>49</v>
      </c>
      <c r="M117" s="65"/>
      <c r="N117" s="65"/>
      <c r="O117" s="65"/>
      <c r="P117" s="65"/>
      <c r="Q117" s="65" t="s">
        <v>119</v>
      </c>
      <c r="R117" s="65" t="s">
        <v>146</v>
      </c>
      <c r="S117" s="65" t="str">
        <f>IFERROR(VLOOKUP('BMP P Tracking Table'!$R117,Dropdowns!$Q$3:$R$23,2,FALSE),"")</f>
        <v>Main Lake</v>
      </c>
      <c r="T117" s="65" t="s">
        <v>66</v>
      </c>
      <c r="U117" s="65" t="s">
        <v>47</v>
      </c>
      <c r="V117" s="65">
        <f>0.15+0.08</f>
        <v>0.22999999999999998</v>
      </c>
      <c r="W117" s="65" t="s">
        <v>220</v>
      </c>
      <c r="X117" s="65">
        <v>0.16</v>
      </c>
      <c r="Y117" s="65">
        <v>0</v>
      </c>
      <c r="Z117" s="65">
        <v>0</v>
      </c>
      <c r="AA117" s="65">
        <v>0</v>
      </c>
      <c r="AB117" s="65"/>
      <c r="AC117" s="97">
        <f t="shared" si="23"/>
        <v>932.90999999999985</v>
      </c>
      <c r="AD117" s="65" t="s">
        <v>206</v>
      </c>
      <c r="AE117" s="104">
        <f>IFERROR('BMP P Tracking Table'!$V117*VLOOKUP('BMP P Tracking Table'!$R117,'Loading Rates'!$B$1:$L$24,4,FALSE)+IF('BMP P Tracking Table'!$W117="By HSG",'BMP P Tracking Table'!$X117*VLOOKUP('BMP P Tracking Table'!$R117,'Loading Rates'!$B$1:$L$24,6,FALSE)+'BMP P Tracking Table'!$Y117*VLOOKUP('BMP P Tracking Table'!$R117,'Loading Rates'!$B$1:$L$24,7,FALSE)+'BMP P Tracking Table'!$Z117*VLOOKUP('BMP P Tracking Table'!$R117,'Loading Rates'!$B$1:$L$24,8,FALSE)+'BMP P Tracking Table'!$AA117*VLOOKUP('BMP P Tracking Table'!$R117,'Loading Rates'!$B$1:$L$24,9,FALSE),'BMP P Tracking Table'!$AB117*VLOOKUP('BMP P Tracking Table'!$R117,'Loading Rates'!$B$1:$L$24,10,FALSE)),"")</f>
        <v>0.26010999999999995</v>
      </c>
      <c r="AF117" s="104">
        <f>IFERROR(MIN(2,IF('BMP P Tracking Table'!$W117="Total Pervious",(-(3630*'BMP P Tracking Table'!$V117+20.691*'BMP P Tracking Table'!$AB117)+SQRT((3630*'BMP P Tracking Table'!$V117+20.691*'BMP P Tracking Table'!$AB117)^2-(4*(996.798*'BMP P Tracking Table'!$AB117)*-'BMP P Tracking Table'!$AC117)))/(2*(996.798*'BMP P Tracking Table'!$AB117)),IF(SUM('BMP P Tracking Table'!$X117:$AA117)=0,'BMP P Tracking Table'!$AC117/(-3630*'BMP P Tracking Table'!$V117),(-(3630*'BMP P Tracking Table'!$V117+20.691*'BMP P Tracking Table'!$AA117-216.711*'BMP P Tracking Table'!$Z117-83.853*'BMP P Tracking Table'!$Y117-42.834*'BMP P Tracking Table'!$X117)+SQRT((3630*'BMP P Tracking Table'!$V117+20.691*'BMP P Tracking Table'!$AA117-216.711*'BMP P Tracking Table'!$Z117-83.853*'BMP P Tracking Table'!$Y117-42.834*'BMP P Tracking Table'!$X117)^2-(4*(149.919*'BMP P Tracking Table'!$X117+236.676*'BMP P Tracking Table'!$Y117+726*'BMP P Tracking Table'!$Z117+996.798*'BMP P Tracking Table'!$AA117)*-'BMP P Tracking Table'!$AC117)))/(2*(149.919*'BMP P Tracking Table'!$X117+236.676*'BMP P Tracking Table'!$Y117+726*'BMP P Tracking Table'!$Z117+996.798*'BMP P Tracking Table'!$AA117))))),"")</f>
        <v>1.0920902675214001</v>
      </c>
      <c r="AG117" s="104">
        <f>IFERROR((VLOOKUP(CONCATENATE('BMP P Tracking Table'!$U117," ",'BMP P Tracking Table'!$AD117),'Performance Curves'!$C$1:$L$46,_xlfn.SINGLE(MATCH('BMP P Tracking Table'!$AF117,'Performance Curves'!$D$1:$L$1,1))+2,FALSE)-VLOOKUP(CONCATENATE('BMP P Tracking Table'!$U117," ",'BMP P Tracking Table'!$AD117),'Performance Curves'!$C$1:$L$46,_xlfn.SINGLE(MATCH('BMP P Tracking Table'!$AF117,'Performance Curves'!$D$1:$L$1,1))+1,FALSE)),"")</f>
        <v>2.0000000000000018E-2</v>
      </c>
      <c r="AH117" s="104">
        <f>IFERROR(('BMP P Tracking Table'!$AF117-INDEX('Performance Curves'!$D$1:$L$1,1,MATCH('BMP P Tracking Table'!$AF117,'Performance Curves'!$D$1:$L$1,1)))/(INDEX('Performance Curves'!$D$1:$L$1,1,MATCH('BMP P Tracking Table'!$AF117,'Performance Curves'!$D$1:$L$1,1)+1)-INDEX('Performance Curves'!$D$1:$L$1,1,MATCH('BMP P Tracking Table'!$AF117,'Performance Curves'!$D$1:$L$1,1))),"")</f>
        <v>0.1841805350428003</v>
      </c>
      <c r="AI117" s="103">
        <f>IFERROR(IF('BMP P Tracking Table'!$AF117=2,VLOOKUP(CONCATENATE('BMP P Tracking Table'!$U117," ",'BMP P Tracking Table'!$AD117),'Performance Curves'!$C$1:$L$46,_xlfn.SINGLE(MATCH('BMP P Tracking Table'!$AF117,'Performance Curves'!$D$1:$L$1,1))+1,FALSE),'BMP P Tracking Table'!$AG117*'BMP P Tracking Table'!$AH117+VLOOKUP(CONCATENATE('BMP P Tracking Table'!$U117," ",'BMP P Tracking Table'!$AD117),'Performance Curves'!$C$1:$L$46,_xlfn.SINGLE(MATCH('BMP P Tracking Table'!$AF117,'Performance Curves'!$D$1:$L$1,1))+1,FALSE)),"")</f>
        <v>0.98368361070085597</v>
      </c>
      <c r="AJ117" s="104">
        <f>IFERROR('BMP P Tracking Table'!$AI117*'BMP P Tracking Table'!$AE117,"")</f>
        <v>0.2558659439793996</v>
      </c>
      <c r="AK117" s="65"/>
      <c r="AL117" s="98" t="s">
        <v>62</v>
      </c>
      <c r="AM117" s="98"/>
      <c r="AN117" s="64">
        <v>1</v>
      </c>
      <c r="AO117" s="102">
        <f t="shared" si="16"/>
        <v>0.2558659439793996</v>
      </c>
      <c r="AP117" s="98"/>
      <c r="AQ117" s="98"/>
      <c r="AR117" s="98"/>
      <c r="AS117" s="98"/>
      <c r="AT117" s="98"/>
      <c r="AU117" s="98"/>
      <c r="AV117" s="98"/>
      <c r="AW117" s="65"/>
      <c r="AX117" s="99"/>
      <c r="AY117" s="99"/>
      <c r="AZ117" s="104" t="str">
        <f>IF('BMP P Tracking Table'!$AL117="Yes",IF('BMP P Tracking Table'!$AM117="No",'BMP P Tracking Table'!$V117*VLOOKUP('BMP P Tracking Table'!$R117,'Loading Rates'!$B$1:$L$24,4,FALSE)+IF('BMP P Tracking Table'!$W117="By HSG",'BMP P Tracking Table'!$X117*VLOOKUP('BMP P Tracking Table'!$R117,'Loading Rates'!$B$1:$L$24,6,FALSE)+'BMP P Tracking Table'!$Y117*VLOOKUP('BMP P Tracking Table'!$R117,'Loading Rates'!$B$1:$L$24,7,FALSE)+'BMP P Tracking Table'!$Z117*VLOOKUP('BMP P Tracking Table'!$R117,'Loading Rates'!$B$1:$L$24,8,FALSE)+'BMP P Tracking Table'!$AA117*VLOOKUP('BMP P Tracking Table'!$R117,'Loading Rates'!$B$1:$L$24,9,FALSE),'BMP P Tracking Table'!$AB117*VLOOKUP('BMP P Tracking Table'!$R117,'Loading Rates'!$B$1:$L$24,10,FALSE)),'BMP P Tracking Table'!$AP117*VLOOKUP('BMP P Tracking Table'!$R117,'Loading Rates'!$B$1:$L$24,4,FALSE)+IF('BMP P Tracking Table'!$AQ117="By HSG",'BMP P Tracking Table'!$AR117*VLOOKUP('BMP P Tracking Table'!$R117,'Loading Rates'!$B$1:$L$24,6,FALSE)+'BMP P Tracking Table'!$AS117*VLOOKUP('BMP P Tracking Table'!$R117,'Loading Rates'!$B$1:$L$24,7,FALSE)+'BMP P Tracking Table'!$AT117*VLOOKUP('BMP P Tracking Table'!$R117,'Loading Rates'!$B$1:$L$24,8,FALSE)+'BMP P Tracking Table'!$AU117*VLOOKUP('BMP P Tracking Table'!$R117,'Loading Rates'!$B$1:$L$24,9,FALSE),'BMP P Tracking Table'!$AV117*VLOOKUP('BMP P Tracking Table'!$R117,'Loading Rates'!$B$1:$L$24,10,FALSE))),"")</f>
        <v/>
      </c>
      <c r="BA117" s="104">
        <f>IFERROR(IF('BMP P Tracking Table'!$AM117="Yes",MIN(2,IF('BMP P Tracking Table'!$AQ117="Total Pervious",(-(3630*'BMP P Tracking Table'!$AP117+20.691*'BMP P Tracking Table'!$AV117)+SQRT((3630*'BMP P Tracking Table'!$AP117+20.691*'BMP P Tracking Table'!$AV117)^2-(4*(996.798*'BMP P Tracking Table'!$AV117)*-'BMP P Tracking Table'!$AX117)))/(2*(996.798*'BMP P Tracking Table'!$AV117)),IF(SUM('BMP P Tracking Table'!$AR117:$AU117)=0,'BMP P Tracking Table'!$AV117/(-3630*'BMP P Tracking Table'!$AP117),(-(3630*'BMP P Tracking Table'!$AP117+20.691*'BMP P Tracking Table'!$AU117-216.711*'BMP P Tracking Table'!$AT117-83.853*'BMP P Tracking Table'!$AS117-42.834*'BMP P Tracking Table'!$AR117)+SQRT((3630*'BMP P Tracking Table'!$AP117+20.691*'BMP P Tracking Table'!$AU117-216.711*'BMP P Tracking Table'!$AT117-83.853*'BMP P Tracking Table'!$AS117-42.834*'BMP P Tracking Table'!$AR117)^2-(4*(149.919*'BMP P Tracking Table'!$AR117+236.676*'BMP P Tracking Table'!$AS117+726*'BMP P Tracking Table'!$AT117+996.798*'BMP P Tracking Table'!$AU117)*-'BMP P Tracking Table'!$AX117)))/(2*(149.919*'BMP P Tracking Table'!$AR117+236.676*'BMP P Tracking Table'!$AS117+726*'BMP P Tracking Table'!$AT117+996.798*'BMP P Tracking Table'!$AU117))))),MIN(2,IF('BMP P Tracking Table'!$AQ117="Total Pervious",(-(3630*'BMP P Tracking Table'!$V117+20.691*'BMP P Tracking Table'!$AB117)+SQRT((3630*'BMP P Tracking Table'!$V117+20.691*'BMP P Tracking Table'!$AB117)^2-(4*(996.798*'BMP P Tracking Table'!$AB117)*-'BMP P Tracking Table'!$AX117)))/(2*(996.798*'BMP P Tracking Table'!$AB117)),IF(SUM('BMP P Tracking Table'!$X117:$AA117)=0,'BMP P Tracking Table'!$AX117/(-3630*'BMP P Tracking Table'!$V117),(-(3630*'BMP P Tracking Table'!$V117+20.691*'BMP P Tracking Table'!$AA117-216.711*'BMP P Tracking Table'!$Z117-83.853*'BMP P Tracking Table'!$Y117-42.834*'BMP P Tracking Table'!$X117)+SQRT((3630*'BMP P Tracking Table'!$V117+20.691*'BMP P Tracking Table'!$AA117-216.711*'BMP P Tracking Table'!$Z117-83.853*'BMP P Tracking Table'!$Y117-42.834*'BMP P Tracking Table'!$X117)^2-(4*(149.919*'BMP P Tracking Table'!$X117+236.676*'BMP P Tracking Table'!$Y117+726*'BMP P Tracking Table'!$Z117+996.798*'BMP P Tracking Table'!$AA117)*-'BMP P Tracking Table'!$AX117)))/(2*(149.919*'BMP P Tracking Table'!$X117+236.676*'BMP P Tracking Table'!$Y117+726*'BMP P Tracking Table'!$Z117+996.798*'BMP P Tracking Table'!$AA117)))))),"")</f>
        <v>0</v>
      </c>
      <c r="BB117" s="102" t="str">
        <f>IFERROR((VLOOKUP(CONCATENATE('BMP P Tracking Table'!$AW117," ",'BMP P Tracking Table'!$AY117),'Performance Curves'!$C$1:$L$46,_xlfn.SINGLE(MATCH('BMP P Tracking Table'!$BA117,'Performance Curves'!$D$1:$L$1,1))+2,FALSE)-VLOOKUP(CONCATENATE('BMP P Tracking Table'!$AW117," ",'BMP P Tracking Table'!$AY117),'Performance Curves'!$C$1:$L$46,_xlfn.SINGLE(MATCH('BMP P Tracking Table'!$BA117,'Performance Curves'!$D$1:$L$1,1))+1,FALSE)),"")</f>
        <v/>
      </c>
      <c r="BC117" s="102">
        <f>IFERROR(('BMP P Tracking Table'!$BA117-INDEX('Performance Curves'!$D$1:$L$1,1,MATCH('BMP P Tracking Table'!$BA117,'Performance Curves'!$D$1:$L$1,1)))/(INDEX('Performance Curves'!$D$1:$L$1,1,MATCH('BMP P Tracking Table'!$BA117,'Performance Curves'!$D$1:$L$1,1)+1)-INDEX('Performance Curves'!$D$1:$L$1,1,MATCH('BMP P Tracking Table'!$BA117,'Performance Curves'!$D$1:$L$1,1))),"")</f>
        <v>0</v>
      </c>
      <c r="BD117" s="103" t="str" cm="1">
        <f t="array" ref="BD117">IFERROR(IF('BMP P Tracking Table'!$BA117=2,VLOOKUP(CONCATENATE('BMP P Tracking Table'!$AW117," ",'BMP P Tracking Table'!$AY117),'Performance Curves'!$C$1:$L$44,_xlfn.SINGLE(MATCH('BMP P Tracking Table'!$BA117,'Performance Curves'!$D$1:$L$1,1))+1,FALSE),'BMP P Tracking Table'!$BB117*'BMP P Tracking Table'!$BC117+VLOOKUP(CONCATENATE('BMP P Tracking Table'!$AW117," ",'BMP P Tracking Table'!$AY117),'Performance Curves'!$C$1:$L$44,_xlfn.SINGLE(MATCH('BMP P Tracking Table'!$BA117,'Performance Curves'!$D$1:$L$1,1))+1,FALSE)),"")</f>
        <v/>
      </c>
      <c r="BE117" s="104" t="str">
        <f>IFERROR('BMP P Tracking Table'!$BD117*'BMP P Tracking Table'!$AZ117,"")</f>
        <v/>
      </c>
      <c r="BF117" s="98"/>
      <c r="BG117" s="37">
        <f t="shared" si="17"/>
        <v>0</v>
      </c>
      <c r="BI117" s="36" t="str">
        <f t="shared" si="7"/>
        <v>EJ-WR-035</v>
      </c>
      <c r="BJ117" s="36" t="str">
        <f t="shared" si="8"/>
        <v>CB43 Owaissa and Wenonah drywell</v>
      </c>
      <c r="BK117" s="36" t="s">
        <v>802</v>
      </c>
      <c r="BP117" s="36" t="s">
        <v>874</v>
      </c>
      <c r="BQ117" s="36">
        <f t="shared" si="18"/>
        <v>0.39</v>
      </c>
      <c r="BR117" s="36">
        <f t="shared" si="19"/>
        <v>0.16</v>
      </c>
      <c r="BS117" s="101">
        <f t="shared" si="20"/>
        <v>0.58974358974358965</v>
      </c>
      <c r="BT117" s="238">
        <f t="shared" si="21"/>
        <v>81304.34782608696</v>
      </c>
      <c r="BU117" s="238">
        <f t="shared" si="22"/>
        <v>73085.146499627881</v>
      </c>
    </row>
    <row r="118" spans="1:73">
      <c r="B118" s="65" t="s">
        <v>750</v>
      </c>
      <c r="C118" s="65" t="s">
        <v>699</v>
      </c>
      <c r="D118" s="65" t="s">
        <v>325</v>
      </c>
      <c r="E118" s="65" t="s">
        <v>10</v>
      </c>
      <c r="F118" s="94"/>
      <c r="G118" s="94"/>
      <c r="H118" s="65"/>
      <c r="I118" s="65"/>
      <c r="J118" s="65" t="s">
        <v>66</v>
      </c>
      <c r="K118" s="95">
        <f>ROUNDUP((VLOOKUP($U118,Dropdowns!$G$3:$I$17, 3, FALSE))*$AC118,-2)</f>
        <v>16100</v>
      </c>
      <c r="L118" s="65" t="s">
        <v>49</v>
      </c>
      <c r="M118" s="65"/>
      <c r="N118" s="65"/>
      <c r="O118" s="65"/>
      <c r="P118" s="65"/>
      <c r="Q118" s="65" t="s">
        <v>119</v>
      </c>
      <c r="R118" s="65" t="s">
        <v>146</v>
      </c>
      <c r="S118" s="65" t="str">
        <f>IFERROR(VLOOKUP('BMP P Tracking Table'!$R118,Dropdowns!$Q$3:$R$23,2,FALSE),"")</f>
        <v>Main Lake</v>
      </c>
      <c r="T118" s="65" t="s">
        <v>66</v>
      </c>
      <c r="U118" s="65" t="s">
        <v>47</v>
      </c>
      <c r="V118" s="65">
        <f>0.14+0.05</f>
        <v>0.19</v>
      </c>
      <c r="W118" s="65" t="s">
        <v>220</v>
      </c>
      <c r="X118" s="65">
        <v>0.21</v>
      </c>
      <c r="Y118" s="65">
        <v>0</v>
      </c>
      <c r="Z118" s="65">
        <v>0</v>
      </c>
      <c r="AA118" s="65">
        <v>0</v>
      </c>
      <c r="AB118" s="65"/>
      <c r="AC118" s="97">
        <f t="shared" si="23"/>
        <v>802.23</v>
      </c>
      <c r="AD118" s="65" t="s">
        <v>206</v>
      </c>
      <c r="AE118" s="104">
        <f>IFERROR('BMP P Tracking Table'!$V118*VLOOKUP('BMP P Tracking Table'!$R118,'Loading Rates'!$B$1:$L$24,4,FALSE)+IF('BMP P Tracking Table'!$W118="By HSG",'BMP P Tracking Table'!$X118*VLOOKUP('BMP P Tracking Table'!$R118,'Loading Rates'!$B$1:$L$24,6,FALSE)+'BMP P Tracking Table'!$Y118*VLOOKUP('BMP P Tracking Table'!$R118,'Loading Rates'!$B$1:$L$24,7,FALSE)+'BMP P Tracking Table'!$Z118*VLOOKUP('BMP P Tracking Table'!$R118,'Loading Rates'!$B$1:$L$24,8,FALSE)+'BMP P Tracking Table'!$AA118*VLOOKUP('BMP P Tracking Table'!$R118,'Loading Rates'!$B$1:$L$24,9,FALSE),'BMP P Tracking Table'!$AB118*VLOOKUP('BMP P Tracking Table'!$R118,'Loading Rates'!$B$1:$L$24,10,FALSE)),"")</f>
        <v>0.21643000000000001</v>
      </c>
      <c r="AF118" s="104">
        <f>IFERROR(MIN(2,IF('BMP P Tracking Table'!$W118="Total Pervious",(-(3630*'BMP P Tracking Table'!$V118+20.691*'BMP P Tracking Table'!$AB118)+SQRT((3630*'BMP P Tracking Table'!$V118+20.691*'BMP P Tracking Table'!$AB118)^2-(4*(996.798*'BMP P Tracking Table'!$AB118)*-'BMP P Tracking Table'!$AC118)))/(2*(996.798*'BMP P Tracking Table'!$AB118)),IF(SUM('BMP P Tracking Table'!$X118:$AA118)=0,'BMP P Tracking Table'!$AC118/(-3630*'BMP P Tracking Table'!$V118),(-(3630*'BMP P Tracking Table'!$V118+20.691*'BMP P Tracking Table'!$AA118-216.711*'BMP P Tracking Table'!$Z118-83.853*'BMP P Tracking Table'!$Y118-42.834*'BMP P Tracking Table'!$X118)+SQRT((3630*'BMP P Tracking Table'!$V118+20.691*'BMP P Tracking Table'!$AA118-216.711*'BMP P Tracking Table'!$Z118-83.853*'BMP P Tracking Table'!$Y118-42.834*'BMP P Tracking Table'!$X118)^2-(4*(149.919*'BMP P Tracking Table'!$X118+236.676*'BMP P Tracking Table'!$Y118+726*'BMP P Tracking Table'!$Z118+996.798*'BMP P Tracking Table'!$AA118)*-'BMP P Tracking Table'!$AC118)))/(2*(149.919*'BMP P Tracking Table'!$X118+236.676*'BMP P Tracking Table'!$Y118+726*'BMP P Tracking Table'!$Z118+996.798*'BMP P Tracking Table'!$AA118))))),"")</f>
        <v>1.1204636248286832</v>
      </c>
      <c r="AG118" s="104">
        <f>IFERROR((VLOOKUP(CONCATENATE('BMP P Tracking Table'!$U118," ",'BMP P Tracking Table'!$AD118),'Performance Curves'!$C$1:$L$46,_xlfn.SINGLE(MATCH('BMP P Tracking Table'!$AF118,'Performance Curves'!$D$1:$L$1,1))+2,FALSE)-VLOOKUP(CONCATENATE('BMP P Tracking Table'!$U118," ",'BMP P Tracking Table'!$AD118),'Performance Curves'!$C$1:$L$46,_xlfn.SINGLE(MATCH('BMP P Tracking Table'!$AF118,'Performance Curves'!$D$1:$L$1,1))+1,FALSE)),"")</f>
        <v>2.0000000000000018E-2</v>
      </c>
      <c r="AH118" s="104">
        <f>IFERROR(('BMP P Tracking Table'!$AF118-INDEX('Performance Curves'!$D$1:$L$1,1,MATCH('BMP P Tracking Table'!$AF118,'Performance Curves'!$D$1:$L$1,1)))/(INDEX('Performance Curves'!$D$1:$L$1,1,MATCH('BMP P Tracking Table'!$AF118,'Performance Curves'!$D$1:$L$1,1)+1)-INDEX('Performance Curves'!$D$1:$L$1,1,MATCH('BMP P Tracking Table'!$AF118,'Performance Curves'!$D$1:$L$1,1))),"")</f>
        <v>0.24092724965736645</v>
      </c>
      <c r="AI118" s="103">
        <f>IFERROR(IF('BMP P Tracking Table'!$AF118=2,VLOOKUP(CONCATENATE('BMP P Tracking Table'!$U118," ",'BMP P Tracking Table'!$AD118),'Performance Curves'!$C$1:$L$46,_xlfn.SINGLE(MATCH('BMP P Tracking Table'!$AF118,'Performance Curves'!$D$1:$L$1,1))+1,FALSE),'BMP P Tracking Table'!$AG118*'BMP P Tracking Table'!$AH118+VLOOKUP(CONCATENATE('BMP P Tracking Table'!$U118," ",'BMP P Tracking Table'!$AD118),'Performance Curves'!$C$1:$L$46,_xlfn.SINGLE(MATCH('BMP P Tracking Table'!$AF118,'Performance Curves'!$D$1:$L$1,1))+1,FALSE)),"")</f>
        <v>0.98481854499314736</v>
      </c>
      <c r="AJ118" s="104">
        <f>IFERROR('BMP P Tracking Table'!$AI118*'BMP P Tracking Table'!$AE118,"")</f>
        <v>0.2131442776928669</v>
      </c>
      <c r="AK118" s="65"/>
      <c r="AL118" s="98" t="s">
        <v>62</v>
      </c>
      <c r="AM118" s="98"/>
      <c r="AN118" s="64">
        <v>1</v>
      </c>
      <c r="AO118" s="102">
        <f t="shared" si="16"/>
        <v>0.2131442776928669</v>
      </c>
      <c r="AP118" s="98"/>
      <c r="AQ118" s="98"/>
      <c r="AR118" s="98"/>
      <c r="AS118" s="98"/>
      <c r="AT118" s="98"/>
      <c r="AU118" s="98"/>
      <c r="AV118" s="98"/>
      <c r="AW118" s="65"/>
      <c r="AX118" s="99"/>
      <c r="AY118" s="99"/>
      <c r="AZ118" s="104" t="str">
        <f>IF('BMP P Tracking Table'!$AL118="Yes",IF('BMP P Tracking Table'!$AM118="No",'BMP P Tracking Table'!$V118*VLOOKUP('BMP P Tracking Table'!$R118,'Loading Rates'!$B$1:$L$24,4,FALSE)+IF('BMP P Tracking Table'!$W118="By HSG",'BMP P Tracking Table'!$X118*VLOOKUP('BMP P Tracking Table'!$R118,'Loading Rates'!$B$1:$L$24,6,FALSE)+'BMP P Tracking Table'!$Y118*VLOOKUP('BMP P Tracking Table'!$R118,'Loading Rates'!$B$1:$L$24,7,FALSE)+'BMP P Tracking Table'!$Z118*VLOOKUP('BMP P Tracking Table'!$R118,'Loading Rates'!$B$1:$L$24,8,FALSE)+'BMP P Tracking Table'!$AA118*VLOOKUP('BMP P Tracking Table'!$R118,'Loading Rates'!$B$1:$L$24,9,FALSE),'BMP P Tracking Table'!$AB118*VLOOKUP('BMP P Tracking Table'!$R118,'Loading Rates'!$B$1:$L$24,10,FALSE)),'BMP P Tracking Table'!$AP118*VLOOKUP('BMP P Tracking Table'!$R118,'Loading Rates'!$B$1:$L$24,4,FALSE)+IF('BMP P Tracking Table'!$AQ118="By HSG",'BMP P Tracking Table'!$AR118*VLOOKUP('BMP P Tracking Table'!$R118,'Loading Rates'!$B$1:$L$24,6,FALSE)+'BMP P Tracking Table'!$AS118*VLOOKUP('BMP P Tracking Table'!$R118,'Loading Rates'!$B$1:$L$24,7,FALSE)+'BMP P Tracking Table'!$AT118*VLOOKUP('BMP P Tracking Table'!$R118,'Loading Rates'!$B$1:$L$24,8,FALSE)+'BMP P Tracking Table'!$AU118*VLOOKUP('BMP P Tracking Table'!$R118,'Loading Rates'!$B$1:$L$24,9,FALSE),'BMP P Tracking Table'!$AV118*VLOOKUP('BMP P Tracking Table'!$R118,'Loading Rates'!$B$1:$L$24,10,FALSE))),"")</f>
        <v/>
      </c>
      <c r="BA118" s="104">
        <f>IFERROR(IF('BMP P Tracking Table'!$AM118="Yes",MIN(2,IF('BMP P Tracking Table'!$AQ118="Total Pervious",(-(3630*'BMP P Tracking Table'!$AP118+20.691*'BMP P Tracking Table'!$AV118)+SQRT((3630*'BMP P Tracking Table'!$AP118+20.691*'BMP P Tracking Table'!$AV118)^2-(4*(996.798*'BMP P Tracking Table'!$AV118)*-'BMP P Tracking Table'!$AX118)))/(2*(996.798*'BMP P Tracking Table'!$AV118)),IF(SUM('BMP P Tracking Table'!$AR118:$AU118)=0,'BMP P Tracking Table'!$AV118/(-3630*'BMP P Tracking Table'!$AP118),(-(3630*'BMP P Tracking Table'!$AP118+20.691*'BMP P Tracking Table'!$AU118-216.711*'BMP P Tracking Table'!$AT118-83.853*'BMP P Tracking Table'!$AS118-42.834*'BMP P Tracking Table'!$AR118)+SQRT((3630*'BMP P Tracking Table'!$AP118+20.691*'BMP P Tracking Table'!$AU118-216.711*'BMP P Tracking Table'!$AT118-83.853*'BMP P Tracking Table'!$AS118-42.834*'BMP P Tracking Table'!$AR118)^2-(4*(149.919*'BMP P Tracking Table'!$AR118+236.676*'BMP P Tracking Table'!$AS118+726*'BMP P Tracking Table'!$AT118+996.798*'BMP P Tracking Table'!$AU118)*-'BMP P Tracking Table'!$AX118)))/(2*(149.919*'BMP P Tracking Table'!$AR118+236.676*'BMP P Tracking Table'!$AS118+726*'BMP P Tracking Table'!$AT118+996.798*'BMP P Tracking Table'!$AU118))))),MIN(2,IF('BMP P Tracking Table'!$AQ118="Total Pervious",(-(3630*'BMP P Tracking Table'!$V118+20.691*'BMP P Tracking Table'!$AB118)+SQRT((3630*'BMP P Tracking Table'!$V118+20.691*'BMP P Tracking Table'!$AB118)^2-(4*(996.798*'BMP P Tracking Table'!$AB118)*-'BMP P Tracking Table'!$AX118)))/(2*(996.798*'BMP P Tracking Table'!$AB118)),IF(SUM('BMP P Tracking Table'!$X118:$AA118)=0,'BMP P Tracking Table'!$AX118/(-3630*'BMP P Tracking Table'!$V118),(-(3630*'BMP P Tracking Table'!$V118+20.691*'BMP P Tracking Table'!$AA118-216.711*'BMP P Tracking Table'!$Z118-83.853*'BMP P Tracking Table'!$Y118-42.834*'BMP P Tracking Table'!$X118)+SQRT((3630*'BMP P Tracking Table'!$V118+20.691*'BMP P Tracking Table'!$AA118-216.711*'BMP P Tracking Table'!$Z118-83.853*'BMP P Tracking Table'!$Y118-42.834*'BMP P Tracking Table'!$X118)^2-(4*(149.919*'BMP P Tracking Table'!$X118+236.676*'BMP P Tracking Table'!$Y118+726*'BMP P Tracking Table'!$Z118+996.798*'BMP P Tracking Table'!$AA118)*-'BMP P Tracking Table'!$AX118)))/(2*(149.919*'BMP P Tracking Table'!$X118+236.676*'BMP P Tracking Table'!$Y118+726*'BMP P Tracking Table'!$Z118+996.798*'BMP P Tracking Table'!$AA118)))))),"")</f>
        <v>0</v>
      </c>
      <c r="BB118" s="102" t="str">
        <f>IFERROR((VLOOKUP(CONCATENATE('BMP P Tracking Table'!$AW118," ",'BMP P Tracking Table'!$AY118),'Performance Curves'!$C$1:$L$46,_xlfn.SINGLE(MATCH('BMP P Tracking Table'!$BA118,'Performance Curves'!$D$1:$L$1,1))+2,FALSE)-VLOOKUP(CONCATENATE('BMP P Tracking Table'!$AW118," ",'BMP P Tracking Table'!$AY118),'Performance Curves'!$C$1:$L$46,_xlfn.SINGLE(MATCH('BMP P Tracking Table'!$BA118,'Performance Curves'!$D$1:$L$1,1))+1,FALSE)),"")</f>
        <v/>
      </c>
      <c r="BC118" s="102">
        <f>IFERROR(('BMP P Tracking Table'!$BA118-INDEX('Performance Curves'!$D$1:$L$1,1,MATCH('BMP P Tracking Table'!$BA118,'Performance Curves'!$D$1:$L$1,1)))/(INDEX('Performance Curves'!$D$1:$L$1,1,MATCH('BMP P Tracking Table'!$BA118,'Performance Curves'!$D$1:$L$1,1)+1)-INDEX('Performance Curves'!$D$1:$L$1,1,MATCH('BMP P Tracking Table'!$BA118,'Performance Curves'!$D$1:$L$1,1))),"")</f>
        <v>0</v>
      </c>
      <c r="BD118" s="103" t="str" cm="1">
        <f t="array" ref="BD118">IFERROR(IF('BMP P Tracking Table'!$BA118=2,VLOOKUP(CONCATENATE('BMP P Tracking Table'!$AW118," ",'BMP P Tracking Table'!$AY118),'Performance Curves'!$C$1:$L$44,_xlfn.SINGLE(MATCH('BMP P Tracking Table'!$BA118,'Performance Curves'!$D$1:$L$1,1))+1,FALSE),'BMP P Tracking Table'!$BB118*'BMP P Tracking Table'!$BC118+VLOOKUP(CONCATENATE('BMP P Tracking Table'!$AW118," ",'BMP P Tracking Table'!$AY118),'Performance Curves'!$C$1:$L$44,_xlfn.SINGLE(MATCH('BMP P Tracking Table'!$BA118,'Performance Curves'!$D$1:$L$1,1))+1,FALSE)),"")</f>
        <v/>
      </c>
      <c r="BE118" s="104" t="str">
        <f>IFERROR('BMP P Tracking Table'!$BD118*'BMP P Tracking Table'!$AZ118,"")</f>
        <v/>
      </c>
      <c r="BF118" s="98"/>
      <c r="BG118" s="37">
        <f t="shared" si="17"/>
        <v>0</v>
      </c>
      <c r="BI118" s="36" t="str">
        <f t="shared" si="7"/>
        <v>EJ-WR-036</v>
      </c>
      <c r="BJ118" s="36" t="str">
        <f t="shared" si="8"/>
        <v>CB44 Wenonah Ave drywell</v>
      </c>
      <c r="BK118" s="36" t="s">
        <v>802</v>
      </c>
      <c r="BP118" s="36" t="s">
        <v>874</v>
      </c>
      <c r="BQ118" s="36">
        <f t="shared" si="18"/>
        <v>0.4</v>
      </c>
      <c r="BR118" s="36">
        <f t="shared" si="19"/>
        <v>0.21</v>
      </c>
      <c r="BS118" s="101">
        <f t="shared" si="20"/>
        <v>0.47499999999999998</v>
      </c>
      <c r="BT118" s="238">
        <f t="shared" si="21"/>
        <v>84736.84210526316</v>
      </c>
      <c r="BU118" s="238">
        <f t="shared" si="22"/>
        <v>75535.689600822923</v>
      </c>
    </row>
    <row r="119" spans="1:73">
      <c r="B119" s="65" t="s">
        <v>766</v>
      </c>
      <c r="C119" s="65" t="s">
        <v>700</v>
      </c>
      <c r="D119" s="65" t="s">
        <v>325</v>
      </c>
      <c r="E119" s="65" t="s">
        <v>10</v>
      </c>
      <c r="F119" s="94"/>
      <c r="G119" s="94"/>
      <c r="H119" s="65"/>
      <c r="I119" s="65"/>
      <c r="J119" s="65" t="s">
        <v>66</v>
      </c>
      <c r="K119" s="95">
        <f>ROUNDUP((VLOOKUP($U119,Dropdowns!$G$3:$I$17, 3, FALSE))*$AC119,-2)</f>
        <v>12200</v>
      </c>
      <c r="L119" s="65" t="s">
        <v>49</v>
      </c>
      <c r="M119" s="65"/>
      <c r="N119" s="65"/>
      <c r="O119" s="65"/>
      <c r="P119" s="65"/>
      <c r="Q119" s="65" t="s">
        <v>119</v>
      </c>
      <c r="R119" s="65" t="s">
        <v>146</v>
      </c>
      <c r="S119" s="65" t="str">
        <f>IFERROR(VLOOKUP('BMP P Tracking Table'!$R119,Dropdowns!$Q$3:$R$23,2,FALSE),"")</f>
        <v>Main Lake</v>
      </c>
      <c r="T119" s="65" t="s">
        <v>66</v>
      </c>
      <c r="U119" s="65" t="s">
        <v>47</v>
      </c>
      <c r="V119" s="65">
        <f>0.06+0.07</f>
        <v>0.13</v>
      </c>
      <c r="W119" s="65" t="s">
        <v>220</v>
      </c>
      <c r="X119" s="65">
        <v>0.1</v>
      </c>
      <c r="Y119" s="65">
        <v>0</v>
      </c>
      <c r="Z119" s="65">
        <v>0</v>
      </c>
      <c r="AA119" s="65">
        <v>0</v>
      </c>
      <c r="AB119" s="65"/>
      <c r="AC119" s="97">
        <f t="shared" si="23"/>
        <v>606.20999999999992</v>
      </c>
      <c r="AD119" s="65" t="s">
        <v>206</v>
      </c>
      <c r="AE119" s="104">
        <f>IFERROR('BMP P Tracking Table'!$V119*VLOOKUP('BMP P Tracking Table'!$R119,'Loading Rates'!$B$1:$L$24,4,FALSE)+IF('BMP P Tracking Table'!$W119="By HSG",'BMP P Tracking Table'!$X119*VLOOKUP('BMP P Tracking Table'!$R119,'Loading Rates'!$B$1:$L$24,6,FALSE)+'BMP P Tracking Table'!$Y119*VLOOKUP('BMP P Tracking Table'!$R119,'Loading Rates'!$B$1:$L$24,7,FALSE)+'BMP P Tracking Table'!$Z119*VLOOKUP('BMP P Tracking Table'!$R119,'Loading Rates'!$B$1:$L$24,8,FALSE)+'BMP P Tracking Table'!$AA119*VLOOKUP('BMP P Tracking Table'!$R119,'Loading Rates'!$B$1:$L$24,9,FALSE),'BMP P Tracking Table'!$AB119*VLOOKUP('BMP P Tracking Table'!$R119,'Loading Rates'!$B$1:$L$24,10,FALSE)),"")</f>
        <v>0.14721000000000001</v>
      </c>
      <c r="AF119" s="104">
        <f>IFERROR(MIN(2,IF('BMP P Tracking Table'!$W119="Total Pervious",(-(3630*'BMP P Tracking Table'!$V119+20.691*'BMP P Tracking Table'!$AB119)+SQRT((3630*'BMP P Tracking Table'!$V119+20.691*'BMP P Tracking Table'!$AB119)^2-(4*(996.798*'BMP P Tracking Table'!$AB119)*-'BMP P Tracking Table'!$AC119)))/(2*(996.798*'BMP P Tracking Table'!$AB119)),IF(SUM('BMP P Tracking Table'!$X119:$AA119)=0,'BMP P Tracking Table'!$AC119/(-3630*'BMP P Tracking Table'!$V119),(-(3630*'BMP P Tracking Table'!$V119+20.691*'BMP P Tracking Table'!$AA119-216.711*'BMP P Tracking Table'!$Z119-83.853*'BMP P Tracking Table'!$Y119-42.834*'BMP P Tracking Table'!$X119)+SQRT((3630*'BMP P Tracking Table'!$V119+20.691*'BMP P Tracking Table'!$AA119-216.711*'BMP P Tracking Table'!$Z119-83.853*'BMP P Tracking Table'!$Y119-42.834*'BMP P Tracking Table'!$X119)^2-(4*(149.919*'BMP P Tracking Table'!$X119+236.676*'BMP P Tracking Table'!$Y119+726*'BMP P Tracking Table'!$Z119+996.798*'BMP P Tracking Table'!$AA119)*-'BMP P Tracking Table'!$AC119)))/(2*(149.919*'BMP P Tracking Table'!$X119+236.676*'BMP P Tracking Table'!$Y119+726*'BMP P Tracking Table'!$Z119+996.798*'BMP P Tracking Table'!$AA119))))),"")</f>
        <v>1.2465634857610941</v>
      </c>
      <c r="AG119" s="104">
        <f>IFERROR((VLOOKUP(CONCATENATE('BMP P Tracking Table'!$U119," ",'BMP P Tracking Table'!$AD119),'Performance Curves'!$C$1:$L$46,_xlfn.SINGLE(MATCH('BMP P Tracking Table'!$AF119,'Performance Curves'!$D$1:$L$1,1))+2,FALSE)-VLOOKUP(CONCATENATE('BMP P Tracking Table'!$U119," ",'BMP P Tracking Table'!$AD119),'Performance Curves'!$C$1:$L$46,_xlfn.SINGLE(MATCH('BMP P Tracking Table'!$AF119,'Performance Curves'!$D$1:$L$1,1))+1,FALSE)),"")</f>
        <v>2.0000000000000018E-2</v>
      </c>
      <c r="AH119" s="104">
        <f>IFERROR(('BMP P Tracking Table'!$AF119-INDEX('Performance Curves'!$D$1:$L$1,1,MATCH('BMP P Tracking Table'!$AF119,'Performance Curves'!$D$1:$L$1,1)))/(INDEX('Performance Curves'!$D$1:$L$1,1,MATCH('BMP P Tracking Table'!$AF119,'Performance Curves'!$D$1:$L$1,1)+1)-INDEX('Performance Curves'!$D$1:$L$1,1,MATCH('BMP P Tracking Table'!$AF119,'Performance Curves'!$D$1:$L$1,1))),"")</f>
        <v>0.49312697152218821</v>
      </c>
      <c r="AI119" s="103">
        <f>IFERROR(IF('BMP P Tracking Table'!$AF119=2,VLOOKUP(CONCATENATE('BMP P Tracking Table'!$U119," ",'BMP P Tracking Table'!$AD119),'Performance Curves'!$C$1:$L$46,_xlfn.SINGLE(MATCH('BMP P Tracking Table'!$AF119,'Performance Curves'!$D$1:$L$1,1))+1,FALSE),'BMP P Tracking Table'!$AG119*'BMP P Tracking Table'!$AH119+VLOOKUP(CONCATENATE('BMP P Tracking Table'!$U119," ",'BMP P Tracking Table'!$AD119),'Performance Curves'!$C$1:$L$46,_xlfn.SINGLE(MATCH('BMP P Tracking Table'!$AF119,'Performance Curves'!$D$1:$L$1,1))+1,FALSE)),"")</f>
        <v>0.98986253943044378</v>
      </c>
      <c r="AJ119" s="104">
        <f>IFERROR('BMP P Tracking Table'!$AI119*'BMP P Tracking Table'!$AE119,"")</f>
        <v>0.14571766442955564</v>
      </c>
      <c r="AK119" s="65"/>
      <c r="AL119" s="98" t="s">
        <v>62</v>
      </c>
      <c r="AM119" s="98"/>
      <c r="AN119" s="64">
        <v>1</v>
      </c>
      <c r="AO119" s="102">
        <f t="shared" si="16"/>
        <v>0.14571766442955564</v>
      </c>
      <c r="AP119" s="98"/>
      <c r="AQ119" s="98"/>
      <c r="AR119" s="98"/>
      <c r="AS119" s="98"/>
      <c r="AT119" s="98"/>
      <c r="AU119" s="98"/>
      <c r="AV119" s="98"/>
      <c r="AW119" s="65"/>
      <c r="AX119" s="99"/>
      <c r="AY119" s="99"/>
      <c r="AZ119" s="104" t="str">
        <f>IF('BMP P Tracking Table'!$AL119="Yes",IF('BMP P Tracking Table'!$AM119="No",'BMP P Tracking Table'!$V119*VLOOKUP('BMP P Tracking Table'!$R119,'Loading Rates'!$B$1:$L$24,4,FALSE)+IF('BMP P Tracking Table'!$W119="By HSG",'BMP P Tracking Table'!$X119*VLOOKUP('BMP P Tracking Table'!$R119,'Loading Rates'!$B$1:$L$24,6,FALSE)+'BMP P Tracking Table'!$Y119*VLOOKUP('BMP P Tracking Table'!$R119,'Loading Rates'!$B$1:$L$24,7,FALSE)+'BMP P Tracking Table'!$Z119*VLOOKUP('BMP P Tracking Table'!$R119,'Loading Rates'!$B$1:$L$24,8,FALSE)+'BMP P Tracking Table'!$AA119*VLOOKUP('BMP P Tracking Table'!$R119,'Loading Rates'!$B$1:$L$24,9,FALSE),'BMP P Tracking Table'!$AB119*VLOOKUP('BMP P Tracking Table'!$R119,'Loading Rates'!$B$1:$L$24,10,FALSE)),'BMP P Tracking Table'!$AP119*VLOOKUP('BMP P Tracking Table'!$R119,'Loading Rates'!$B$1:$L$24,4,FALSE)+IF('BMP P Tracking Table'!$AQ119="By HSG",'BMP P Tracking Table'!$AR119*VLOOKUP('BMP P Tracking Table'!$R119,'Loading Rates'!$B$1:$L$24,6,FALSE)+'BMP P Tracking Table'!$AS119*VLOOKUP('BMP P Tracking Table'!$R119,'Loading Rates'!$B$1:$L$24,7,FALSE)+'BMP P Tracking Table'!$AT119*VLOOKUP('BMP P Tracking Table'!$R119,'Loading Rates'!$B$1:$L$24,8,FALSE)+'BMP P Tracking Table'!$AU119*VLOOKUP('BMP P Tracking Table'!$R119,'Loading Rates'!$B$1:$L$24,9,FALSE),'BMP P Tracking Table'!$AV119*VLOOKUP('BMP P Tracking Table'!$R119,'Loading Rates'!$B$1:$L$24,10,FALSE))),"")</f>
        <v/>
      </c>
      <c r="BA119" s="104">
        <f>IFERROR(IF('BMP P Tracking Table'!$AM119="Yes",MIN(2,IF('BMP P Tracking Table'!$AQ119="Total Pervious",(-(3630*'BMP P Tracking Table'!$AP119+20.691*'BMP P Tracking Table'!$AV119)+SQRT((3630*'BMP P Tracking Table'!$AP119+20.691*'BMP P Tracking Table'!$AV119)^2-(4*(996.798*'BMP P Tracking Table'!$AV119)*-'BMP P Tracking Table'!$AX119)))/(2*(996.798*'BMP P Tracking Table'!$AV119)),IF(SUM('BMP P Tracking Table'!$AR119:$AU119)=0,'BMP P Tracking Table'!$AV119/(-3630*'BMP P Tracking Table'!$AP119),(-(3630*'BMP P Tracking Table'!$AP119+20.691*'BMP P Tracking Table'!$AU119-216.711*'BMP P Tracking Table'!$AT119-83.853*'BMP P Tracking Table'!$AS119-42.834*'BMP P Tracking Table'!$AR119)+SQRT((3630*'BMP P Tracking Table'!$AP119+20.691*'BMP P Tracking Table'!$AU119-216.711*'BMP P Tracking Table'!$AT119-83.853*'BMP P Tracking Table'!$AS119-42.834*'BMP P Tracking Table'!$AR119)^2-(4*(149.919*'BMP P Tracking Table'!$AR119+236.676*'BMP P Tracking Table'!$AS119+726*'BMP P Tracking Table'!$AT119+996.798*'BMP P Tracking Table'!$AU119)*-'BMP P Tracking Table'!$AX119)))/(2*(149.919*'BMP P Tracking Table'!$AR119+236.676*'BMP P Tracking Table'!$AS119+726*'BMP P Tracking Table'!$AT119+996.798*'BMP P Tracking Table'!$AU119))))),MIN(2,IF('BMP P Tracking Table'!$AQ119="Total Pervious",(-(3630*'BMP P Tracking Table'!$V119+20.691*'BMP P Tracking Table'!$AB119)+SQRT((3630*'BMP P Tracking Table'!$V119+20.691*'BMP P Tracking Table'!$AB119)^2-(4*(996.798*'BMP P Tracking Table'!$AB119)*-'BMP P Tracking Table'!$AX119)))/(2*(996.798*'BMP P Tracking Table'!$AB119)),IF(SUM('BMP P Tracking Table'!$X119:$AA119)=0,'BMP P Tracking Table'!$AX119/(-3630*'BMP P Tracking Table'!$V119),(-(3630*'BMP P Tracking Table'!$V119+20.691*'BMP P Tracking Table'!$AA119-216.711*'BMP P Tracking Table'!$Z119-83.853*'BMP P Tracking Table'!$Y119-42.834*'BMP P Tracking Table'!$X119)+SQRT((3630*'BMP P Tracking Table'!$V119+20.691*'BMP P Tracking Table'!$AA119-216.711*'BMP P Tracking Table'!$Z119-83.853*'BMP P Tracking Table'!$Y119-42.834*'BMP P Tracking Table'!$X119)^2-(4*(149.919*'BMP P Tracking Table'!$X119+236.676*'BMP P Tracking Table'!$Y119+726*'BMP P Tracking Table'!$Z119+996.798*'BMP P Tracking Table'!$AA119)*-'BMP P Tracking Table'!$AX119)))/(2*(149.919*'BMP P Tracking Table'!$X119+236.676*'BMP P Tracking Table'!$Y119+726*'BMP P Tracking Table'!$Z119+996.798*'BMP P Tracking Table'!$AA119)))))),"")</f>
        <v>0</v>
      </c>
      <c r="BB119" s="102" t="str">
        <f>IFERROR((VLOOKUP(CONCATENATE('BMP P Tracking Table'!$AW119," ",'BMP P Tracking Table'!$AY119),'Performance Curves'!$C$1:$L$46,_xlfn.SINGLE(MATCH('BMP P Tracking Table'!$BA119,'Performance Curves'!$D$1:$L$1,1))+2,FALSE)-VLOOKUP(CONCATENATE('BMP P Tracking Table'!$AW119," ",'BMP P Tracking Table'!$AY119),'Performance Curves'!$C$1:$L$46,_xlfn.SINGLE(MATCH('BMP P Tracking Table'!$BA119,'Performance Curves'!$D$1:$L$1,1))+1,FALSE)),"")</f>
        <v/>
      </c>
      <c r="BC119" s="102">
        <f>IFERROR(('BMP P Tracking Table'!$BA119-INDEX('Performance Curves'!$D$1:$L$1,1,MATCH('BMP P Tracking Table'!$BA119,'Performance Curves'!$D$1:$L$1,1)))/(INDEX('Performance Curves'!$D$1:$L$1,1,MATCH('BMP P Tracking Table'!$BA119,'Performance Curves'!$D$1:$L$1,1)+1)-INDEX('Performance Curves'!$D$1:$L$1,1,MATCH('BMP P Tracking Table'!$BA119,'Performance Curves'!$D$1:$L$1,1))),"")</f>
        <v>0</v>
      </c>
      <c r="BD119" s="103" t="str" cm="1">
        <f t="array" ref="BD119">IFERROR(IF('BMP P Tracking Table'!$BA119=2,VLOOKUP(CONCATENATE('BMP P Tracking Table'!$AW119," ",'BMP P Tracking Table'!$AY119),'Performance Curves'!$C$1:$L$44,_xlfn.SINGLE(MATCH('BMP P Tracking Table'!$BA119,'Performance Curves'!$D$1:$L$1,1))+1,FALSE),'BMP P Tracking Table'!$BB119*'BMP P Tracking Table'!$BC119+VLOOKUP(CONCATENATE('BMP P Tracking Table'!$AW119," ",'BMP P Tracking Table'!$AY119),'Performance Curves'!$C$1:$L$44,_xlfn.SINGLE(MATCH('BMP P Tracking Table'!$BA119,'Performance Curves'!$D$1:$L$1,1))+1,FALSE)),"")</f>
        <v/>
      </c>
      <c r="BE119" s="104" t="str">
        <f>IFERROR('BMP P Tracking Table'!$BD119*'BMP P Tracking Table'!$AZ119,"")</f>
        <v/>
      </c>
      <c r="BF119" s="98"/>
      <c r="BG119" s="37">
        <f t="shared" si="17"/>
        <v>0</v>
      </c>
      <c r="BI119" s="36" t="str">
        <f t="shared" si="7"/>
        <v>EJ-WR-037</v>
      </c>
      <c r="BJ119" s="36" t="str">
        <f t="shared" si="8"/>
        <v>CB706 Wenonah &amp; Owaissa drywell</v>
      </c>
      <c r="BK119" s="36" t="s">
        <v>802</v>
      </c>
      <c r="BP119" s="36" t="s">
        <v>874</v>
      </c>
      <c r="BQ119" s="36">
        <f t="shared" si="18"/>
        <v>0.23</v>
      </c>
      <c r="BR119" s="36">
        <f t="shared" si="19"/>
        <v>0.1</v>
      </c>
      <c r="BS119" s="101">
        <f t="shared" si="20"/>
        <v>0.56521739130434778</v>
      </c>
      <c r="BT119" s="238">
        <f t="shared" si="21"/>
        <v>93846.153846153844</v>
      </c>
      <c r="BU119" s="238">
        <f t="shared" si="22"/>
        <v>83723.548876243847</v>
      </c>
    </row>
    <row r="120" spans="1:73">
      <c r="A120" s="36" t="s">
        <v>378</v>
      </c>
      <c r="B120" s="65" t="s">
        <v>719</v>
      </c>
      <c r="C120" s="65" t="s">
        <v>701</v>
      </c>
      <c r="D120" s="65" t="s">
        <v>327</v>
      </c>
      <c r="E120" s="65" t="s">
        <v>9</v>
      </c>
      <c r="F120" s="94"/>
      <c r="G120" s="94"/>
      <c r="H120" s="36" t="s">
        <v>378</v>
      </c>
      <c r="I120" s="65"/>
      <c r="J120" s="65" t="s">
        <v>66</v>
      </c>
      <c r="K120" s="95">
        <f>ROUNDUP((VLOOKUP($U120,Dropdowns!$G$3:$I$17, 3, FALSE))*$AC120,-2)</f>
        <v>54000</v>
      </c>
      <c r="L120" s="65" t="s">
        <v>49</v>
      </c>
      <c r="M120" s="65"/>
      <c r="N120" s="65"/>
      <c r="O120" s="65"/>
      <c r="P120" s="65"/>
      <c r="Q120" s="65" t="s">
        <v>119</v>
      </c>
      <c r="R120" s="65" t="s">
        <v>146</v>
      </c>
      <c r="S120" s="65" t="str">
        <f>IFERROR(VLOOKUP('BMP P Tracking Table'!$R120,Dropdowns!$Q$3:$R$23,2,FALSE),"")</f>
        <v>Main Lake</v>
      </c>
      <c r="T120" s="65" t="s">
        <v>66</v>
      </c>
      <c r="U120" s="65" t="s">
        <v>47</v>
      </c>
      <c r="V120" s="65">
        <f>0.38+0.39</f>
        <v>0.77</v>
      </c>
      <c r="W120" s="65" t="s">
        <v>220</v>
      </c>
      <c r="X120" s="65">
        <v>1.66</v>
      </c>
      <c r="Y120" s="65">
        <v>0</v>
      </c>
      <c r="Z120" s="65">
        <v>0</v>
      </c>
      <c r="AA120" s="65">
        <v>0</v>
      </c>
      <c r="AB120" s="65"/>
      <c r="AC120" s="97">
        <f t="shared" si="23"/>
        <v>2697.09</v>
      </c>
      <c r="AD120" s="65" t="s">
        <v>205</v>
      </c>
      <c r="AE120" s="104">
        <f>IFERROR('BMP P Tracking Table'!$V120*VLOOKUP('BMP P Tracking Table'!$R120,'Loading Rates'!$B$1:$L$24,4,FALSE)+IF('BMP P Tracking Table'!$W120="By HSG",'BMP P Tracking Table'!$X120*VLOOKUP('BMP P Tracking Table'!$R120,'Loading Rates'!$B$1:$L$24,6,FALSE)+'BMP P Tracking Table'!$Y120*VLOOKUP('BMP P Tracking Table'!$R120,'Loading Rates'!$B$1:$L$24,7,FALSE)+'BMP P Tracking Table'!$Z120*VLOOKUP('BMP P Tracking Table'!$R120,'Loading Rates'!$B$1:$L$24,8,FALSE)+'BMP P Tracking Table'!$AA120*VLOOKUP('BMP P Tracking Table'!$R120,'Loading Rates'!$B$1:$L$24,9,FALSE),'BMP P Tracking Table'!$AB120*VLOOKUP('BMP P Tracking Table'!$R120,'Loading Rates'!$B$1:$L$24,10,FALSE)),"")</f>
        <v>0.89329000000000003</v>
      </c>
      <c r="AF120" s="104">
        <f>IFERROR(MIN(2,IF('BMP P Tracking Table'!$W120="Total Pervious",(-(3630*'BMP P Tracking Table'!$V120+20.691*'BMP P Tracking Table'!$AB120)+SQRT((3630*'BMP P Tracking Table'!$V120+20.691*'BMP P Tracking Table'!$AB120)^2-(4*(996.798*'BMP P Tracking Table'!$AB120)*-'BMP P Tracking Table'!$AC120)))/(2*(996.798*'BMP P Tracking Table'!$AB120)),IF(SUM('BMP P Tracking Table'!$X120:$AA120)=0,'BMP P Tracking Table'!$AC120/(-3630*'BMP P Tracking Table'!$V120),(-(3630*'BMP P Tracking Table'!$V120+20.691*'BMP P Tracking Table'!$AA120-216.711*'BMP P Tracking Table'!$Z120-83.853*'BMP P Tracking Table'!$Y120-42.834*'BMP P Tracking Table'!$X120)+SQRT((3630*'BMP P Tracking Table'!$V120+20.691*'BMP P Tracking Table'!$AA120-216.711*'BMP P Tracking Table'!$Z120-83.853*'BMP P Tracking Table'!$Y120-42.834*'BMP P Tracking Table'!$X120)^2-(4*(149.919*'BMP P Tracking Table'!$X120+236.676*'BMP P Tracking Table'!$Y120+726*'BMP P Tracking Table'!$Z120+996.798*'BMP P Tracking Table'!$AA120)*-'BMP P Tracking Table'!$AC120)))/(2*(149.919*'BMP P Tracking Table'!$X120+236.676*'BMP P Tracking Table'!$Y120+726*'BMP P Tracking Table'!$Z120+996.798*'BMP P Tracking Table'!$AA120))))),"")</f>
        <v>0.91382911634799002</v>
      </c>
      <c r="AG120" s="104">
        <f>IFERROR((VLOOKUP(CONCATENATE('BMP P Tracking Table'!$U120," ",'BMP P Tracking Table'!$AD120),'Performance Curves'!$C$1:$L$46,_xlfn.SINGLE(MATCH('BMP P Tracking Table'!$AF120,'Performance Curves'!$D$1:$L$1,1))+2,FALSE)-VLOOKUP(CONCATENATE('BMP P Tracking Table'!$U120," ",'BMP P Tracking Table'!$AD120),'Performance Curves'!$C$1:$L$46,_xlfn.SINGLE(MATCH('BMP P Tracking Table'!$AF120,'Performance Curves'!$D$1:$L$1,1))+1,FALSE)),"")</f>
        <v>1.0000000000000009E-2</v>
      </c>
      <c r="AH120" s="104">
        <f>IFERROR(('BMP P Tracking Table'!$AF120-INDEX('Performance Curves'!$D$1:$L$1,1,MATCH('BMP P Tracking Table'!$AF120,'Performance Curves'!$D$1:$L$1,1)))/(INDEX('Performance Curves'!$D$1:$L$1,1,MATCH('BMP P Tracking Table'!$AF120,'Performance Curves'!$D$1:$L$1,1)+1)-INDEX('Performance Curves'!$D$1:$L$1,1,MATCH('BMP P Tracking Table'!$AF120,'Performance Curves'!$D$1:$L$1,1))),"")</f>
        <v>0.56914558173995</v>
      </c>
      <c r="AI120" s="103">
        <f>IFERROR(IF('BMP P Tracking Table'!$AF120=2,VLOOKUP(CONCATENATE('BMP P Tracking Table'!$U120," ",'BMP P Tracking Table'!$AD120),'Performance Curves'!$C$1:$L$46,_xlfn.SINGLE(MATCH('BMP P Tracking Table'!$AF120,'Performance Curves'!$D$1:$L$1,1))+1,FALSE),'BMP P Tracking Table'!$AG120*'BMP P Tracking Table'!$AH120+VLOOKUP(CONCATENATE('BMP P Tracking Table'!$U120," ",'BMP P Tracking Table'!$AD120),'Performance Curves'!$C$1:$L$46,_xlfn.SINGLE(MATCH('BMP P Tracking Table'!$AF120,'Performance Curves'!$D$1:$L$1,1))+1,FALSE)),"")</f>
        <v>0.99569145581739948</v>
      </c>
      <c r="AJ120" s="104">
        <f>IFERROR('BMP P Tracking Table'!$AI120*'BMP P Tracking Table'!$AE120,"")</f>
        <v>0.88944122056712482</v>
      </c>
      <c r="AK120" s="65"/>
      <c r="AL120" s="98" t="s">
        <v>62</v>
      </c>
      <c r="AM120" s="98"/>
      <c r="AN120" s="64">
        <v>1</v>
      </c>
      <c r="AO120" s="102">
        <f t="shared" si="16"/>
        <v>0.88944122056712482</v>
      </c>
      <c r="AP120" s="98"/>
      <c r="AQ120" s="98"/>
      <c r="AR120" s="98"/>
      <c r="AS120" s="98"/>
      <c r="AT120" s="98"/>
      <c r="AU120" s="98"/>
      <c r="AV120" s="98"/>
      <c r="AW120" s="65"/>
      <c r="AX120" s="99"/>
      <c r="AY120" s="99"/>
      <c r="AZ120" s="104" t="str">
        <f>IF('BMP P Tracking Table'!$AL120="Yes",IF('BMP P Tracking Table'!$AM120="No",'BMP P Tracking Table'!$V120*VLOOKUP('BMP P Tracking Table'!$R120,'Loading Rates'!$B$1:$L$24,4,FALSE)+IF('BMP P Tracking Table'!$W120="By HSG",'BMP P Tracking Table'!$X120*VLOOKUP('BMP P Tracking Table'!$R120,'Loading Rates'!$B$1:$L$24,6,FALSE)+'BMP P Tracking Table'!$Y120*VLOOKUP('BMP P Tracking Table'!$R120,'Loading Rates'!$B$1:$L$24,7,FALSE)+'BMP P Tracking Table'!$Z120*VLOOKUP('BMP P Tracking Table'!$R120,'Loading Rates'!$B$1:$L$24,8,FALSE)+'BMP P Tracking Table'!$AA120*VLOOKUP('BMP P Tracking Table'!$R120,'Loading Rates'!$B$1:$L$24,9,FALSE),'BMP P Tracking Table'!$AB120*VLOOKUP('BMP P Tracking Table'!$R120,'Loading Rates'!$B$1:$L$24,10,FALSE)),'BMP P Tracking Table'!$AP120*VLOOKUP('BMP P Tracking Table'!$R120,'Loading Rates'!$B$1:$L$24,4,FALSE)+IF('BMP P Tracking Table'!$AQ120="By HSG",'BMP P Tracking Table'!$AR120*VLOOKUP('BMP P Tracking Table'!$R120,'Loading Rates'!$B$1:$L$24,6,FALSE)+'BMP P Tracking Table'!$AS120*VLOOKUP('BMP P Tracking Table'!$R120,'Loading Rates'!$B$1:$L$24,7,FALSE)+'BMP P Tracking Table'!$AT120*VLOOKUP('BMP P Tracking Table'!$R120,'Loading Rates'!$B$1:$L$24,8,FALSE)+'BMP P Tracking Table'!$AU120*VLOOKUP('BMP P Tracking Table'!$R120,'Loading Rates'!$B$1:$L$24,9,FALSE),'BMP P Tracking Table'!$AV120*VLOOKUP('BMP P Tracking Table'!$R120,'Loading Rates'!$B$1:$L$24,10,FALSE))),"")</f>
        <v/>
      </c>
      <c r="BA120" s="104">
        <f>IFERROR(IF('BMP P Tracking Table'!$AM120="Yes",MIN(2,IF('BMP P Tracking Table'!$AQ120="Total Pervious",(-(3630*'BMP P Tracking Table'!$AP120+20.691*'BMP P Tracking Table'!$AV120)+SQRT((3630*'BMP P Tracking Table'!$AP120+20.691*'BMP P Tracking Table'!$AV120)^2-(4*(996.798*'BMP P Tracking Table'!$AV120)*-'BMP P Tracking Table'!$AX120)))/(2*(996.798*'BMP P Tracking Table'!$AV120)),IF(SUM('BMP P Tracking Table'!$AR120:$AU120)=0,'BMP P Tracking Table'!$AV120/(-3630*'BMP P Tracking Table'!$AP120),(-(3630*'BMP P Tracking Table'!$AP120+20.691*'BMP P Tracking Table'!$AU120-216.711*'BMP P Tracking Table'!$AT120-83.853*'BMP P Tracking Table'!$AS120-42.834*'BMP P Tracking Table'!$AR120)+SQRT((3630*'BMP P Tracking Table'!$AP120+20.691*'BMP P Tracking Table'!$AU120-216.711*'BMP P Tracking Table'!$AT120-83.853*'BMP P Tracking Table'!$AS120-42.834*'BMP P Tracking Table'!$AR120)^2-(4*(149.919*'BMP P Tracking Table'!$AR120+236.676*'BMP P Tracking Table'!$AS120+726*'BMP P Tracking Table'!$AT120+996.798*'BMP P Tracking Table'!$AU120)*-'BMP P Tracking Table'!$AX120)))/(2*(149.919*'BMP P Tracking Table'!$AR120+236.676*'BMP P Tracking Table'!$AS120+726*'BMP P Tracking Table'!$AT120+996.798*'BMP P Tracking Table'!$AU120))))),MIN(2,IF('BMP P Tracking Table'!$AQ120="Total Pervious",(-(3630*'BMP P Tracking Table'!$V120+20.691*'BMP P Tracking Table'!$AB120)+SQRT((3630*'BMP P Tracking Table'!$V120+20.691*'BMP P Tracking Table'!$AB120)^2-(4*(996.798*'BMP P Tracking Table'!$AB120)*-'BMP P Tracking Table'!$AX120)))/(2*(996.798*'BMP P Tracking Table'!$AB120)),IF(SUM('BMP P Tracking Table'!$X120:$AA120)=0,'BMP P Tracking Table'!$AX120/(-3630*'BMP P Tracking Table'!$V120),(-(3630*'BMP P Tracking Table'!$V120+20.691*'BMP P Tracking Table'!$AA120-216.711*'BMP P Tracking Table'!$Z120-83.853*'BMP P Tracking Table'!$Y120-42.834*'BMP P Tracking Table'!$X120)+SQRT((3630*'BMP P Tracking Table'!$V120+20.691*'BMP P Tracking Table'!$AA120-216.711*'BMP P Tracking Table'!$Z120-83.853*'BMP P Tracking Table'!$Y120-42.834*'BMP P Tracking Table'!$X120)^2-(4*(149.919*'BMP P Tracking Table'!$X120+236.676*'BMP P Tracking Table'!$Y120+726*'BMP P Tracking Table'!$Z120+996.798*'BMP P Tracking Table'!$AA120)*-'BMP P Tracking Table'!$AX120)))/(2*(149.919*'BMP P Tracking Table'!$X120+236.676*'BMP P Tracking Table'!$Y120+726*'BMP P Tracking Table'!$Z120+996.798*'BMP P Tracking Table'!$AA120)))))),"")</f>
        <v>0</v>
      </c>
      <c r="BB120" s="102" t="str">
        <f>IFERROR((VLOOKUP(CONCATENATE('BMP P Tracking Table'!$AW120," ",'BMP P Tracking Table'!$AY120),'Performance Curves'!$C$1:$L$46,_xlfn.SINGLE(MATCH('BMP P Tracking Table'!$BA120,'Performance Curves'!$D$1:$L$1,1))+2,FALSE)-VLOOKUP(CONCATENATE('BMP P Tracking Table'!$AW120," ",'BMP P Tracking Table'!$AY120),'Performance Curves'!$C$1:$L$46,_xlfn.SINGLE(MATCH('BMP P Tracking Table'!$BA120,'Performance Curves'!$D$1:$L$1,1))+1,FALSE)),"")</f>
        <v/>
      </c>
      <c r="BC120" s="102">
        <f>IFERROR(('BMP P Tracking Table'!$BA120-INDEX('Performance Curves'!$D$1:$L$1,1,MATCH('BMP P Tracking Table'!$BA120,'Performance Curves'!$D$1:$L$1,1)))/(INDEX('Performance Curves'!$D$1:$L$1,1,MATCH('BMP P Tracking Table'!$BA120,'Performance Curves'!$D$1:$L$1,1)+1)-INDEX('Performance Curves'!$D$1:$L$1,1,MATCH('BMP P Tracking Table'!$BA120,'Performance Curves'!$D$1:$L$1,1))),"")</f>
        <v>0</v>
      </c>
      <c r="BD120" s="103" t="str" cm="1">
        <f t="array" ref="BD120">IFERROR(IF('BMP P Tracking Table'!$BA120=2,VLOOKUP(CONCATENATE('BMP P Tracking Table'!$AW120," ",'BMP P Tracking Table'!$AY120),'Performance Curves'!$C$1:$L$44,_xlfn.SINGLE(MATCH('BMP P Tracking Table'!$BA120,'Performance Curves'!$D$1:$L$1,1))+1,FALSE),'BMP P Tracking Table'!$BB120*'BMP P Tracking Table'!$BC120+VLOOKUP(CONCATENATE('BMP P Tracking Table'!$AW120," ",'BMP P Tracking Table'!$AY120),'Performance Curves'!$C$1:$L$44,_xlfn.SINGLE(MATCH('BMP P Tracking Table'!$BA120,'Performance Curves'!$D$1:$L$1,1))+1,FALSE)),"")</f>
        <v/>
      </c>
      <c r="BE120" s="104" t="str">
        <f>IFERROR('BMP P Tracking Table'!$BD120*'BMP P Tracking Table'!$AZ120,"")</f>
        <v/>
      </c>
      <c r="BF120" s="98"/>
      <c r="BG120" s="37">
        <f t="shared" si="17"/>
        <v>0</v>
      </c>
      <c r="BI120" s="36" t="str">
        <f t="shared" si="7"/>
        <v>EX-WR-004</v>
      </c>
      <c r="BJ120" s="36" t="str">
        <f t="shared" si="8"/>
        <v xml:space="preserve">CB889 CB890 CB891 Saxonhollow and Hillside drywells </v>
      </c>
      <c r="BK120" s="36" t="s">
        <v>807</v>
      </c>
      <c r="BL120" s="36" t="s">
        <v>832</v>
      </c>
      <c r="BM120" s="36" t="s">
        <v>848</v>
      </c>
      <c r="BN120" s="36" t="s">
        <v>831</v>
      </c>
      <c r="BO120" s="36" t="s">
        <v>819</v>
      </c>
      <c r="BP120" s="36" t="s">
        <v>874</v>
      </c>
      <c r="BQ120" s="36">
        <f t="shared" si="18"/>
        <v>2.4299999999999997</v>
      </c>
      <c r="BR120" s="36">
        <f t="shared" si="19"/>
        <v>1.66</v>
      </c>
      <c r="BS120" s="101">
        <f t="shared" si="20"/>
        <v>0.31687242798353915</v>
      </c>
      <c r="BT120" s="238">
        <f t="shared" si="21"/>
        <v>70129.870129870134</v>
      </c>
      <c r="BU120" s="238">
        <f t="shared" si="22"/>
        <v>60712.275023152804</v>
      </c>
    </row>
    <row r="121" spans="1:73">
      <c r="A121" s="36" t="s">
        <v>378</v>
      </c>
      <c r="B121" s="65" t="s">
        <v>718</v>
      </c>
      <c r="C121" s="65" t="s">
        <v>702</v>
      </c>
      <c r="D121" s="65" t="s">
        <v>327</v>
      </c>
      <c r="E121" s="65" t="s">
        <v>9</v>
      </c>
      <c r="F121" s="94"/>
      <c r="G121" s="94"/>
      <c r="H121" s="36" t="s">
        <v>378</v>
      </c>
      <c r="I121" s="65"/>
      <c r="J121" s="65" t="s">
        <v>66</v>
      </c>
      <c r="K121" s="95">
        <f>ROUNDUP((VLOOKUP($U121,Dropdowns!$G$3:$I$17, 3, FALSE))*$AC121,-2)</f>
        <v>46200</v>
      </c>
      <c r="L121" s="65" t="s">
        <v>49</v>
      </c>
      <c r="M121" s="65"/>
      <c r="N121" s="65"/>
      <c r="O121" s="65"/>
      <c r="P121" s="65"/>
      <c r="Q121" s="65" t="s">
        <v>119</v>
      </c>
      <c r="R121" s="65" t="s">
        <v>146</v>
      </c>
      <c r="S121" s="65" t="str">
        <f>IFERROR(VLOOKUP('BMP P Tracking Table'!$R121,Dropdowns!$Q$3:$R$23,2,FALSE),"")</f>
        <v>Main Lake</v>
      </c>
      <c r="T121" s="65" t="s">
        <v>66</v>
      </c>
      <c r="U121" s="65" t="s">
        <v>47</v>
      </c>
      <c r="V121" s="65">
        <f>0.21+0.44</f>
        <v>0.65</v>
      </c>
      <c r="W121" s="65" t="s">
        <v>220</v>
      </c>
      <c r="X121" s="65">
        <v>1.57</v>
      </c>
      <c r="Y121" s="65">
        <v>0.01</v>
      </c>
      <c r="Z121" s="65">
        <v>0</v>
      </c>
      <c r="AA121" s="65">
        <v>0</v>
      </c>
      <c r="AB121" s="65"/>
      <c r="AC121" s="97">
        <f>((1*(0.05+0.009*((V121/(V121+X121+Y121))*100)*(V121+X121+Y121))/12)*43560)</f>
        <v>2305.0500000000002</v>
      </c>
      <c r="AD121" s="65" t="s">
        <v>205</v>
      </c>
      <c r="AE121" s="104">
        <f>IFERROR('BMP P Tracking Table'!$V121*VLOOKUP('BMP P Tracking Table'!$R121,'Loading Rates'!$B$1:$L$24,4,FALSE)+IF('BMP P Tracking Table'!$W121="By HSG",'BMP P Tracking Table'!$X121*VLOOKUP('BMP P Tracking Table'!$R121,'Loading Rates'!$B$1:$L$24,6,FALSE)+'BMP P Tracking Table'!$Y121*VLOOKUP('BMP P Tracking Table'!$R121,'Loading Rates'!$B$1:$L$24,7,FALSE)+'BMP P Tracking Table'!$Z121*VLOOKUP('BMP P Tracking Table'!$R121,'Loading Rates'!$B$1:$L$24,8,FALSE)+'BMP P Tracking Table'!$AA121*VLOOKUP('BMP P Tracking Table'!$R121,'Loading Rates'!$B$1:$L$24,9,FALSE),'BMP P Tracking Table'!$AB121*VLOOKUP('BMP P Tracking Table'!$R121,'Loading Rates'!$B$1:$L$24,10,FALSE)),"")</f>
        <v>0.75998999999999994</v>
      </c>
      <c r="AF121" s="104">
        <f>IFERROR(MIN(2,IF('BMP P Tracking Table'!$W121="Total Pervious",(-(3630*'BMP P Tracking Table'!$V121+20.691*'BMP P Tracking Table'!$AB121)+SQRT((3630*'BMP P Tracking Table'!$V121+20.691*'BMP P Tracking Table'!$AB121)^2-(4*(996.798*'BMP P Tracking Table'!$AB121)*-'BMP P Tracking Table'!$AC121)))/(2*(996.798*'BMP P Tracking Table'!$AB121)),IF(SUM('BMP P Tracking Table'!$X121:$AA121)=0,'BMP P Tracking Table'!$AC121/(-3630*'BMP P Tracking Table'!$V121),(-(3630*'BMP P Tracking Table'!$V121+20.691*'BMP P Tracking Table'!$AA121-216.711*'BMP P Tracking Table'!$Z121-83.853*'BMP P Tracking Table'!$Y121-42.834*'BMP P Tracking Table'!$X121)+SQRT((3630*'BMP P Tracking Table'!$V121+20.691*'BMP P Tracking Table'!$AA121-216.711*'BMP P Tracking Table'!$Z121-83.853*'BMP P Tracking Table'!$Y121-42.834*'BMP P Tracking Table'!$X121)^2-(4*(149.919*'BMP P Tracking Table'!$X121+236.676*'BMP P Tracking Table'!$Y121+726*'BMP P Tracking Table'!$Z121+996.798*'BMP P Tracking Table'!$AA121)*-'BMP P Tracking Table'!$AC121)))/(2*(149.919*'BMP P Tracking Table'!$X121+236.676*'BMP P Tracking Table'!$Y121+726*'BMP P Tracking Table'!$Z121+996.798*'BMP P Tracking Table'!$AA121))))),"")</f>
        <v>0.91843432582980811</v>
      </c>
      <c r="AG121" s="104">
        <f>IFERROR((VLOOKUP(CONCATENATE('BMP P Tracking Table'!$U121," ",'BMP P Tracking Table'!$AD121),'Performance Curves'!$C$1:$L$46,_xlfn.SINGLE(MATCH('BMP P Tracking Table'!$AF121,'Performance Curves'!$D$1:$L$1,1))+2,FALSE)-VLOOKUP(CONCATENATE('BMP P Tracking Table'!$U121," ",'BMP P Tracking Table'!$AD121),'Performance Curves'!$C$1:$L$46,_xlfn.SINGLE(MATCH('BMP P Tracking Table'!$AF121,'Performance Curves'!$D$1:$L$1,1))+1,FALSE)),"")</f>
        <v>1.0000000000000009E-2</v>
      </c>
      <c r="AH121" s="104">
        <f>IFERROR(('BMP P Tracking Table'!$AF121-INDEX('Performance Curves'!$D$1:$L$1,1,MATCH('BMP P Tracking Table'!$AF121,'Performance Curves'!$D$1:$L$1,1)))/(INDEX('Performance Curves'!$D$1:$L$1,1,MATCH('BMP P Tracking Table'!$AF121,'Performance Curves'!$D$1:$L$1,1)+1)-INDEX('Performance Curves'!$D$1:$L$1,1,MATCH('BMP P Tracking Table'!$AF121,'Performance Curves'!$D$1:$L$1,1))),"")</f>
        <v>0.59217162914904042</v>
      </c>
      <c r="AI121" s="103">
        <f>IFERROR(IF('BMP P Tracking Table'!$AF121=2,VLOOKUP(CONCATENATE('BMP P Tracking Table'!$U121," ",'BMP P Tracking Table'!$AD121),'Performance Curves'!$C$1:$L$46,_xlfn.SINGLE(MATCH('BMP P Tracking Table'!$AF121,'Performance Curves'!$D$1:$L$1,1))+1,FALSE),'BMP P Tracking Table'!$AG121*'BMP P Tracking Table'!$AH121+VLOOKUP(CONCATENATE('BMP P Tracking Table'!$U121," ",'BMP P Tracking Table'!$AD121),'Performance Curves'!$C$1:$L$46,_xlfn.SINGLE(MATCH('BMP P Tracking Table'!$AF121,'Performance Curves'!$D$1:$L$1,1))+1,FALSE)),"")</f>
        <v>0.9959217162914904</v>
      </c>
      <c r="AJ121" s="104">
        <f>IFERROR('BMP P Tracking Table'!$AI121*'BMP P Tracking Table'!$AE121,"")</f>
        <v>0.75689054516436971</v>
      </c>
      <c r="AK121" s="65"/>
      <c r="AL121" s="98" t="s">
        <v>62</v>
      </c>
      <c r="AM121" s="98"/>
      <c r="AN121" s="64">
        <v>1</v>
      </c>
      <c r="AO121" s="102">
        <f t="shared" si="16"/>
        <v>0.75689054516436971</v>
      </c>
      <c r="AP121" s="98"/>
      <c r="AQ121" s="98"/>
      <c r="AR121" s="98"/>
      <c r="AS121" s="98"/>
      <c r="AT121" s="98"/>
      <c r="AU121" s="98"/>
      <c r="AV121" s="98"/>
      <c r="AW121" s="65"/>
      <c r="AX121" s="99"/>
      <c r="AY121" s="99"/>
      <c r="AZ121" s="104" t="str">
        <f>IF('BMP P Tracking Table'!$AL121="Yes",IF('BMP P Tracking Table'!$AM121="No",'BMP P Tracking Table'!$V121*VLOOKUP('BMP P Tracking Table'!$R121,'Loading Rates'!$B$1:$L$24,4,FALSE)+IF('BMP P Tracking Table'!$W121="By HSG",'BMP P Tracking Table'!$X121*VLOOKUP('BMP P Tracking Table'!$R121,'Loading Rates'!$B$1:$L$24,6,FALSE)+'BMP P Tracking Table'!$Y121*VLOOKUP('BMP P Tracking Table'!$R121,'Loading Rates'!$B$1:$L$24,7,FALSE)+'BMP P Tracking Table'!$Z121*VLOOKUP('BMP P Tracking Table'!$R121,'Loading Rates'!$B$1:$L$24,8,FALSE)+'BMP P Tracking Table'!$AA121*VLOOKUP('BMP P Tracking Table'!$R121,'Loading Rates'!$B$1:$L$24,9,FALSE),'BMP P Tracking Table'!$AB121*VLOOKUP('BMP P Tracking Table'!$R121,'Loading Rates'!$B$1:$L$24,10,FALSE)),'BMP P Tracking Table'!$AP121*VLOOKUP('BMP P Tracking Table'!$R121,'Loading Rates'!$B$1:$L$24,4,FALSE)+IF('BMP P Tracking Table'!$AQ121="By HSG",'BMP P Tracking Table'!$AR121*VLOOKUP('BMP P Tracking Table'!$R121,'Loading Rates'!$B$1:$L$24,6,FALSE)+'BMP P Tracking Table'!$AS121*VLOOKUP('BMP P Tracking Table'!$R121,'Loading Rates'!$B$1:$L$24,7,FALSE)+'BMP P Tracking Table'!$AT121*VLOOKUP('BMP P Tracking Table'!$R121,'Loading Rates'!$B$1:$L$24,8,FALSE)+'BMP P Tracking Table'!$AU121*VLOOKUP('BMP P Tracking Table'!$R121,'Loading Rates'!$B$1:$L$24,9,FALSE),'BMP P Tracking Table'!$AV121*VLOOKUP('BMP P Tracking Table'!$R121,'Loading Rates'!$B$1:$L$24,10,FALSE))),"")</f>
        <v/>
      </c>
      <c r="BA121" s="104">
        <f>IFERROR(IF('BMP P Tracking Table'!$AM121="Yes",MIN(2,IF('BMP P Tracking Table'!$AQ121="Total Pervious",(-(3630*'BMP P Tracking Table'!$AP121+20.691*'BMP P Tracking Table'!$AV121)+SQRT((3630*'BMP P Tracking Table'!$AP121+20.691*'BMP P Tracking Table'!$AV121)^2-(4*(996.798*'BMP P Tracking Table'!$AV121)*-'BMP P Tracking Table'!$AX121)))/(2*(996.798*'BMP P Tracking Table'!$AV121)),IF(SUM('BMP P Tracking Table'!$AR121:$AU121)=0,'BMP P Tracking Table'!$AV121/(-3630*'BMP P Tracking Table'!$AP121),(-(3630*'BMP P Tracking Table'!$AP121+20.691*'BMP P Tracking Table'!$AU121-216.711*'BMP P Tracking Table'!$AT121-83.853*'BMP P Tracking Table'!$AS121-42.834*'BMP P Tracking Table'!$AR121)+SQRT((3630*'BMP P Tracking Table'!$AP121+20.691*'BMP P Tracking Table'!$AU121-216.711*'BMP P Tracking Table'!$AT121-83.853*'BMP P Tracking Table'!$AS121-42.834*'BMP P Tracking Table'!$AR121)^2-(4*(149.919*'BMP P Tracking Table'!$AR121+236.676*'BMP P Tracking Table'!$AS121+726*'BMP P Tracking Table'!$AT121+996.798*'BMP P Tracking Table'!$AU121)*-'BMP P Tracking Table'!$AX121)))/(2*(149.919*'BMP P Tracking Table'!$AR121+236.676*'BMP P Tracking Table'!$AS121+726*'BMP P Tracking Table'!$AT121+996.798*'BMP P Tracking Table'!$AU121))))),MIN(2,IF('BMP P Tracking Table'!$AQ121="Total Pervious",(-(3630*'BMP P Tracking Table'!$V121+20.691*'BMP P Tracking Table'!$AB121)+SQRT((3630*'BMP P Tracking Table'!$V121+20.691*'BMP P Tracking Table'!$AB121)^2-(4*(996.798*'BMP P Tracking Table'!$AB121)*-'BMP P Tracking Table'!$AX121)))/(2*(996.798*'BMP P Tracking Table'!$AB121)),IF(SUM('BMP P Tracking Table'!$X121:$AA121)=0,'BMP P Tracking Table'!$AX121/(-3630*'BMP P Tracking Table'!$V121),(-(3630*'BMP P Tracking Table'!$V121+20.691*'BMP P Tracking Table'!$AA121-216.711*'BMP P Tracking Table'!$Z121-83.853*'BMP P Tracking Table'!$Y121-42.834*'BMP P Tracking Table'!$X121)+SQRT((3630*'BMP P Tracking Table'!$V121+20.691*'BMP P Tracking Table'!$AA121-216.711*'BMP P Tracking Table'!$Z121-83.853*'BMP P Tracking Table'!$Y121-42.834*'BMP P Tracking Table'!$X121)^2-(4*(149.919*'BMP P Tracking Table'!$X121+236.676*'BMP P Tracking Table'!$Y121+726*'BMP P Tracking Table'!$Z121+996.798*'BMP P Tracking Table'!$AA121)*-'BMP P Tracking Table'!$AX121)))/(2*(149.919*'BMP P Tracking Table'!$X121+236.676*'BMP P Tracking Table'!$Y121+726*'BMP P Tracking Table'!$Z121+996.798*'BMP P Tracking Table'!$AA121)))))),"")</f>
        <v>0</v>
      </c>
      <c r="BB121" s="102" t="str">
        <f>IFERROR((VLOOKUP(CONCATENATE('BMP P Tracking Table'!$AW121," ",'BMP P Tracking Table'!$AY121),'Performance Curves'!$C$1:$L$46,_xlfn.SINGLE(MATCH('BMP P Tracking Table'!$BA121,'Performance Curves'!$D$1:$L$1,1))+2,FALSE)-VLOOKUP(CONCATENATE('BMP P Tracking Table'!$AW121," ",'BMP P Tracking Table'!$AY121),'Performance Curves'!$C$1:$L$46,_xlfn.SINGLE(MATCH('BMP P Tracking Table'!$BA121,'Performance Curves'!$D$1:$L$1,1))+1,FALSE)),"")</f>
        <v/>
      </c>
      <c r="BC121" s="102">
        <f>IFERROR(('BMP P Tracking Table'!$BA121-INDEX('Performance Curves'!$D$1:$L$1,1,MATCH('BMP P Tracking Table'!$BA121,'Performance Curves'!$D$1:$L$1,1)))/(INDEX('Performance Curves'!$D$1:$L$1,1,MATCH('BMP P Tracking Table'!$BA121,'Performance Curves'!$D$1:$L$1,1)+1)-INDEX('Performance Curves'!$D$1:$L$1,1,MATCH('BMP P Tracking Table'!$BA121,'Performance Curves'!$D$1:$L$1,1))),"")</f>
        <v>0</v>
      </c>
      <c r="BD121" s="103" t="str" cm="1">
        <f t="array" ref="BD121">IFERROR(IF('BMP P Tracking Table'!$BA121=2,VLOOKUP(CONCATENATE('BMP P Tracking Table'!$AW121," ",'BMP P Tracking Table'!$AY121),'Performance Curves'!$C$1:$L$44,_xlfn.SINGLE(MATCH('BMP P Tracking Table'!$BA121,'Performance Curves'!$D$1:$L$1,1))+1,FALSE),'BMP P Tracking Table'!$BB121*'BMP P Tracking Table'!$BC121+VLOOKUP(CONCATENATE('BMP P Tracking Table'!$AW121," ",'BMP P Tracking Table'!$AY121),'Performance Curves'!$C$1:$L$44,_xlfn.SINGLE(MATCH('BMP P Tracking Table'!$BA121,'Performance Curves'!$D$1:$L$1,1))+1,FALSE)),"")</f>
        <v/>
      </c>
      <c r="BE121" s="104" t="str">
        <f>IFERROR('BMP P Tracking Table'!$BD121*'BMP P Tracking Table'!$AZ121,"")</f>
        <v/>
      </c>
      <c r="BF121" s="98"/>
      <c r="BG121" s="37">
        <f t="shared" si="17"/>
        <v>0</v>
      </c>
      <c r="BI121" s="36" t="str">
        <f t="shared" si="7"/>
        <v>EX-WR-003</v>
      </c>
      <c r="BJ121" s="36" t="str">
        <f t="shared" si="8"/>
        <v>CB884 CB885 Saxonhollow drywells</v>
      </c>
      <c r="BK121" s="36" t="s">
        <v>807</v>
      </c>
      <c r="BP121" s="36" t="s">
        <v>874</v>
      </c>
      <c r="BQ121" s="36">
        <f t="shared" si="18"/>
        <v>2.23</v>
      </c>
      <c r="BR121" s="36">
        <f t="shared" si="19"/>
        <v>1.58</v>
      </c>
      <c r="BS121" s="101">
        <f t="shared" si="20"/>
        <v>0.2914798206278027</v>
      </c>
      <c r="BT121" s="238">
        <f t="shared" si="21"/>
        <v>71076.923076923078</v>
      </c>
      <c r="BU121" s="238">
        <f t="shared" si="22"/>
        <v>61039.208766925476</v>
      </c>
    </row>
    <row r="122" spans="1:73">
      <c r="A122" s="36" t="s">
        <v>378</v>
      </c>
      <c r="B122" s="65" t="s">
        <v>722</v>
      </c>
      <c r="C122" s="65" t="s">
        <v>715</v>
      </c>
      <c r="D122" s="65" t="s">
        <v>327</v>
      </c>
      <c r="E122" s="65" t="s">
        <v>9</v>
      </c>
      <c r="F122" s="94"/>
      <c r="G122" s="94"/>
      <c r="H122" s="36" t="s">
        <v>378</v>
      </c>
      <c r="I122" s="65"/>
      <c r="J122" s="65" t="s">
        <v>66</v>
      </c>
      <c r="K122" s="95">
        <f>ROUNDUP((VLOOKUP($U122,Dropdowns!$G$3:$I$17, 3, FALSE))*$AC122,-2)</f>
        <v>22600</v>
      </c>
      <c r="L122" s="65" t="s">
        <v>49</v>
      </c>
      <c r="M122" s="65"/>
      <c r="N122" s="65"/>
      <c r="O122" s="65"/>
      <c r="P122" s="65"/>
      <c r="Q122" s="65" t="s">
        <v>119</v>
      </c>
      <c r="R122" s="65" t="s">
        <v>146</v>
      </c>
      <c r="S122" s="65" t="str">
        <f>IFERROR(VLOOKUP('BMP P Tracking Table'!$R122,Dropdowns!$Q$3:$R$23,2,FALSE),"")</f>
        <v>Main Lake</v>
      </c>
      <c r="T122" s="65" t="s">
        <v>66</v>
      </c>
      <c r="U122" s="65" t="s">
        <v>47</v>
      </c>
      <c r="V122" s="65">
        <f>0.15+0.14</f>
        <v>0.29000000000000004</v>
      </c>
      <c r="W122" s="65" t="s">
        <v>220</v>
      </c>
      <c r="X122" s="65">
        <v>0.74</v>
      </c>
      <c r="Y122" s="65">
        <v>0</v>
      </c>
      <c r="Z122" s="65">
        <v>0</v>
      </c>
      <c r="AA122" s="65">
        <v>0</v>
      </c>
      <c r="AB122" s="65"/>
      <c r="AC122" s="97">
        <f>((1*(0.05+0.009*((V122/(V122+X122))*100)*(V122+X122))/12)*43560)</f>
        <v>1128.93</v>
      </c>
      <c r="AD122" s="65" t="s">
        <v>206</v>
      </c>
      <c r="AE122" s="104">
        <f>IFERROR('BMP P Tracking Table'!$V122*VLOOKUP('BMP P Tracking Table'!$R122,'Loading Rates'!$B$1:$L$24,4,FALSE)+IF('BMP P Tracking Table'!$W122="By HSG",'BMP P Tracking Table'!$X122*VLOOKUP('BMP P Tracking Table'!$R122,'Loading Rates'!$B$1:$L$24,6,FALSE)+'BMP P Tracking Table'!$Y122*VLOOKUP('BMP P Tracking Table'!$R122,'Loading Rates'!$B$1:$L$24,7,FALSE)+'BMP P Tracking Table'!$Z122*VLOOKUP('BMP P Tracking Table'!$R122,'Loading Rates'!$B$1:$L$24,8,FALSE)+'BMP P Tracking Table'!$AA122*VLOOKUP('BMP P Tracking Table'!$R122,'Loading Rates'!$B$1:$L$24,9,FALSE),'BMP P Tracking Table'!$AB122*VLOOKUP('BMP P Tracking Table'!$R122,'Loading Rates'!$B$1:$L$24,10,FALSE)),"")</f>
        <v>0.33873000000000003</v>
      </c>
      <c r="AF122" s="104">
        <f>IFERROR(MIN(2,IF('BMP P Tracking Table'!$W122="Total Pervious",(-(3630*'BMP P Tracking Table'!$V122+20.691*'BMP P Tracking Table'!$AB122)+SQRT((3630*'BMP P Tracking Table'!$V122+20.691*'BMP P Tracking Table'!$AB122)^2-(4*(996.798*'BMP P Tracking Table'!$AB122)*-'BMP P Tracking Table'!$AC122)))/(2*(996.798*'BMP P Tracking Table'!$AB122)),IF(SUM('BMP P Tracking Table'!$X122:$AA122)=0,'BMP P Tracking Table'!$AC122/(-3630*'BMP P Tracking Table'!$V122),(-(3630*'BMP P Tracking Table'!$V122+20.691*'BMP P Tracking Table'!$AA122-216.711*'BMP P Tracking Table'!$Z122-83.853*'BMP P Tracking Table'!$Y122-42.834*'BMP P Tracking Table'!$X122)+SQRT((3630*'BMP P Tracking Table'!$V122+20.691*'BMP P Tracking Table'!$AA122-216.711*'BMP P Tracking Table'!$Z122-83.853*'BMP P Tracking Table'!$Y122-42.834*'BMP P Tracking Table'!$X122)^2-(4*(149.919*'BMP P Tracking Table'!$X122+236.676*'BMP P Tracking Table'!$Y122+726*'BMP P Tracking Table'!$Z122+996.798*'BMP P Tracking Table'!$AA122)*-'BMP P Tracking Table'!$AC122)))/(2*(149.919*'BMP P Tracking Table'!$X122+236.676*'BMP P Tracking Table'!$Y122+726*'BMP P Tracking Table'!$Z122+996.798*'BMP P Tracking Table'!$AA122))))),"")</f>
        <v>0.99757535318782742</v>
      </c>
      <c r="AG122" s="104">
        <f>IFERROR((VLOOKUP(CONCATENATE('BMP P Tracking Table'!$U122," ",'BMP P Tracking Table'!$AD122),'Performance Curves'!$C$1:$L$46,_xlfn.SINGLE(MATCH('BMP P Tracking Table'!$AF122,'Performance Curves'!$D$1:$L$1,1))+2,FALSE)-VLOOKUP(CONCATENATE('BMP P Tracking Table'!$U122," ",'BMP P Tracking Table'!$AD122),'Performance Curves'!$C$1:$L$46,_xlfn.SINGLE(MATCH('BMP P Tracking Table'!$AF122,'Performance Curves'!$D$1:$L$1,1))+1,FALSE)),"")</f>
        <v>2.0000000000000018E-2</v>
      </c>
      <c r="AH122" s="104">
        <f>IFERROR(('BMP P Tracking Table'!$AF122-INDEX('Performance Curves'!$D$1:$L$1,1,MATCH('BMP P Tracking Table'!$AF122,'Performance Curves'!$D$1:$L$1,1)))/(INDEX('Performance Curves'!$D$1:$L$1,1,MATCH('BMP P Tracking Table'!$AF122,'Performance Curves'!$D$1:$L$1,1)+1)-INDEX('Performance Curves'!$D$1:$L$1,1,MATCH('BMP P Tracking Table'!$AF122,'Performance Curves'!$D$1:$L$1,1))),"")</f>
        <v>0.98787676593913709</v>
      </c>
      <c r="AI122" s="103">
        <f>IFERROR(IF('BMP P Tracking Table'!$AF122=2,VLOOKUP(CONCATENATE('BMP P Tracking Table'!$U122," ",'BMP P Tracking Table'!$AD122),'Performance Curves'!$C$1:$L$46,_xlfn.SINGLE(MATCH('BMP P Tracking Table'!$AF122,'Performance Curves'!$D$1:$L$1,1))+1,FALSE),'BMP P Tracking Table'!$AG122*'BMP P Tracking Table'!$AH122+VLOOKUP(CONCATENATE('BMP P Tracking Table'!$U122," ",'BMP P Tracking Table'!$AD122),'Performance Curves'!$C$1:$L$46,_xlfn.SINGLE(MATCH('BMP P Tracking Table'!$AF122,'Performance Curves'!$D$1:$L$1,1))+1,FALSE)),"")</f>
        <v>0.97975753531878274</v>
      </c>
      <c r="AJ122" s="104">
        <f>IFERROR('BMP P Tracking Table'!$AI122*'BMP P Tracking Table'!$AE122,"")</f>
        <v>0.33187326993853128</v>
      </c>
      <c r="AK122" s="65"/>
      <c r="AL122" s="98" t="s">
        <v>62</v>
      </c>
      <c r="AM122" s="98"/>
      <c r="AN122" s="64">
        <v>1</v>
      </c>
      <c r="AO122" s="102">
        <f t="shared" si="16"/>
        <v>0.33187326993853128</v>
      </c>
      <c r="AP122" s="98"/>
      <c r="AQ122" s="98"/>
      <c r="AR122" s="98"/>
      <c r="AS122" s="98"/>
      <c r="AT122" s="98"/>
      <c r="AU122" s="98"/>
      <c r="AV122" s="98"/>
      <c r="AW122" s="65"/>
      <c r="AX122" s="99"/>
      <c r="AY122" s="99"/>
      <c r="AZ122" s="104" t="str">
        <f>IF('BMP P Tracking Table'!$AL122="Yes",IF('BMP P Tracking Table'!$AM122="No",'BMP P Tracking Table'!$V122*VLOOKUP('BMP P Tracking Table'!$R122,'Loading Rates'!$B$1:$L$24,4,FALSE)+IF('BMP P Tracking Table'!$W122="By HSG",'BMP P Tracking Table'!$X122*VLOOKUP('BMP P Tracking Table'!$R122,'Loading Rates'!$B$1:$L$24,6,FALSE)+'BMP P Tracking Table'!$Y122*VLOOKUP('BMP P Tracking Table'!$R122,'Loading Rates'!$B$1:$L$24,7,FALSE)+'BMP P Tracking Table'!$Z122*VLOOKUP('BMP P Tracking Table'!$R122,'Loading Rates'!$B$1:$L$24,8,FALSE)+'BMP P Tracking Table'!$AA122*VLOOKUP('BMP P Tracking Table'!$R122,'Loading Rates'!$B$1:$L$24,9,FALSE),'BMP P Tracking Table'!$AB122*VLOOKUP('BMP P Tracking Table'!$R122,'Loading Rates'!$B$1:$L$24,10,FALSE)),'BMP P Tracking Table'!$AP122*VLOOKUP('BMP P Tracking Table'!$R122,'Loading Rates'!$B$1:$L$24,4,FALSE)+IF('BMP P Tracking Table'!$AQ122="By HSG",'BMP P Tracking Table'!$AR122*VLOOKUP('BMP P Tracking Table'!$R122,'Loading Rates'!$B$1:$L$24,6,FALSE)+'BMP P Tracking Table'!$AS122*VLOOKUP('BMP P Tracking Table'!$R122,'Loading Rates'!$B$1:$L$24,7,FALSE)+'BMP P Tracking Table'!$AT122*VLOOKUP('BMP P Tracking Table'!$R122,'Loading Rates'!$B$1:$L$24,8,FALSE)+'BMP P Tracking Table'!$AU122*VLOOKUP('BMP P Tracking Table'!$R122,'Loading Rates'!$B$1:$L$24,9,FALSE),'BMP P Tracking Table'!$AV122*VLOOKUP('BMP P Tracking Table'!$R122,'Loading Rates'!$B$1:$L$24,10,FALSE))),"")</f>
        <v/>
      </c>
      <c r="BA122" s="104">
        <f>IFERROR(IF('BMP P Tracking Table'!$AM122="Yes",MIN(2,IF('BMP P Tracking Table'!$AQ122="Total Pervious",(-(3630*'BMP P Tracking Table'!$AP122+20.691*'BMP P Tracking Table'!$AV122)+SQRT((3630*'BMP P Tracking Table'!$AP122+20.691*'BMP P Tracking Table'!$AV122)^2-(4*(996.798*'BMP P Tracking Table'!$AV122)*-'BMP P Tracking Table'!$AX122)))/(2*(996.798*'BMP P Tracking Table'!$AV122)),IF(SUM('BMP P Tracking Table'!$AR122:$AU122)=0,'BMP P Tracking Table'!$AV122/(-3630*'BMP P Tracking Table'!$AP122),(-(3630*'BMP P Tracking Table'!$AP122+20.691*'BMP P Tracking Table'!$AU122-216.711*'BMP P Tracking Table'!$AT122-83.853*'BMP P Tracking Table'!$AS122-42.834*'BMP P Tracking Table'!$AR122)+SQRT((3630*'BMP P Tracking Table'!$AP122+20.691*'BMP P Tracking Table'!$AU122-216.711*'BMP P Tracking Table'!$AT122-83.853*'BMP P Tracking Table'!$AS122-42.834*'BMP P Tracking Table'!$AR122)^2-(4*(149.919*'BMP P Tracking Table'!$AR122+236.676*'BMP P Tracking Table'!$AS122+726*'BMP P Tracking Table'!$AT122+996.798*'BMP P Tracking Table'!$AU122)*-'BMP P Tracking Table'!$AX122)))/(2*(149.919*'BMP P Tracking Table'!$AR122+236.676*'BMP P Tracking Table'!$AS122+726*'BMP P Tracking Table'!$AT122+996.798*'BMP P Tracking Table'!$AU122))))),MIN(2,IF('BMP P Tracking Table'!$AQ122="Total Pervious",(-(3630*'BMP P Tracking Table'!$V122+20.691*'BMP P Tracking Table'!$AB122)+SQRT((3630*'BMP P Tracking Table'!$V122+20.691*'BMP P Tracking Table'!$AB122)^2-(4*(996.798*'BMP P Tracking Table'!$AB122)*-'BMP P Tracking Table'!$AX122)))/(2*(996.798*'BMP P Tracking Table'!$AB122)),IF(SUM('BMP P Tracking Table'!$X122:$AA122)=0,'BMP P Tracking Table'!$AX122/(-3630*'BMP P Tracking Table'!$V122),(-(3630*'BMP P Tracking Table'!$V122+20.691*'BMP P Tracking Table'!$AA122-216.711*'BMP P Tracking Table'!$Z122-83.853*'BMP P Tracking Table'!$Y122-42.834*'BMP P Tracking Table'!$X122)+SQRT((3630*'BMP P Tracking Table'!$V122+20.691*'BMP P Tracking Table'!$AA122-216.711*'BMP P Tracking Table'!$Z122-83.853*'BMP P Tracking Table'!$Y122-42.834*'BMP P Tracking Table'!$X122)^2-(4*(149.919*'BMP P Tracking Table'!$X122+236.676*'BMP P Tracking Table'!$Y122+726*'BMP P Tracking Table'!$Z122+996.798*'BMP P Tracking Table'!$AA122)*-'BMP P Tracking Table'!$AX122)))/(2*(149.919*'BMP P Tracking Table'!$X122+236.676*'BMP P Tracking Table'!$Y122+726*'BMP P Tracking Table'!$Z122+996.798*'BMP P Tracking Table'!$AA122)))))),"")</f>
        <v>0</v>
      </c>
      <c r="BB122" s="102" t="str">
        <f>IFERROR((VLOOKUP(CONCATENATE('BMP P Tracking Table'!$AW122," ",'BMP P Tracking Table'!$AY122),'Performance Curves'!$C$1:$L$46,_xlfn.SINGLE(MATCH('BMP P Tracking Table'!$BA122,'Performance Curves'!$D$1:$L$1,1))+2,FALSE)-VLOOKUP(CONCATENATE('BMP P Tracking Table'!$AW122," ",'BMP P Tracking Table'!$AY122),'Performance Curves'!$C$1:$L$46,_xlfn.SINGLE(MATCH('BMP P Tracking Table'!$BA122,'Performance Curves'!$D$1:$L$1,1))+1,FALSE)),"")</f>
        <v/>
      </c>
      <c r="BC122" s="102">
        <f>IFERROR(('BMP P Tracking Table'!$BA122-INDEX('Performance Curves'!$D$1:$L$1,1,MATCH('BMP P Tracking Table'!$BA122,'Performance Curves'!$D$1:$L$1,1)))/(INDEX('Performance Curves'!$D$1:$L$1,1,MATCH('BMP P Tracking Table'!$BA122,'Performance Curves'!$D$1:$L$1,1)+1)-INDEX('Performance Curves'!$D$1:$L$1,1,MATCH('BMP P Tracking Table'!$BA122,'Performance Curves'!$D$1:$L$1,1))),"")</f>
        <v>0</v>
      </c>
      <c r="BD122" s="103" t="str" cm="1">
        <f t="array" ref="BD122">IFERROR(IF('BMP P Tracking Table'!$BA122=2,VLOOKUP(CONCATENATE('BMP P Tracking Table'!$AW122," ",'BMP P Tracking Table'!$AY122),'Performance Curves'!$C$1:$L$44,_xlfn.SINGLE(MATCH('BMP P Tracking Table'!$BA122,'Performance Curves'!$D$1:$L$1,1))+1,FALSE),'BMP P Tracking Table'!$BB122*'BMP P Tracking Table'!$BC122+VLOOKUP(CONCATENATE('BMP P Tracking Table'!$AW122," ",'BMP P Tracking Table'!$AY122),'Performance Curves'!$C$1:$L$44,_xlfn.SINGLE(MATCH('BMP P Tracking Table'!$BA122,'Performance Curves'!$D$1:$L$1,1))+1,FALSE)),"")</f>
        <v/>
      </c>
      <c r="BE122" s="104" t="str">
        <f>IFERROR('BMP P Tracking Table'!$BD122*'BMP P Tracking Table'!$AZ122,"")</f>
        <v/>
      </c>
      <c r="BF122" s="98"/>
      <c r="BG122" s="37">
        <f t="shared" si="17"/>
        <v>0</v>
      </c>
      <c r="BI122" s="36" t="str">
        <f t="shared" si="7"/>
        <v>EX-WR-007</v>
      </c>
      <c r="BJ122" s="36" t="str">
        <f t="shared" si="8"/>
        <v>CB898 899 Hillside Ave drywells</v>
      </c>
      <c r="BK122" s="36" t="s">
        <v>807</v>
      </c>
      <c r="BP122" s="36" t="s">
        <v>874</v>
      </c>
      <c r="BQ122" s="36">
        <f t="shared" si="18"/>
        <v>1.03</v>
      </c>
      <c r="BR122" s="36">
        <f t="shared" si="19"/>
        <v>0.74</v>
      </c>
      <c r="BS122" s="101">
        <f t="shared" si="20"/>
        <v>0.28155339805825247</v>
      </c>
      <c r="BT122" s="238">
        <f t="shared" si="21"/>
        <v>77931.034482758609</v>
      </c>
      <c r="BU122" s="238">
        <f t="shared" si="22"/>
        <v>68098.283432666678</v>
      </c>
    </row>
    <row r="123" spans="1:73">
      <c r="A123" s="36" t="s">
        <v>378</v>
      </c>
      <c r="B123" s="65" t="s">
        <v>721</v>
      </c>
      <c r="C123" s="65" t="s">
        <v>716</v>
      </c>
      <c r="D123" s="65" t="s">
        <v>327</v>
      </c>
      <c r="E123" s="65" t="s">
        <v>9</v>
      </c>
      <c r="F123" s="94"/>
      <c r="G123" s="94"/>
      <c r="H123" s="36" t="s">
        <v>378</v>
      </c>
      <c r="I123" s="65"/>
      <c r="J123" s="65" t="s">
        <v>66</v>
      </c>
      <c r="K123" s="95">
        <f>ROUNDUP((VLOOKUP($U123,Dropdowns!$G$3:$I$17, 3, FALSE))*$AC123,-2)</f>
        <v>32400</v>
      </c>
      <c r="L123" s="65" t="s">
        <v>49</v>
      </c>
      <c r="M123" s="65"/>
      <c r="N123" s="65"/>
      <c r="O123" s="65"/>
      <c r="P123" s="65"/>
      <c r="Q123" s="65" t="s">
        <v>119</v>
      </c>
      <c r="R123" s="65" t="s">
        <v>146</v>
      </c>
      <c r="S123" s="65" t="str">
        <f>IFERROR(VLOOKUP('BMP P Tracking Table'!$R123,Dropdowns!$Q$3:$R$23,2,FALSE),"")</f>
        <v>Main Lake</v>
      </c>
      <c r="T123" s="65" t="s">
        <v>66</v>
      </c>
      <c r="U123" s="65" t="s">
        <v>47</v>
      </c>
      <c r="V123" s="65">
        <f>0.27+0.17</f>
        <v>0.44000000000000006</v>
      </c>
      <c r="W123" s="65" t="s">
        <v>220</v>
      </c>
      <c r="X123" s="65">
        <v>0.78</v>
      </c>
      <c r="Y123" s="65">
        <v>0</v>
      </c>
      <c r="Z123" s="65">
        <v>0</v>
      </c>
      <c r="AA123" s="65">
        <v>0</v>
      </c>
      <c r="AB123" s="65"/>
      <c r="AC123" s="97">
        <f>((1*(0.05+0.009*((V123/(V123+X123))*100)*(V123+X123))/12)*43560)</f>
        <v>1618.98</v>
      </c>
      <c r="AD123" s="65" t="s">
        <v>205</v>
      </c>
      <c r="AE123" s="104">
        <f>IFERROR('BMP P Tracking Table'!$V123*VLOOKUP('BMP P Tracking Table'!$R123,'Loading Rates'!$B$1:$L$24,4,FALSE)+IF('BMP P Tracking Table'!$W123="By HSG",'BMP P Tracking Table'!$X123*VLOOKUP('BMP P Tracking Table'!$R123,'Loading Rates'!$B$1:$L$24,6,FALSE)+'BMP P Tracking Table'!$Y123*VLOOKUP('BMP P Tracking Table'!$R123,'Loading Rates'!$B$1:$L$24,7,FALSE)+'BMP P Tracking Table'!$Z123*VLOOKUP('BMP P Tracking Table'!$R123,'Loading Rates'!$B$1:$L$24,8,FALSE)+'BMP P Tracking Table'!$AA123*VLOOKUP('BMP P Tracking Table'!$R123,'Loading Rates'!$B$1:$L$24,9,FALSE),'BMP P Tracking Table'!$AB123*VLOOKUP('BMP P Tracking Table'!$R123,'Loading Rates'!$B$1:$L$24,10,FALSE)),"")</f>
        <v>0.50708000000000009</v>
      </c>
      <c r="AF123" s="104">
        <f>IFERROR(MIN(2,IF('BMP P Tracking Table'!$W123="Total Pervious",(-(3630*'BMP P Tracking Table'!$V123+20.691*'BMP P Tracking Table'!$AB123)+SQRT((3630*'BMP P Tracking Table'!$V123+20.691*'BMP P Tracking Table'!$AB123)^2-(4*(996.798*'BMP P Tracking Table'!$AB123)*-'BMP P Tracking Table'!$AC123)))/(2*(996.798*'BMP P Tracking Table'!$AB123)),IF(SUM('BMP P Tracking Table'!$X123:$AA123)=0,'BMP P Tracking Table'!$AC123/(-3630*'BMP P Tracking Table'!$V123),(-(3630*'BMP P Tracking Table'!$V123+20.691*'BMP P Tracking Table'!$AA123-216.711*'BMP P Tracking Table'!$Z123-83.853*'BMP P Tracking Table'!$Y123-42.834*'BMP P Tracking Table'!$X123)+SQRT((3630*'BMP P Tracking Table'!$V123+20.691*'BMP P Tracking Table'!$AA123-216.711*'BMP P Tracking Table'!$Z123-83.853*'BMP P Tracking Table'!$Y123-42.834*'BMP P Tracking Table'!$X123)^2-(4*(149.919*'BMP P Tracking Table'!$X123+236.676*'BMP P Tracking Table'!$Y123+726*'BMP P Tracking Table'!$Z123+996.798*'BMP P Tracking Table'!$AA123)*-'BMP P Tracking Table'!$AC123)))/(2*(149.919*'BMP P Tracking Table'!$X123+236.676*'BMP P Tracking Table'!$Y123+726*'BMP P Tracking Table'!$Z123+996.798*'BMP P Tracking Table'!$AA123))))),"")</f>
        <v>0.96557481747231666</v>
      </c>
      <c r="AG123" s="104">
        <f>IFERROR((VLOOKUP(CONCATENATE('BMP P Tracking Table'!$U123," ",'BMP P Tracking Table'!$AD123),'Performance Curves'!$C$1:$L$46,_xlfn.SINGLE(MATCH('BMP P Tracking Table'!$AF123,'Performance Curves'!$D$1:$L$1,1))+2,FALSE)-VLOOKUP(CONCATENATE('BMP P Tracking Table'!$U123," ",'BMP P Tracking Table'!$AD123),'Performance Curves'!$C$1:$L$46,_xlfn.SINGLE(MATCH('BMP P Tracking Table'!$AF123,'Performance Curves'!$D$1:$L$1,1))+1,FALSE)),"")</f>
        <v>1.0000000000000009E-2</v>
      </c>
      <c r="AH123" s="104">
        <f>IFERROR(('BMP P Tracking Table'!$AF123-INDEX('Performance Curves'!$D$1:$L$1,1,MATCH('BMP P Tracking Table'!$AF123,'Performance Curves'!$D$1:$L$1,1)))/(INDEX('Performance Curves'!$D$1:$L$1,1,MATCH('BMP P Tracking Table'!$AF123,'Performance Curves'!$D$1:$L$1,1)+1)-INDEX('Performance Curves'!$D$1:$L$1,1,MATCH('BMP P Tracking Table'!$AF123,'Performance Curves'!$D$1:$L$1,1))),"")</f>
        <v>0.8278740873615833</v>
      </c>
      <c r="AI123" s="103">
        <f>IFERROR(IF('BMP P Tracking Table'!$AF123=2,VLOOKUP(CONCATENATE('BMP P Tracking Table'!$U123," ",'BMP P Tracking Table'!$AD123),'Performance Curves'!$C$1:$L$46,_xlfn.SINGLE(MATCH('BMP P Tracking Table'!$AF123,'Performance Curves'!$D$1:$L$1,1))+1,FALSE),'BMP P Tracking Table'!$AG123*'BMP P Tracking Table'!$AH123+VLOOKUP(CONCATENATE('BMP P Tracking Table'!$U123," ",'BMP P Tracking Table'!$AD123),'Performance Curves'!$C$1:$L$46,_xlfn.SINGLE(MATCH('BMP P Tracking Table'!$AF123,'Performance Curves'!$D$1:$L$1,1))+1,FALSE)),"")</f>
        <v>0.99827874087361579</v>
      </c>
      <c r="AJ123" s="104">
        <f>IFERROR('BMP P Tracking Table'!$AI123*'BMP P Tracking Table'!$AE123,"")</f>
        <v>0.50620718392219322</v>
      </c>
      <c r="AK123" s="65"/>
      <c r="AL123" s="98" t="s">
        <v>62</v>
      </c>
      <c r="AM123" s="98"/>
      <c r="AN123" s="64">
        <v>1</v>
      </c>
      <c r="AO123" s="102">
        <f t="shared" si="16"/>
        <v>0.50620718392219322</v>
      </c>
      <c r="AP123" s="98"/>
      <c r="AQ123" s="98"/>
      <c r="AR123" s="98"/>
      <c r="AS123" s="98"/>
      <c r="AT123" s="98"/>
      <c r="AU123" s="98"/>
      <c r="AV123" s="98"/>
      <c r="AW123" s="65"/>
      <c r="AX123" s="99"/>
      <c r="AY123" s="99"/>
      <c r="AZ123" s="104" t="str">
        <f>IF('BMP P Tracking Table'!$AL123="Yes",IF('BMP P Tracking Table'!$AM123="No",'BMP P Tracking Table'!$V123*VLOOKUP('BMP P Tracking Table'!$R123,'Loading Rates'!$B$1:$L$24,4,FALSE)+IF('BMP P Tracking Table'!$W123="By HSG",'BMP P Tracking Table'!$X123*VLOOKUP('BMP P Tracking Table'!$R123,'Loading Rates'!$B$1:$L$24,6,FALSE)+'BMP P Tracking Table'!$Y123*VLOOKUP('BMP P Tracking Table'!$R123,'Loading Rates'!$B$1:$L$24,7,FALSE)+'BMP P Tracking Table'!$Z123*VLOOKUP('BMP P Tracking Table'!$R123,'Loading Rates'!$B$1:$L$24,8,FALSE)+'BMP P Tracking Table'!$AA123*VLOOKUP('BMP P Tracking Table'!$R123,'Loading Rates'!$B$1:$L$24,9,FALSE),'BMP P Tracking Table'!$AB123*VLOOKUP('BMP P Tracking Table'!$R123,'Loading Rates'!$B$1:$L$24,10,FALSE)),'BMP P Tracking Table'!$AP123*VLOOKUP('BMP P Tracking Table'!$R123,'Loading Rates'!$B$1:$L$24,4,FALSE)+IF('BMP P Tracking Table'!$AQ123="By HSG",'BMP P Tracking Table'!$AR123*VLOOKUP('BMP P Tracking Table'!$R123,'Loading Rates'!$B$1:$L$24,6,FALSE)+'BMP P Tracking Table'!$AS123*VLOOKUP('BMP P Tracking Table'!$R123,'Loading Rates'!$B$1:$L$24,7,FALSE)+'BMP P Tracking Table'!$AT123*VLOOKUP('BMP P Tracking Table'!$R123,'Loading Rates'!$B$1:$L$24,8,FALSE)+'BMP P Tracking Table'!$AU123*VLOOKUP('BMP P Tracking Table'!$R123,'Loading Rates'!$B$1:$L$24,9,FALSE),'BMP P Tracking Table'!$AV123*VLOOKUP('BMP P Tracking Table'!$R123,'Loading Rates'!$B$1:$L$24,10,FALSE))),"")</f>
        <v/>
      </c>
      <c r="BA123" s="104">
        <f>IFERROR(IF('BMP P Tracking Table'!$AM123="Yes",MIN(2,IF('BMP P Tracking Table'!$AQ123="Total Pervious",(-(3630*'BMP P Tracking Table'!$AP123+20.691*'BMP P Tracking Table'!$AV123)+SQRT((3630*'BMP P Tracking Table'!$AP123+20.691*'BMP P Tracking Table'!$AV123)^2-(4*(996.798*'BMP P Tracking Table'!$AV123)*-'BMP P Tracking Table'!$AX123)))/(2*(996.798*'BMP P Tracking Table'!$AV123)),IF(SUM('BMP P Tracking Table'!$AR123:$AU123)=0,'BMP P Tracking Table'!$AV123/(-3630*'BMP P Tracking Table'!$AP123),(-(3630*'BMP P Tracking Table'!$AP123+20.691*'BMP P Tracking Table'!$AU123-216.711*'BMP P Tracking Table'!$AT123-83.853*'BMP P Tracking Table'!$AS123-42.834*'BMP P Tracking Table'!$AR123)+SQRT((3630*'BMP P Tracking Table'!$AP123+20.691*'BMP P Tracking Table'!$AU123-216.711*'BMP P Tracking Table'!$AT123-83.853*'BMP P Tracking Table'!$AS123-42.834*'BMP P Tracking Table'!$AR123)^2-(4*(149.919*'BMP P Tracking Table'!$AR123+236.676*'BMP P Tracking Table'!$AS123+726*'BMP P Tracking Table'!$AT123+996.798*'BMP P Tracking Table'!$AU123)*-'BMP P Tracking Table'!$AX123)))/(2*(149.919*'BMP P Tracking Table'!$AR123+236.676*'BMP P Tracking Table'!$AS123+726*'BMP P Tracking Table'!$AT123+996.798*'BMP P Tracking Table'!$AU123))))),MIN(2,IF('BMP P Tracking Table'!$AQ123="Total Pervious",(-(3630*'BMP P Tracking Table'!$V123+20.691*'BMP P Tracking Table'!$AB123)+SQRT((3630*'BMP P Tracking Table'!$V123+20.691*'BMP P Tracking Table'!$AB123)^2-(4*(996.798*'BMP P Tracking Table'!$AB123)*-'BMP P Tracking Table'!$AX123)))/(2*(996.798*'BMP P Tracking Table'!$AB123)),IF(SUM('BMP P Tracking Table'!$X123:$AA123)=0,'BMP P Tracking Table'!$AX123/(-3630*'BMP P Tracking Table'!$V123),(-(3630*'BMP P Tracking Table'!$V123+20.691*'BMP P Tracking Table'!$AA123-216.711*'BMP P Tracking Table'!$Z123-83.853*'BMP P Tracking Table'!$Y123-42.834*'BMP P Tracking Table'!$X123)+SQRT((3630*'BMP P Tracking Table'!$V123+20.691*'BMP P Tracking Table'!$AA123-216.711*'BMP P Tracking Table'!$Z123-83.853*'BMP P Tracking Table'!$Y123-42.834*'BMP P Tracking Table'!$X123)^2-(4*(149.919*'BMP P Tracking Table'!$X123+236.676*'BMP P Tracking Table'!$Y123+726*'BMP P Tracking Table'!$Z123+996.798*'BMP P Tracking Table'!$AA123)*-'BMP P Tracking Table'!$AX123)))/(2*(149.919*'BMP P Tracking Table'!$X123+236.676*'BMP P Tracking Table'!$Y123+726*'BMP P Tracking Table'!$Z123+996.798*'BMP P Tracking Table'!$AA123)))))),"")</f>
        <v>0</v>
      </c>
      <c r="BB123" s="102" t="str">
        <f>IFERROR((VLOOKUP(CONCATENATE('BMP P Tracking Table'!$AW123," ",'BMP P Tracking Table'!$AY123),'Performance Curves'!$C$1:$L$46,_xlfn.SINGLE(MATCH('BMP P Tracking Table'!$BA123,'Performance Curves'!$D$1:$L$1,1))+2,FALSE)-VLOOKUP(CONCATENATE('BMP P Tracking Table'!$AW123," ",'BMP P Tracking Table'!$AY123),'Performance Curves'!$C$1:$L$46,_xlfn.SINGLE(MATCH('BMP P Tracking Table'!$BA123,'Performance Curves'!$D$1:$L$1,1))+1,FALSE)),"")</f>
        <v/>
      </c>
      <c r="BC123" s="102">
        <f>IFERROR(('BMP P Tracking Table'!$BA123-INDEX('Performance Curves'!$D$1:$L$1,1,MATCH('BMP P Tracking Table'!$BA123,'Performance Curves'!$D$1:$L$1,1)))/(INDEX('Performance Curves'!$D$1:$L$1,1,MATCH('BMP P Tracking Table'!$BA123,'Performance Curves'!$D$1:$L$1,1)+1)-INDEX('Performance Curves'!$D$1:$L$1,1,MATCH('BMP P Tracking Table'!$BA123,'Performance Curves'!$D$1:$L$1,1))),"")</f>
        <v>0</v>
      </c>
      <c r="BD123" s="103" t="str" cm="1">
        <f t="array" ref="BD123">IFERROR(IF('BMP P Tracking Table'!$BA123=2,VLOOKUP(CONCATENATE('BMP P Tracking Table'!$AW123," ",'BMP P Tracking Table'!$AY123),'Performance Curves'!$C$1:$L$44,_xlfn.SINGLE(MATCH('BMP P Tracking Table'!$BA123,'Performance Curves'!$D$1:$L$1,1))+1,FALSE),'BMP P Tracking Table'!$BB123*'BMP P Tracking Table'!$BC123+VLOOKUP(CONCATENATE('BMP P Tracking Table'!$AW123," ",'BMP P Tracking Table'!$AY123),'Performance Curves'!$C$1:$L$44,_xlfn.SINGLE(MATCH('BMP P Tracking Table'!$BA123,'Performance Curves'!$D$1:$L$1,1))+1,FALSE)),"")</f>
        <v/>
      </c>
      <c r="BE123" s="104" t="str">
        <f>IFERROR('BMP P Tracking Table'!$BD123*'BMP P Tracking Table'!$AZ123,"")</f>
        <v/>
      </c>
      <c r="BF123" s="98"/>
      <c r="BG123" s="37">
        <f t="shared" si="17"/>
        <v>0</v>
      </c>
      <c r="BI123" s="36" t="str">
        <f t="shared" si="7"/>
        <v>EX-WR-006</v>
      </c>
      <c r="BJ123" s="36" t="str">
        <f t="shared" si="8"/>
        <v>CB897 898 Hillside Ave drywells</v>
      </c>
      <c r="BK123" s="36" t="s">
        <v>807</v>
      </c>
      <c r="BP123" s="36" t="s">
        <v>874</v>
      </c>
      <c r="BQ123" s="36">
        <f t="shared" si="18"/>
        <v>1.2200000000000002</v>
      </c>
      <c r="BR123" s="36">
        <f t="shared" si="19"/>
        <v>0.78</v>
      </c>
      <c r="BS123" s="101">
        <f t="shared" si="20"/>
        <v>0.36065573770491804</v>
      </c>
      <c r="BT123" s="238">
        <f t="shared" si="21"/>
        <v>73636.363636363632</v>
      </c>
      <c r="BU123" s="238">
        <f t="shared" si="22"/>
        <v>64005.413255810403</v>
      </c>
    </row>
    <row r="124" spans="1:73">
      <c r="A124" s="36" t="s">
        <v>378</v>
      </c>
      <c r="B124" s="65" t="s">
        <v>720</v>
      </c>
      <c r="C124" s="65" t="s">
        <v>717</v>
      </c>
      <c r="D124" s="65" t="s">
        <v>327</v>
      </c>
      <c r="E124" s="65" t="s">
        <v>9</v>
      </c>
      <c r="F124" s="94"/>
      <c r="G124" s="94"/>
      <c r="H124" s="36" t="s">
        <v>378</v>
      </c>
      <c r="I124" s="65"/>
      <c r="J124" s="65" t="s">
        <v>66</v>
      </c>
      <c r="K124" s="95">
        <f>ROUNDUP((VLOOKUP($U124,Dropdowns!$G$3:$I$17, 3, FALSE))*$AC124,-2)</f>
        <v>50100</v>
      </c>
      <c r="L124" s="65" t="s">
        <v>49</v>
      </c>
      <c r="M124" s="65"/>
      <c r="N124" s="65"/>
      <c r="O124" s="65"/>
      <c r="P124" s="65"/>
      <c r="Q124" s="65" t="s">
        <v>119</v>
      </c>
      <c r="R124" s="65" t="s">
        <v>146</v>
      </c>
      <c r="S124" s="65" t="str">
        <f>IFERROR(VLOOKUP('BMP P Tracking Table'!$R124,Dropdowns!$Q$3:$R$23,2,FALSE),"")</f>
        <v>Main Lake</v>
      </c>
      <c r="T124" s="65" t="s">
        <v>66</v>
      </c>
      <c r="U124" s="65" t="s">
        <v>47</v>
      </c>
      <c r="V124" s="65">
        <f>0.4+0.31</f>
        <v>0.71</v>
      </c>
      <c r="W124" s="65" t="s">
        <v>220</v>
      </c>
      <c r="X124" s="65">
        <v>1</v>
      </c>
      <c r="Y124" s="65">
        <v>0</v>
      </c>
      <c r="Z124" s="65">
        <v>0</v>
      </c>
      <c r="AA124" s="65">
        <v>0</v>
      </c>
      <c r="AB124" s="65"/>
      <c r="AC124" s="97">
        <f>((1*(0.05+0.009*((V124/(V124+X124))*100)*(V124+X124))/12)*43560)</f>
        <v>2501.0700000000002</v>
      </c>
      <c r="AD124" s="65" t="s">
        <v>205</v>
      </c>
      <c r="AE124" s="104">
        <f>IFERROR('BMP P Tracking Table'!$V124*VLOOKUP('BMP P Tracking Table'!$R124,'Loading Rates'!$B$1:$L$24,4,FALSE)+IF('BMP P Tracking Table'!$W124="By HSG",'BMP P Tracking Table'!$X124*VLOOKUP('BMP P Tracking Table'!$R124,'Loading Rates'!$B$1:$L$24,6,FALSE)+'BMP P Tracking Table'!$Y124*VLOOKUP('BMP P Tracking Table'!$R124,'Loading Rates'!$B$1:$L$24,7,FALSE)+'BMP P Tracking Table'!$Z124*VLOOKUP('BMP P Tracking Table'!$R124,'Loading Rates'!$B$1:$L$24,8,FALSE)+'BMP P Tracking Table'!$AA124*VLOOKUP('BMP P Tracking Table'!$R124,'Loading Rates'!$B$1:$L$24,9,FALSE),'BMP P Tracking Table'!$AB124*VLOOKUP('BMP P Tracking Table'!$R124,'Loading Rates'!$B$1:$L$24,10,FALSE)),"")</f>
        <v>0.81306999999999996</v>
      </c>
      <c r="AF124" s="104">
        <f>IFERROR(MIN(2,IF('BMP P Tracking Table'!$W124="Total Pervious",(-(3630*'BMP P Tracking Table'!$V124+20.691*'BMP P Tracking Table'!$AB124)+SQRT((3630*'BMP P Tracking Table'!$V124+20.691*'BMP P Tracking Table'!$AB124)^2-(4*(996.798*'BMP P Tracking Table'!$AB124)*-'BMP P Tracking Table'!$AC124)))/(2*(996.798*'BMP P Tracking Table'!$AB124)),IF(SUM('BMP P Tracking Table'!$X124:$AA124)=0,'BMP P Tracking Table'!$AC124/(-3630*'BMP P Tracking Table'!$V124),(-(3630*'BMP P Tracking Table'!$V124+20.691*'BMP P Tracking Table'!$AA124-216.711*'BMP P Tracking Table'!$Z124-83.853*'BMP P Tracking Table'!$Y124-42.834*'BMP P Tracking Table'!$X124)+SQRT((3630*'BMP P Tracking Table'!$V124+20.691*'BMP P Tracking Table'!$AA124-216.711*'BMP P Tracking Table'!$Z124-83.853*'BMP P Tracking Table'!$Y124-42.834*'BMP P Tracking Table'!$X124)^2-(4*(149.919*'BMP P Tracking Table'!$X124+236.676*'BMP P Tracking Table'!$Y124+726*'BMP P Tracking Table'!$Z124+996.798*'BMP P Tracking Table'!$AA124)*-'BMP P Tracking Table'!$AC124)))/(2*(149.919*'BMP P Tracking Table'!$X124+236.676*'BMP P Tracking Table'!$Y124+726*'BMP P Tracking Table'!$Z124+996.798*'BMP P Tracking Table'!$AA124))))),"")</f>
        <v>0.9350999535579354</v>
      </c>
      <c r="AG124" s="104">
        <f>IFERROR((VLOOKUP(CONCATENATE('BMP P Tracking Table'!$U124," ",'BMP P Tracking Table'!$AD124),'Performance Curves'!$C$1:$L$46,_xlfn.SINGLE(MATCH('BMP P Tracking Table'!$AF124,'Performance Curves'!$D$1:$L$1,1))+2,FALSE)-VLOOKUP(CONCATENATE('BMP P Tracking Table'!$U124," ",'BMP P Tracking Table'!$AD124),'Performance Curves'!$C$1:$L$46,_xlfn.SINGLE(MATCH('BMP P Tracking Table'!$AF124,'Performance Curves'!$D$1:$L$1,1))+1,FALSE)),"")</f>
        <v>1.0000000000000009E-2</v>
      </c>
      <c r="AH124" s="104">
        <f>IFERROR(('BMP P Tracking Table'!$AF124-INDEX('Performance Curves'!$D$1:$L$1,1,MATCH('BMP P Tracking Table'!$AF124,'Performance Curves'!$D$1:$L$1,1)))/(INDEX('Performance Curves'!$D$1:$L$1,1,MATCH('BMP P Tracking Table'!$AF124,'Performance Curves'!$D$1:$L$1,1)+1)-INDEX('Performance Curves'!$D$1:$L$1,1,MATCH('BMP P Tracking Table'!$AF124,'Performance Curves'!$D$1:$L$1,1))),"")</f>
        <v>0.67549976778967691</v>
      </c>
      <c r="AI124" s="103">
        <f>IFERROR(IF('BMP P Tracking Table'!$AF124=2,VLOOKUP(CONCATENATE('BMP P Tracking Table'!$U124," ",'BMP P Tracking Table'!$AD124),'Performance Curves'!$C$1:$L$46,_xlfn.SINGLE(MATCH('BMP P Tracking Table'!$AF124,'Performance Curves'!$D$1:$L$1,1))+1,FALSE),'BMP P Tracking Table'!$AG124*'BMP P Tracking Table'!$AH124+VLOOKUP(CONCATENATE('BMP P Tracking Table'!$U124," ",'BMP P Tracking Table'!$AD124),'Performance Curves'!$C$1:$L$46,_xlfn.SINGLE(MATCH('BMP P Tracking Table'!$AF124,'Performance Curves'!$D$1:$L$1,1))+1,FALSE)),"")</f>
        <v>0.99675499767789677</v>
      </c>
      <c r="AJ124" s="104">
        <f>IFERROR('BMP P Tracking Table'!$AI124*'BMP P Tracking Table'!$AE124,"")</f>
        <v>0.81043158596196752</v>
      </c>
      <c r="AK124" s="65"/>
      <c r="AL124" s="98" t="s">
        <v>62</v>
      </c>
      <c r="AM124" s="98"/>
      <c r="AN124" s="64">
        <v>1</v>
      </c>
      <c r="AO124" s="102">
        <f t="shared" si="16"/>
        <v>0.81043158596196752</v>
      </c>
      <c r="AP124" s="98"/>
      <c r="AQ124" s="98"/>
      <c r="AR124" s="98"/>
      <c r="AS124" s="98"/>
      <c r="AT124" s="98"/>
      <c r="AU124" s="98"/>
      <c r="AV124" s="98"/>
      <c r="AW124" s="65"/>
      <c r="AX124" s="99"/>
      <c r="AY124" s="99"/>
      <c r="AZ124" s="104" t="str">
        <f>IF('BMP P Tracking Table'!$AL124="Yes",IF('BMP P Tracking Table'!$AM124="No",'BMP P Tracking Table'!$V124*VLOOKUP('BMP P Tracking Table'!$R124,'Loading Rates'!$B$1:$L$24,4,FALSE)+IF('BMP P Tracking Table'!$W124="By HSG",'BMP P Tracking Table'!$X124*VLOOKUP('BMP P Tracking Table'!$R124,'Loading Rates'!$B$1:$L$24,6,FALSE)+'BMP P Tracking Table'!$Y124*VLOOKUP('BMP P Tracking Table'!$R124,'Loading Rates'!$B$1:$L$24,7,FALSE)+'BMP P Tracking Table'!$Z124*VLOOKUP('BMP P Tracking Table'!$R124,'Loading Rates'!$B$1:$L$24,8,FALSE)+'BMP P Tracking Table'!$AA124*VLOOKUP('BMP P Tracking Table'!$R124,'Loading Rates'!$B$1:$L$24,9,FALSE),'BMP P Tracking Table'!$AB124*VLOOKUP('BMP P Tracking Table'!$R124,'Loading Rates'!$B$1:$L$24,10,FALSE)),'BMP P Tracking Table'!$AP124*VLOOKUP('BMP P Tracking Table'!$R124,'Loading Rates'!$B$1:$L$24,4,FALSE)+IF('BMP P Tracking Table'!$AQ124="By HSG",'BMP P Tracking Table'!$AR124*VLOOKUP('BMP P Tracking Table'!$R124,'Loading Rates'!$B$1:$L$24,6,FALSE)+'BMP P Tracking Table'!$AS124*VLOOKUP('BMP P Tracking Table'!$R124,'Loading Rates'!$B$1:$L$24,7,FALSE)+'BMP P Tracking Table'!$AT124*VLOOKUP('BMP P Tracking Table'!$R124,'Loading Rates'!$B$1:$L$24,8,FALSE)+'BMP P Tracking Table'!$AU124*VLOOKUP('BMP P Tracking Table'!$R124,'Loading Rates'!$B$1:$L$24,9,FALSE),'BMP P Tracking Table'!$AV124*VLOOKUP('BMP P Tracking Table'!$R124,'Loading Rates'!$B$1:$L$24,10,FALSE))),"")</f>
        <v/>
      </c>
      <c r="BA124" s="104">
        <f>IFERROR(IF('BMP P Tracking Table'!$AM124="Yes",MIN(2,IF('BMP P Tracking Table'!$AQ124="Total Pervious",(-(3630*'BMP P Tracking Table'!$AP124+20.691*'BMP P Tracking Table'!$AV124)+SQRT((3630*'BMP P Tracking Table'!$AP124+20.691*'BMP P Tracking Table'!$AV124)^2-(4*(996.798*'BMP P Tracking Table'!$AV124)*-'BMP P Tracking Table'!$AX124)))/(2*(996.798*'BMP P Tracking Table'!$AV124)),IF(SUM('BMP P Tracking Table'!$AR124:$AU124)=0,'BMP P Tracking Table'!$AV124/(-3630*'BMP P Tracking Table'!$AP124),(-(3630*'BMP P Tracking Table'!$AP124+20.691*'BMP P Tracking Table'!$AU124-216.711*'BMP P Tracking Table'!$AT124-83.853*'BMP P Tracking Table'!$AS124-42.834*'BMP P Tracking Table'!$AR124)+SQRT((3630*'BMP P Tracking Table'!$AP124+20.691*'BMP P Tracking Table'!$AU124-216.711*'BMP P Tracking Table'!$AT124-83.853*'BMP P Tracking Table'!$AS124-42.834*'BMP P Tracking Table'!$AR124)^2-(4*(149.919*'BMP P Tracking Table'!$AR124+236.676*'BMP P Tracking Table'!$AS124+726*'BMP P Tracking Table'!$AT124+996.798*'BMP P Tracking Table'!$AU124)*-'BMP P Tracking Table'!$AX124)))/(2*(149.919*'BMP P Tracking Table'!$AR124+236.676*'BMP P Tracking Table'!$AS124+726*'BMP P Tracking Table'!$AT124+996.798*'BMP P Tracking Table'!$AU124))))),MIN(2,IF('BMP P Tracking Table'!$AQ124="Total Pervious",(-(3630*'BMP P Tracking Table'!$V124+20.691*'BMP P Tracking Table'!$AB124)+SQRT((3630*'BMP P Tracking Table'!$V124+20.691*'BMP P Tracking Table'!$AB124)^2-(4*(996.798*'BMP P Tracking Table'!$AB124)*-'BMP P Tracking Table'!$AX124)))/(2*(996.798*'BMP P Tracking Table'!$AB124)),IF(SUM('BMP P Tracking Table'!$X124:$AA124)=0,'BMP P Tracking Table'!$AX124/(-3630*'BMP P Tracking Table'!$V124),(-(3630*'BMP P Tracking Table'!$V124+20.691*'BMP P Tracking Table'!$AA124-216.711*'BMP P Tracking Table'!$Z124-83.853*'BMP P Tracking Table'!$Y124-42.834*'BMP P Tracking Table'!$X124)+SQRT((3630*'BMP P Tracking Table'!$V124+20.691*'BMP P Tracking Table'!$AA124-216.711*'BMP P Tracking Table'!$Z124-83.853*'BMP P Tracking Table'!$Y124-42.834*'BMP P Tracking Table'!$X124)^2-(4*(149.919*'BMP P Tracking Table'!$X124+236.676*'BMP P Tracking Table'!$Y124+726*'BMP P Tracking Table'!$Z124+996.798*'BMP P Tracking Table'!$AA124)*-'BMP P Tracking Table'!$AX124)))/(2*(149.919*'BMP P Tracking Table'!$X124+236.676*'BMP P Tracking Table'!$Y124+726*'BMP P Tracking Table'!$Z124+996.798*'BMP P Tracking Table'!$AA124)))))),"")</f>
        <v>0</v>
      </c>
      <c r="BB124" s="102" t="str">
        <f>IFERROR((VLOOKUP(CONCATENATE('BMP P Tracking Table'!$AW124," ",'BMP P Tracking Table'!$AY124),'Performance Curves'!$C$1:$L$46,_xlfn.SINGLE(MATCH('BMP P Tracking Table'!$BA124,'Performance Curves'!$D$1:$L$1,1))+2,FALSE)-VLOOKUP(CONCATENATE('BMP P Tracking Table'!$AW124," ",'BMP P Tracking Table'!$AY124),'Performance Curves'!$C$1:$L$46,_xlfn.SINGLE(MATCH('BMP P Tracking Table'!$BA124,'Performance Curves'!$D$1:$L$1,1))+1,FALSE)),"")</f>
        <v/>
      </c>
      <c r="BC124" s="102">
        <f>IFERROR(('BMP P Tracking Table'!$BA124-INDEX('Performance Curves'!$D$1:$L$1,1,MATCH('BMP P Tracking Table'!$BA124,'Performance Curves'!$D$1:$L$1,1)))/(INDEX('Performance Curves'!$D$1:$L$1,1,MATCH('BMP P Tracking Table'!$BA124,'Performance Curves'!$D$1:$L$1,1)+1)-INDEX('Performance Curves'!$D$1:$L$1,1,MATCH('BMP P Tracking Table'!$BA124,'Performance Curves'!$D$1:$L$1,1))),"")</f>
        <v>0</v>
      </c>
      <c r="BD124" s="103" t="str" cm="1">
        <f t="array" ref="BD124">IFERROR(IF('BMP P Tracking Table'!$BA124=2,VLOOKUP(CONCATENATE('BMP P Tracking Table'!$AW124," ",'BMP P Tracking Table'!$AY124),'Performance Curves'!$C$1:$L$44,_xlfn.SINGLE(MATCH('BMP P Tracking Table'!$BA124,'Performance Curves'!$D$1:$L$1,1))+1,FALSE),'BMP P Tracking Table'!$BB124*'BMP P Tracking Table'!$BC124+VLOOKUP(CONCATENATE('BMP P Tracking Table'!$AW124," ",'BMP P Tracking Table'!$AY124),'Performance Curves'!$C$1:$L$44,_xlfn.SINGLE(MATCH('BMP P Tracking Table'!$BA124,'Performance Curves'!$D$1:$L$1,1))+1,FALSE)),"")</f>
        <v/>
      </c>
      <c r="BE124" s="104" t="str">
        <f>IFERROR('BMP P Tracking Table'!$BD124*'BMP P Tracking Table'!$AZ124,"")</f>
        <v/>
      </c>
      <c r="BF124" s="98"/>
      <c r="BG124" s="37">
        <f t="shared" si="17"/>
        <v>0</v>
      </c>
      <c r="BI124" s="36" t="str">
        <f t="shared" si="7"/>
        <v>EX-WR-005</v>
      </c>
      <c r="BJ124" s="36" t="str">
        <f t="shared" si="8"/>
        <v>CB892 893 894 895 Saxonhollow Hillside drywells</v>
      </c>
      <c r="BK124" s="36" t="s">
        <v>807</v>
      </c>
      <c r="BP124" s="36" t="s">
        <v>874</v>
      </c>
      <c r="BQ124" s="36">
        <f t="shared" si="18"/>
        <v>1.71</v>
      </c>
      <c r="BR124" s="36">
        <f t="shared" si="19"/>
        <v>1</v>
      </c>
      <c r="BS124" s="101">
        <f t="shared" si="20"/>
        <v>0.41520467836257308</v>
      </c>
      <c r="BT124" s="238">
        <f t="shared" si="21"/>
        <v>70563.380281690144</v>
      </c>
      <c r="BU124" s="238">
        <f t="shared" si="22"/>
        <v>61818.913363960528</v>
      </c>
    </row>
    <row r="125" spans="1:73">
      <c r="A125" s="36" t="s">
        <v>707</v>
      </c>
      <c r="B125" s="65" t="s">
        <v>724</v>
      </c>
      <c r="C125" s="65" t="s">
        <v>703</v>
      </c>
      <c r="D125" s="65" t="s">
        <v>327</v>
      </c>
      <c r="E125" s="65" t="s">
        <v>9</v>
      </c>
      <c r="F125" s="94"/>
      <c r="G125" s="94"/>
      <c r="H125" s="65"/>
      <c r="I125" s="65"/>
      <c r="J125" s="65" t="s">
        <v>66</v>
      </c>
      <c r="K125" s="95">
        <f>ROUNDUP((VLOOKUP($U125,Dropdowns!$G$3:$I$17, 3, FALSE))*$AC125,-2)</f>
        <v>54000</v>
      </c>
      <c r="L125" s="65" t="s">
        <v>49</v>
      </c>
      <c r="M125" s="65"/>
      <c r="N125" s="65"/>
      <c r="O125" s="65"/>
      <c r="P125" s="65"/>
      <c r="Q125" s="65" t="s">
        <v>119</v>
      </c>
      <c r="R125" s="65" t="s">
        <v>146</v>
      </c>
      <c r="S125" s="65" t="str">
        <f>IFERROR(VLOOKUP('BMP P Tracking Table'!$R125,Dropdowns!$Q$3:$R$23,2,FALSE),"")</f>
        <v>Main Lake</v>
      </c>
      <c r="T125" s="65" t="s">
        <v>66</v>
      </c>
      <c r="U125" s="65" t="s">
        <v>47</v>
      </c>
      <c r="V125" s="65">
        <f>0.22+0.55</f>
        <v>0.77</v>
      </c>
      <c r="W125" s="65" t="s">
        <v>220</v>
      </c>
      <c r="X125" s="65">
        <v>1.22</v>
      </c>
      <c r="Y125" s="65">
        <v>0</v>
      </c>
      <c r="Z125" s="65">
        <v>0</v>
      </c>
      <c r="AA125" s="65">
        <v>0</v>
      </c>
      <c r="AB125" s="65"/>
      <c r="AC125" s="97">
        <f>((1*(0.05+0.009*((V125/(V125+X125))*100)*(V125+X125))/12)*43560)</f>
        <v>2697.09</v>
      </c>
      <c r="AD125" s="65" t="s">
        <v>205</v>
      </c>
      <c r="AE125" s="104">
        <f>IFERROR('BMP P Tracking Table'!$V125*VLOOKUP('BMP P Tracking Table'!$R125,'Loading Rates'!$B$1:$L$24,4,FALSE)+IF('BMP P Tracking Table'!$W125="By HSG",'BMP P Tracking Table'!$X125*VLOOKUP('BMP P Tracking Table'!$R125,'Loading Rates'!$B$1:$L$24,6,FALSE)+'BMP P Tracking Table'!$Y125*VLOOKUP('BMP P Tracking Table'!$R125,'Loading Rates'!$B$1:$L$24,7,FALSE)+'BMP P Tracking Table'!$Z125*VLOOKUP('BMP P Tracking Table'!$R125,'Loading Rates'!$B$1:$L$24,8,FALSE)+'BMP P Tracking Table'!$AA125*VLOOKUP('BMP P Tracking Table'!$R125,'Loading Rates'!$B$1:$L$24,9,FALSE),'BMP P Tracking Table'!$AB125*VLOOKUP('BMP P Tracking Table'!$R125,'Loading Rates'!$B$1:$L$24,10,FALSE)),"")</f>
        <v>0.88449</v>
      </c>
      <c r="AF125" s="104">
        <f>IFERROR(MIN(2,IF('BMP P Tracking Table'!$W125="Total Pervious",(-(3630*'BMP P Tracking Table'!$V125+20.691*'BMP P Tracking Table'!$AB125)+SQRT((3630*'BMP P Tracking Table'!$V125+20.691*'BMP P Tracking Table'!$AB125)^2-(4*(996.798*'BMP P Tracking Table'!$AB125)*-'BMP P Tracking Table'!$AC125)))/(2*(996.798*'BMP P Tracking Table'!$AB125)),IF(SUM('BMP P Tracking Table'!$X125:$AA125)=0,'BMP P Tracking Table'!$AC125/(-3630*'BMP P Tracking Table'!$V125),(-(3630*'BMP P Tracking Table'!$V125+20.691*'BMP P Tracking Table'!$AA125-216.711*'BMP P Tracking Table'!$Z125-83.853*'BMP P Tracking Table'!$Y125-42.834*'BMP P Tracking Table'!$X125)+SQRT((3630*'BMP P Tracking Table'!$V125+20.691*'BMP P Tracking Table'!$AA125-216.711*'BMP P Tracking Table'!$Z125-83.853*'BMP P Tracking Table'!$Y125-42.834*'BMP P Tracking Table'!$X125)^2-(4*(149.919*'BMP P Tracking Table'!$X125+236.676*'BMP P Tracking Table'!$Y125+726*'BMP P Tracking Table'!$Z125+996.798*'BMP P Tracking Table'!$AA125)*-'BMP P Tracking Table'!$AC125)))/(2*(149.919*'BMP P Tracking Table'!$X125+236.676*'BMP P Tracking Table'!$Y125+726*'BMP P Tracking Table'!$Z125+996.798*'BMP P Tracking Table'!$AA125))))),"")</f>
        <v>0.92612475806965344</v>
      </c>
      <c r="AG125" s="104">
        <f>IFERROR((VLOOKUP(CONCATENATE('BMP P Tracking Table'!$U125," ",'BMP P Tracking Table'!$AD125),'Performance Curves'!$C$1:$L$46,_xlfn.SINGLE(MATCH('BMP P Tracking Table'!$AF125,'Performance Curves'!$D$1:$L$1,1))+2,FALSE)-VLOOKUP(CONCATENATE('BMP P Tracking Table'!$U125," ",'BMP P Tracking Table'!$AD125),'Performance Curves'!$C$1:$L$46,_xlfn.SINGLE(MATCH('BMP P Tracking Table'!$AF125,'Performance Curves'!$D$1:$L$1,1))+1,FALSE)),"")</f>
        <v>1.0000000000000009E-2</v>
      </c>
      <c r="AH125" s="104">
        <f>IFERROR(('BMP P Tracking Table'!$AF125-INDEX('Performance Curves'!$D$1:$L$1,1,MATCH('BMP P Tracking Table'!$AF125,'Performance Curves'!$D$1:$L$1,1)))/(INDEX('Performance Curves'!$D$1:$L$1,1,MATCH('BMP P Tracking Table'!$AF125,'Performance Curves'!$D$1:$L$1,1)+1)-INDEX('Performance Curves'!$D$1:$L$1,1,MATCH('BMP P Tracking Table'!$AF125,'Performance Curves'!$D$1:$L$1,1))),"")</f>
        <v>0.6306237903482671</v>
      </c>
      <c r="AI125" s="103">
        <f>IFERROR(IF('BMP P Tracking Table'!$AF125=2,VLOOKUP(CONCATENATE('BMP P Tracking Table'!$U125," ",'BMP P Tracking Table'!$AD125),'Performance Curves'!$C$1:$L$46,_xlfn.SINGLE(MATCH('BMP P Tracking Table'!$AF125,'Performance Curves'!$D$1:$L$1,1))+1,FALSE),'BMP P Tracking Table'!$AG125*'BMP P Tracking Table'!$AH125+VLOOKUP(CONCATENATE('BMP P Tracking Table'!$U125," ",'BMP P Tracking Table'!$AD125),'Performance Curves'!$C$1:$L$46,_xlfn.SINGLE(MATCH('BMP P Tracking Table'!$AF125,'Performance Curves'!$D$1:$L$1,1))+1,FALSE)),"")</f>
        <v>0.99630623790348272</v>
      </c>
      <c r="AJ125" s="104">
        <f>IFERROR('BMP P Tracking Table'!$AI125*'BMP P Tracking Table'!$AE125,"")</f>
        <v>0.88122290436325146</v>
      </c>
      <c r="AK125" s="65"/>
      <c r="AL125" s="98" t="s">
        <v>62</v>
      </c>
      <c r="AM125" s="98"/>
      <c r="AN125" s="64">
        <v>1</v>
      </c>
      <c r="AO125" s="102">
        <f t="shared" si="16"/>
        <v>0.88122290436325146</v>
      </c>
      <c r="AP125" s="98"/>
      <c r="AQ125" s="98"/>
      <c r="AR125" s="98"/>
      <c r="AS125" s="98"/>
      <c r="AT125" s="98"/>
      <c r="AU125" s="98"/>
      <c r="AV125" s="98"/>
      <c r="AW125" s="65"/>
      <c r="AX125" s="99"/>
      <c r="AY125" s="99"/>
      <c r="AZ125" s="104" t="str">
        <f>IF('BMP P Tracking Table'!$AL125="Yes",IF('BMP P Tracking Table'!$AM125="No",'BMP P Tracking Table'!$V125*VLOOKUP('BMP P Tracking Table'!$R125,'Loading Rates'!$B$1:$L$24,4,FALSE)+IF('BMP P Tracking Table'!$W125="By HSG",'BMP P Tracking Table'!$X125*VLOOKUP('BMP P Tracking Table'!$R125,'Loading Rates'!$B$1:$L$24,6,FALSE)+'BMP P Tracking Table'!$Y125*VLOOKUP('BMP P Tracking Table'!$R125,'Loading Rates'!$B$1:$L$24,7,FALSE)+'BMP P Tracking Table'!$Z125*VLOOKUP('BMP P Tracking Table'!$R125,'Loading Rates'!$B$1:$L$24,8,FALSE)+'BMP P Tracking Table'!$AA125*VLOOKUP('BMP P Tracking Table'!$R125,'Loading Rates'!$B$1:$L$24,9,FALSE),'BMP P Tracking Table'!$AB125*VLOOKUP('BMP P Tracking Table'!$R125,'Loading Rates'!$B$1:$L$24,10,FALSE)),'BMP P Tracking Table'!$AP125*VLOOKUP('BMP P Tracking Table'!$R125,'Loading Rates'!$B$1:$L$24,4,FALSE)+IF('BMP P Tracking Table'!$AQ125="By HSG",'BMP P Tracking Table'!$AR125*VLOOKUP('BMP P Tracking Table'!$R125,'Loading Rates'!$B$1:$L$24,6,FALSE)+'BMP P Tracking Table'!$AS125*VLOOKUP('BMP P Tracking Table'!$R125,'Loading Rates'!$B$1:$L$24,7,FALSE)+'BMP P Tracking Table'!$AT125*VLOOKUP('BMP P Tracking Table'!$R125,'Loading Rates'!$B$1:$L$24,8,FALSE)+'BMP P Tracking Table'!$AU125*VLOOKUP('BMP P Tracking Table'!$R125,'Loading Rates'!$B$1:$L$24,9,FALSE),'BMP P Tracking Table'!$AV125*VLOOKUP('BMP P Tracking Table'!$R125,'Loading Rates'!$B$1:$L$24,10,FALSE))),"")</f>
        <v/>
      </c>
      <c r="BA125" s="104">
        <f>IFERROR(IF('BMP P Tracking Table'!$AM125="Yes",MIN(2,IF('BMP P Tracking Table'!$AQ125="Total Pervious",(-(3630*'BMP P Tracking Table'!$AP125+20.691*'BMP P Tracking Table'!$AV125)+SQRT((3630*'BMP P Tracking Table'!$AP125+20.691*'BMP P Tracking Table'!$AV125)^2-(4*(996.798*'BMP P Tracking Table'!$AV125)*-'BMP P Tracking Table'!$AX125)))/(2*(996.798*'BMP P Tracking Table'!$AV125)),IF(SUM('BMP P Tracking Table'!$AR125:$AU125)=0,'BMP P Tracking Table'!$AV125/(-3630*'BMP P Tracking Table'!$AP125),(-(3630*'BMP P Tracking Table'!$AP125+20.691*'BMP P Tracking Table'!$AU125-216.711*'BMP P Tracking Table'!$AT125-83.853*'BMP P Tracking Table'!$AS125-42.834*'BMP P Tracking Table'!$AR125)+SQRT((3630*'BMP P Tracking Table'!$AP125+20.691*'BMP P Tracking Table'!$AU125-216.711*'BMP P Tracking Table'!$AT125-83.853*'BMP P Tracking Table'!$AS125-42.834*'BMP P Tracking Table'!$AR125)^2-(4*(149.919*'BMP P Tracking Table'!$AR125+236.676*'BMP P Tracking Table'!$AS125+726*'BMP P Tracking Table'!$AT125+996.798*'BMP P Tracking Table'!$AU125)*-'BMP P Tracking Table'!$AX125)))/(2*(149.919*'BMP P Tracking Table'!$AR125+236.676*'BMP P Tracking Table'!$AS125+726*'BMP P Tracking Table'!$AT125+996.798*'BMP P Tracking Table'!$AU125))))),MIN(2,IF('BMP P Tracking Table'!$AQ125="Total Pervious",(-(3630*'BMP P Tracking Table'!$V125+20.691*'BMP P Tracking Table'!$AB125)+SQRT((3630*'BMP P Tracking Table'!$V125+20.691*'BMP P Tracking Table'!$AB125)^2-(4*(996.798*'BMP P Tracking Table'!$AB125)*-'BMP P Tracking Table'!$AX125)))/(2*(996.798*'BMP P Tracking Table'!$AB125)),IF(SUM('BMP P Tracking Table'!$X125:$AA125)=0,'BMP P Tracking Table'!$AX125/(-3630*'BMP P Tracking Table'!$V125),(-(3630*'BMP P Tracking Table'!$V125+20.691*'BMP P Tracking Table'!$AA125-216.711*'BMP P Tracking Table'!$Z125-83.853*'BMP P Tracking Table'!$Y125-42.834*'BMP P Tracking Table'!$X125)+SQRT((3630*'BMP P Tracking Table'!$V125+20.691*'BMP P Tracking Table'!$AA125-216.711*'BMP P Tracking Table'!$Z125-83.853*'BMP P Tracking Table'!$Y125-42.834*'BMP P Tracking Table'!$X125)^2-(4*(149.919*'BMP P Tracking Table'!$X125+236.676*'BMP P Tracking Table'!$Y125+726*'BMP P Tracking Table'!$Z125+996.798*'BMP P Tracking Table'!$AA125)*-'BMP P Tracking Table'!$AX125)))/(2*(149.919*'BMP P Tracking Table'!$X125+236.676*'BMP P Tracking Table'!$Y125+726*'BMP P Tracking Table'!$Z125+996.798*'BMP P Tracking Table'!$AA125)))))),"")</f>
        <v>0</v>
      </c>
      <c r="BB125" s="102" t="str">
        <f>IFERROR((VLOOKUP(CONCATENATE('BMP P Tracking Table'!$AW125," ",'BMP P Tracking Table'!$AY125),'Performance Curves'!$C$1:$L$46,_xlfn.SINGLE(MATCH('BMP P Tracking Table'!$BA125,'Performance Curves'!$D$1:$L$1,1))+2,FALSE)-VLOOKUP(CONCATENATE('BMP P Tracking Table'!$AW125," ",'BMP P Tracking Table'!$AY125),'Performance Curves'!$C$1:$L$46,_xlfn.SINGLE(MATCH('BMP P Tracking Table'!$BA125,'Performance Curves'!$D$1:$L$1,1))+1,FALSE)),"")</f>
        <v/>
      </c>
      <c r="BC125" s="102">
        <f>IFERROR(('BMP P Tracking Table'!$BA125-INDEX('Performance Curves'!$D$1:$L$1,1,MATCH('BMP P Tracking Table'!$BA125,'Performance Curves'!$D$1:$L$1,1)))/(INDEX('Performance Curves'!$D$1:$L$1,1,MATCH('BMP P Tracking Table'!$BA125,'Performance Curves'!$D$1:$L$1,1)+1)-INDEX('Performance Curves'!$D$1:$L$1,1,MATCH('BMP P Tracking Table'!$BA125,'Performance Curves'!$D$1:$L$1,1))),"")</f>
        <v>0</v>
      </c>
      <c r="BD125" s="103" t="str" cm="1">
        <f t="array" ref="BD125">IFERROR(IF('BMP P Tracking Table'!$BA125=2,VLOOKUP(CONCATENATE('BMP P Tracking Table'!$AW125," ",'BMP P Tracking Table'!$AY125),'Performance Curves'!$C$1:$L$44,_xlfn.SINGLE(MATCH('BMP P Tracking Table'!$BA125,'Performance Curves'!$D$1:$L$1,1))+1,FALSE),'BMP P Tracking Table'!$BB125*'BMP P Tracking Table'!$BC125+VLOOKUP(CONCATENATE('BMP P Tracking Table'!$AW125," ",'BMP P Tracking Table'!$AY125),'Performance Curves'!$C$1:$L$44,_xlfn.SINGLE(MATCH('BMP P Tracking Table'!$BA125,'Performance Curves'!$D$1:$L$1,1))+1,FALSE)),"")</f>
        <v/>
      </c>
      <c r="BE125" s="104" t="str">
        <f>IFERROR('BMP P Tracking Table'!$BD125*'BMP P Tracking Table'!$AZ125,"")</f>
        <v/>
      </c>
      <c r="BF125" s="98"/>
      <c r="BG125" s="37">
        <f t="shared" si="17"/>
        <v>0</v>
      </c>
      <c r="BI125" s="36" t="str">
        <f t="shared" si="7"/>
        <v>EX-WR-009</v>
      </c>
      <c r="BJ125" s="36" t="str">
        <f t="shared" si="8"/>
        <v>CB957-960 Greenbriar Dr drywells</v>
      </c>
      <c r="BL125" s="36" t="s">
        <v>833</v>
      </c>
      <c r="BM125" s="36" t="s">
        <v>835</v>
      </c>
      <c r="BN125" s="36" t="s">
        <v>831</v>
      </c>
      <c r="BO125" s="36" t="s">
        <v>819</v>
      </c>
      <c r="BP125" s="36" t="s">
        <v>874</v>
      </c>
      <c r="BQ125" s="36">
        <f t="shared" si="18"/>
        <v>1.99</v>
      </c>
      <c r="BR125" s="36">
        <f t="shared" si="19"/>
        <v>1.22</v>
      </c>
      <c r="BS125" s="101">
        <f t="shared" si="20"/>
        <v>0.38693467336683418</v>
      </c>
      <c r="BT125" s="238">
        <f t="shared" si="21"/>
        <v>70129.870129870134</v>
      </c>
      <c r="BU125" s="238">
        <f t="shared" si="22"/>
        <v>61278.479863183973</v>
      </c>
    </row>
    <row r="126" spans="1:73">
      <c r="A126" s="36" t="s">
        <v>706</v>
      </c>
      <c r="B126" s="65" t="s">
        <v>723</v>
      </c>
      <c r="C126" s="65" t="s">
        <v>704</v>
      </c>
      <c r="D126" s="65" t="s">
        <v>327</v>
      </c>
      <c r="E126" s="65" t="s">
        <v>9</v>
      </c>
      <c r="F126" s="94"/>
      <c r="G126" s="94"/>
      <c r="H126" s="65"/>
      <c r="I126" s="65"/>
      <c r="J126" s="65" t="s">
        <v>66</v>
      </c>
      <c r="K126" s="95">
        <f>ROUNDUP((VLOOKUP($U126,Dropdowns!$G$3:$I$17, 3, FALSE))*$AC126,-2)</f>
        <v>60500</v>
      </c>
      <c r="L126" s="65" t="s">
        <v>49</v>
      </c>
      <c r="M126" s="65"/>
      <c r="N126" s="65"/>
      <c r="O126" s="65"/>
      <c r="P126" s="65"/>
      <c r="Q126" s="65" t="s">
        <v>119</v>
      </c>
      <c r="R126" s="65" t="s">
        <v>146</v>
      </c>
      <c r="S126" s="65" t="str">
        <f>IFERROR(VLOOKUP('BMP P Tracking Table'!$R126,Dropdowns!$Q$3:$R$23,2,FALSE),"")</f>
        <v>Main Lake</v>
      </c>
      <c r="T126" s="65" t="s">
        <v>66</v>
      </c>
      <c r="U126" s="65" t="s">
        <v>47</v>
      </c>
      <c r="V126" s="65">
        <f>0.24+0.63</f>
        <v>0.87</v>
      </c>
      <c r="W126" s="65" t="s">
        <v>220</v>
      </c>
      <c r="X126" s="65">
        <v>2.4900000000000002</v>
      </c>
      <c r="Y126" s="65">
        <v>0</v>
      </c>
      <c r="Z126" s="65">
        <v>0</v>
      </c>
      <c r="AA126" s="65">
        <v>0</v>
      </c>
      <c r="AB126" s="65"/>
      <c r="AC126" s="97">
        <f>((1*(0.05+0.009*((V126/(V126+X126))*100)*(V126+X126))/12)*43560)</f>
        <v>3023.79</v>
      </c>
      <c r="AD126" s="65" t="s">
        <v>205</v>
      </c>
      <c r="AE126" s="104">
        <f>IFERROR('BMP P Tracking Table'!$V126*VLOOKUP('BMP P Tracking Table'!$R126,'Loading Rates'!$B$1:$L$24,4,FALSE)+IF('BMP P Tracking Table'!$W126="By HSG",'BMP P Tracking Table'!$X126*VLOOKUP('BMP P Tracking Table'!$R126,'Loading Rates'!$B$1:$L$24,6,FALSE)+'BMP P Tracking Table'!$Y126*VLOOKUP('BMP P Tracking Table'!$R126,'Loading Rates'!$B$1:$L$24,7,FALSE)+'BMP P Tracking Table'!$Z126*VLOOKUP('BMP P Tracking Table'!$R126,'Loading Rates'!$B$1:$L$24,8,FALSE)+'BMP P Tracking Table'!$AA126*VLOOKUP('BMP P Tracking Table'!$R126,'Loading Rates'!$B$1:$L$24,9,FALSE),'BMP P Tracking Table'!$AB126*VLOOKUP('BMP P Tracking Table'!$R126,'Loading Rates'!$B$1:$L$24,10,FALSE)),"")</f>
        <v>1.02159</v>
      </c>
      <c r="AF126" s="104">
        <f>IFERROR(MIN(2,IF('BMP P Tracking Table'!$W126="Total Pervious",(-(3630*'BMP P Tracking Table'!$V126+20.691*'BMP P Tracking Table'!$AB126)+SQRT((3630*'BMP P Tracking Table'!$V126+20.691*'BMP P Tracking Table'!$AB126)^2-(4*(996.798*'BMP P Tracking Table'!$AB126)*-'BMP P Tracking Table'!$AC126)))/(2*(996.798*'BMP P Tracking Table'!$AB126)),IF(SUM('BMP P Tracking Table'!$X126:$AA126)=0,'BMP P Tracking Table'!$AC126/(-3630*'BMP P Tracking Table'!$V126),(-(3630*'BMP P Tracking Table'!$V126+20.691*'BMP P Tracking Table'!$AA126-216.711*'BMP P Tracking Table'!$Z126-83.853*'BMP P Tracking Table'!$Y126-42.834*'BMP P Tracking Table'!$X126)+SQRT((3630*'BMP P Tracking Table'!$V126+20.691*'BMP P Tracking Table'!$AA126-216.711*'BMP P Tracking Table'!$Z126-83.853*'BMP P Tracking Table'!$Y126-42.834*'BMP P Tracking Table'!$X126)^2-(4*(149.919*'BMP P Tracking Table'!$X126+236.676*'BMP P Tracking Table'!$Y126+726*'BMP P Tracking Table'!$Z126+996.798*'BMP P Tracking Table'!$AA126)*-'BMP P Tracking Table'!$AC126)))/(2*(149.919*'BMP P Tracking Table'!$X126+236.676*'BMP P Tracking Table'!$Y126+726*'BMP P Tracking Table'!$Z126+996.798*'BMP P Tracking Table'!$AA126))))),"")</f>
        <v>0.89331324595526151</v>
      </c>
      <c r="AG126" s="104">
        <f>IFERROR((VLOOKUP(CONCATENATE('BMP P Tracking Table'!$U126," ",'BMP P Tracking Table'!$AD126),'Performance Curves'!$C$1:$L$46,_xlfn.SINGLE(MATCH('BMP P Tracking Table'!$AF126,'Performance Curves'!$D$1:$L$1,1))+2,FALSE)-VLOOKUP(CONCATENATE('BMP P Tracking Table'!$U126," ",'BMP P Tracking Table'!$AD126),'Performance Curves'!$C$1:$L$46,_xlfn.SINGLE(MATCH('BMP P Tracking Table'!$AF126,'Performance Curves'!$D$1:$L$1,1))+1,FALSE)),"")</f>
        <v>1.0000000000000009E-2</v>
      </c>
      <c r="AH126" s="104">
        <f>IFERROR(('BMP P Tracking Table'!$AF126-INDEX('Performance Curves'!$D$1:$L$1,1,MATCH('BMP P Tracking Table'!$AF126,'Performance Curves'!$D$1:$L$1,1)))/(INDEX('Performance Curves'!$D$1:$L$1,1,MATCH('BMP P Tracking Table'!$AF126,'Performance Curves'!$D$1:$L$1,1)+1)-INDEX('Performance Curves'!$D$1:$L$1,1,MATCH('BMP P Tracking Table'!$AF126,'Performance Curves'!$D$1:$L$1,1))),"")</f>
        <v>0.46656622977630746</v>
      </c>
      <c r="AI126" s="103">
        <f>IFERROR(IF('BMP P Tracking Table'!$AF126=2,VLOOKUP(CONCATENATE('BMP P Tracking Table'!$U126," ",'BMP P Tracking Table'!$AD126),'Performance Curves'!$C$1:$L$46,_xlfn.SINGLE(MATCH('BMP P Tracking Table'!$AF126,'Performance Curves'!$D$1:$L$1,1))+1,FALSE),'BMP P Tracking Table'!$AG126*'BMP P Tracking Table'!$AH126+VLOOKUP(CONCATENATE('BMP P Tracking Table'!$U126," ",'BMP P Tracking Table'!$AD126),'Performance Curves'!$C$1:$L$46,_xlfn.SINGLE(MATCH('BMP P Tracking Table'!$AF126,'Performance Curves'!$D$1:$L$1,1))+1,FALSE)),"")</f>
        <v>0.9946656622977631</v>
      </c>
      <c r="AJ126" s="104">
        <f>IFERROR('BMP P Tracking Table'!$AI126*'BMP P Tracking Table'!$AE126,"")</f>
        <v>1.0161404939467718</v>
      </c>
      <c r="AK126" s="65"/>
      <c r="AL126" s="98" t="s">
        <v>62</v>
      </c>
      <c r="AM126" s="98"/>
      <c r="AN126" s="64">
        <v>1</v>
      </c>
      <c r="AO126" s="102">
        <f t="shared" si="16"/>
        <v>1.0161404939467718</v>
      </c>
      <c r="AP126" s="98"/>
      <c r="AQ126" s="98"/>
      <c r="AR126" s="98"/>
      <c r="AS126" s="98"/>
      <c r="AT126" s="98"/>
      <c r="AU126" s="98"/>
      <c r="AV126" s="98"/>
      <c r="AW126" s="65"/>
      <c r="AX126" s="99"/>
      <c r="AY126" s="99"/>
      <c r="AZ126" s="104" t="str">
        <f>IF('BMP P Tracking Table'!$AL126="Yes",IF('BMP P Tracking Table'!$AM126="No",'BMP P Tracking Table'!$V126*VLOOKUP('BMP P Tracking Table'!$R126,'Loading Rates'!$B$1:$L$24,4,FALSE)+IF('BMP P Tracking Table'!$W126="By HSG",'BMP P Tracking Table'!$X126*VLOOKUP('BMP P Tracking Table'!$R126,'Loading Rates'!$B$1:$L$24,6,FALSE)+'BMP P Tracking Table'!$Y126*VLOOKUP('BMP P Tracking Table'!$R126,'Loading Rates'!$B$1:$L$24,7,FALSE)+'BMP P Tracking Table'!$Z126*VLOOKUP('BMP P Tracking Table'!$R126,'Loading Rates'!$B$1:$L$24,8,FALSE)+'BMP P Tracking Table'!$AA126*VLOOKUP('BMP P Tracking Table'!$R126,'Loading Rates'!$B$1:$L$24,9,FALSE),'BMP P Tracking Table'!$AB126*VLOOKUP('BMP P Tracking Table'!$R126,'Loading Rates'!$B$1:$L$24,10,FALSE)),'BMP P Tracking Table'!$AP126*VLOOKUP('BMP P Tracking Table'!$R126,'Loading Rates'!$B$1:$L$24,4,FALSE)+IF('BMP P Tracking Table'!$AQ126="By HSG",'BMP P Tracking Table'!$AR126*VLOOKUP('BMP P Tracking Table'!$R126,'Loading Rates'!$B$1:$L$24,6,FALSE)+'BMP P Tracking Table'!$AS126*VLOOKUP('BMP P Tracking Table'!$R126,'Loading Rates'!$B$1:$L$24,7,FALSE)+'BMP P Tracking Table'!$AT126*VLOOKUP('BMP P Tracking Table'!$R126,'Loading Rates'!$B$1:$L$24,8,FALSE)+'BMP P Tracking Table'!$AU126*VLOOKUP('BMP P Tracking Table'!$R126,'Loading Rates'!$B$1:$L$24,9,FALSE),'BMP P Tracking Table'!$AV126*VLOOKUP('BMP P Tracking Table'!$R126,'Loading Rates'!$B$1:$L$24,10,FALSE))),"")</f>
        <v/>
      </c>
      <c r="BA126" s="104">
        <f>IFERROR(IF('BMP P Tracking Table'!$AM126="Yes",MIN(2,IF('BMP P Tracking Table'!$AQ126="Total Pervious",(-(3630*'BMP P Tracking Table'!$AP126+20.691*'BMP P Tracking Table'!$AV126)+SQRT((3630*'BMP P Tracking Table'!$AP126+20.691*'BMP P Tracking Table'!$AV126)^2-(4*(996.798*'BMP P Tracking Table'!$AV126)*-'BMP P Tracking Table'!$AX126)))/(2*(996.798*'BMP P Tracking Table'!$AV126)),IF(SUM('BMP P Tracking Table'!$AR126:$AU126)=0,'BMP P Tracking Table'!$AV126/(-3630*'BMP P Tracking Table'!$AP126),(-(3630*'BMP P Tracking Table'!$AP126+20.691*'BMP P Tracking Table'!$AU126-216.711*'BMP P Tracking Table'!$AT126-83.853*'BMP P Tracking Table'!$AS126-42.834*'BMP P Tracking Table'!$AR126)+SQRT((3630*'BMP P Tracking Table'!$AP126+20.691*'BMP P Tracking Table'!$AU126-216.711*'BMP P Tracking Table'!$AT126-83.853*'BMP P Tracking Table'!$AS126-42.834*'BMP P Tracking Table'!$AR126)^2-(4*(149.919*'BMP P Tracking Table'!$AR126+236.676*'BMP P Tracking Table'!$AS126+726*'BMP P Tracking Table'!$AT126+996.798*'BMP P Tracking Table'!$AU126)*-'BMP P Tracking Table'!$AX126)))/(2*(149.919*'BMP P Tracking Table'!$AR126+236.676*'BMP P Tracking Table'!$AS126+726*'BMP P Tracking Table'!$AT126+996.798*'BMP P Tracking Table'!$AU126))))),MIN(2,IF('BMP P Tracking Table'!$AQ126="Total Pervious",(-(3630*'BMP P Tracking Table'!$V126+20.691*'BMP P Tracking Table'!$AB126)+SQRT((3630*'BMP P Tracking Table'!$V126+20.691*'BMP P Tracking Table'!$AB126)^2-(4*(996.798*'BMP P Tracking Table'!$AB126)*-'BMP P Tracking Table'!$AX126)))/(2*(996.798*'BMP P Tracking Table'!$AB126)),IF(SUM('BMP P Tracking Table'!$X126:$AA126)=0,'BMP P Tracking Table'!$AX126/(-3630*'BMP P Tracking Table'!$V126),(-(3630*'BMP P Tracking Table'!$V126+20.691*'BMP P Tracking Table'!$AA126-216.711*'BMP P Tracking Table'!$Z126-83.853*'BMP P Tracking Table'!$Y126-42.834*'BMP P Tracking Table'!$X126)+SQRT((3630*'BMP P Tracking Table'!$V126+20.691*'BMP P Tracking Table'!$AA126-216.711*'BMP P Tracking Table'!$Z126-83.853*'BMP P Tracking Table'!$Y126-42.834*'BMP P Tracking Table'!$X126)^2-(4*(149.919*'BMP P Tracking Table'!$X126+236.676*'BMP P Tracking Table'!$Y126+726*'BMP P Tracking Table'!$Z126+996.798*'BMP P Tracking Table'!$AA126)*-'BMP P Tracking Table'!$AX126)))/(2*(149.919*'BMP P Tracking Table'!$X126+236.676*'BMP P Tracking Table'!$Y126+726*'BMP P Tracking Table'!$Z126+996.798*'BMP P Tracking Table'!$AA126)))))),"")</f>
        <v>0</v>
      </c>
      <c r="BB126" s="102" t="str">
        <f>IFERROR((VLOOKUP(CONCATENATE('BMP P Tracking Table'!$AW126," ",'BMP P Tracking Table'!$AY126),'Performance Curves'!$C$1:$L$46,_xlfn.SINGLE(MATCH('BMP P Tracking Table'!$BA126,'Performance Curves'!$D$1:$L$1,1))+2,FALSE)-VLOOKUP(CONCATENATE('BMP P Tracking Table'!$AW126," ",'BMP P Tracking Table'!$AY126),'Performance Curves'!$C$1:$L$46,_xlfn.SINGLE(MATCH('BMP P Tracking Table'!$BA126,'Performance Curves'!$D$1:$L$1,1))+1,FALSE)),"")</f>
        <v/>
      </c>
      <c r="BC126" s="102">
        <f>IFERROR(('BMP P Tracking Table'!$BA126-INDEX('Performance Curves'!$D$1:$L$1,1,MATCH('BMP P Tracking Table'!$BA126,'Performance Curves'!$D$1:$L$1,1)))/(INDEX('Performance Curves'!$D$1:$L$1,1,MATCH('BMP P Tracking Table'!$BA126,'Performance Curves'!$D$1:$L$1,1)+1)-INDEX('Performance Curves'!$D$1:$L$1,1,MATCH('BMP P Tracking Table'!$BA126,'Performance Curves'!$D$1:$L$1,1))),"")</f>
        <v>0</v>
      </c>
      <c r="BD126" s="103" t="str" cm="1">
        <f t="array" ref="BD126">IFERROR(IF('BMP P Tracking Table'!$BA126=2,VLOOKUP(CONCATENATE('BMP P Tracking Table'!$AW126," ",'BMP P Tracking Table'!$AY126),'Performance Curves'!$C$1:$L$44,_xlfn.SINGLE(MATCH('BMP P Tracking Table'!$BA126,'Performance Curves'!$D$1:$L$1,1))+1,FALSE),'BMP P Tracking Table'!$BB126*'BMP P Tracking Table'!$BC126+VLOOKUP(CONCATENATE('BMP P Tracking Table'!$AW126," ",'BMP P Tracking Table'!$AY126),'Performance Curves'!$C$1:$L$44,_xlfn.SINGLE(MATCH('BMP P Tracking Table'!$BA126,'Performance Curves'!$D$1:$L$1,1))+1,FALSE)),"")</f>
        <v/>
      </c>
      <c r="BE126" s="104" t="str">
        <f>IFERROR('BMP P Tracking Table'!$BD126*'BMP P Tracking Table'!$AZ126,"")</f>
        <v/>
      </c>
      <c r="BF126" s="98"/>
      <c r="BG126" s="37">
        <f t="shared" si="17"/>
        <v>0</v>
      </c>
      <c r="BI126" s="36" t="str">
        <f t="shared" si="7"/>
        <v>EX-WR-008</v>
      </c>
      <c r="BJ126" s="36" t="str">
        <f t="shared" si="8"/>
        <v>CB1046-1050 Sand Hill Rd drywells</v>
      </c>
      <c r="BL126" s="36" t="s">
        <v>833</v>
      </c>
      <c r="BM126" s="36" t="s">
        <v>834</v>
      </c>
      <c r="BN126" s="36" t="s">
        <v>831</v>
      </c>
      <c r="BO126" s="36" t="s">
        <v>819</v>
      </c>
      <c r="BP126" s="36" t="s">
        <v>874</v>
      </c>
      <c r="BQ126" s="36">
        <f t="shared" si="18"/>
        <v>3.3600000000000003</v>
      </c>
      <c r="BR126" s="36">
        <f t="shared" si="19"/>
        <v>2.4900000000000002</v>
      </c>
      <c r="BS126" s="101">
        <f t="shared" si="20"/>
        <v>0.2589285714285714</v>
      </c>
      <c r="BT126" s="238">
        <f t="shared" si="21"/>
        <v>69540.229885057473</v>
      </c>
      <c r="BU126" s="238">
        <f t="shared" si="22"/>
        <v>59539.010954098594</v>
      </c>
    </row>
    <row r="127" spans="1:73">
      <c r="A127" s="36" t="s">
        <v>378</v>
      </c>
      <c r="B127" s="65" t="s">
        <v>725</v>
      </c>
      <c r="C127" s="65" t="s">
        <v>705</v>
      </c>
      <c r="D127" s="65" t="s">
        <v>327</v>
      </c>
      <c r="E127" s="65" t="s">
        <v>9</v>
      </c>
      <c r="F127" s="94"/>
      <c r="G127" s="94"/>
      <c r="H127" s="36" t="s">
        <v>378</v>
      </c>
      <c r="I127" s="65"/>
      <c r="J127" s="65" t="s">
        <v>66</v>
      </c>
      <c r="K127" s="95">
        <f>ROUNDUP((VLOOKUP($U127,Dropdowns!$G$3:$I$17, 3, FALSE))*$AC127,-2)</f>
        <v>74900</v>
      </c>
      <c r="L127" s="65" t="s">
        <v>49</v>
      </c>
      <c r="M127" s="65"/>
      <c r="N127" s="65"/>
      <c r="O127" s="65"/>
      <c r="P127" s="65"/>
      <c r="Q127" s="65" t="s">
        <v>119</v>
      </c>
      <c r="R127" s="65" t="s">
        <v>146</v>
      </c>
      <c r="S127" s="65" t="str">
        <f>IFERROR(VLOOKUP('BMP P Tracking Table'!$R127,Dropdowns!$Q$3:$R$23,2,FALSE),"")</f>
        <v>Main Lake</v>
      </c>
      <c r="T127" s="65" t="s">
        <v>66</v>
      </c>
      <c r="U127" s="65" t="s">
        <v>47</v>
      </c>
      <c r="V127" s="65">
        <f>0.73+0.36</f>
        <v>1.0899999999999999</v>
      </c>
      <c r="W127" s="65" t="s">
        <v>220</v>
      </c>
      <c r="X127" s="65">
        <v>0</v>
      </c>
      <c r="Y127" s="65">
        <v>2.5299999999999998</v>
      </c>
      <c r="Z127" s="65">
        <v>0</v>
      </c>
      <c r="AA127" s="65">
        <v>0</v>
      </c>
      <c r="AB127" s="65"/>
      <c r="AC127" s="97">
        <f>((1*(0.05+0.009*((V127/(V127+Y127))*100)*(V127+Y127))/12)*43560)</f>
        <v>3742.5299999999993</v>
      </c>
      <c r="AD127" s="65" t="s">
        <v>207</v>
      </c>
      <c r="AE127" s="104">
        <f>IFERROR('BMP P Tracking Table'!$V127*VLOOKUP('BMP P Tracking Table'!$R127,'Loading Rates'!$B$1:$L$24,4,FALSE)+IF('BMP P Tracking Table'!$W127="By HSG",'BMP P Tracking Table'!$X127*VLOOKUP('BMP P Tracking Table'!$R127,'Loading Rates'!$B$1:$L$24,6,FALSE)+'BMP P Tracking Table'!$Y127*VLOOKUP('BMP P Tracking Table'!$R127,'Loading Rates'!$B$1:$L$24,7,FALSE)+'BMP P Tracking Table'!$Z127*VLOOKUP('BMP P Tracking Table'!$R127,'Loading Rates'!$B$1:$L$24,8,FALSE)+'BMP P Tracking Table'!$AA127*VLOOKUP('BMP P Tracking Table'!$R127,'Loading Rates'!$B$1:$L$24,9,FALSE),'BMP P Tracking Table'!$AB127*VLOOKUP('BMP P Tracking Table'!$R127,'Loading Rates'!$B$1:$L$24,10,FALSE)),"")</f>
        <v>1.8601499999999997</v>
      </c>
      <c r="AF127" s="104">
        <f>IFERROR(MIN(2,IF('BMP P Tracking Table'!$W127="Total Pervious",(-(3630*'BMP P Tracking Table'!$V127+20.691*'BMP P Tracking Table'!$AB127)+SQRT((3630*'BMP P Tracking Table'!$V127+20.691*'BMP P Tracking Table'!$AB127)^2-(4*(996.798*'BMP P Tracking Table'!$AB127)*-'BMP P Tracking Table'!$AC127)))/(2*(996.798*'BMP P Tracking Table'!$AB127)),IF(SUM('BMP P Tracking Table'!$X127:$AA127)=0,'BMP P Tracking Table'!$AC127/(-3630*'BMP P Tracking Table'!$V127),(-(3630*'BMP P Tracking Table'!$V127+20.691*'BMP P Tracking Table'!$AA127-216.711*'BMP P Tracking Table'!$Z127-83.853*'BMP P Tracking Table'!$Y127-42.834*'BMP P Tracking Table'!$X127)+SQRT((3630*'BMP P Tracking Table'!$V127+20.691*'BMP P Tracking Table'!$AA127-216.711*'BMP P Tracking Table'!$Z127-83.853*'BMP P Tracking Table'!$Y127-42.834*'BMP P Tracking Table'!$X127)^2-(4*(149.919*'BMP P Tracking Table'!$X127+236.676*'BMP P Tracking Table'!$Y127+726*'BMP P Tracking Table'!$Z127+996.798*'BMP P Tracking Table'!$AA127)*-'BMP P Tracking Table'!$AC127)))/(2*(149.919*'BMP P Tracking Table'!$X127+236.676*'BMP P Tracking Table'!$Y127+726*'BMP P Tracking Table'!$Z127+996.798*'BMP P Tracking Table'!$AA127))))),"")</f>
        <v>0.87658515789736857</v>
      </c>
      <c r="AG127" s="104">
        <f>IFERROR((VLOOKUP(CONCATENATE('BMP P Tracking Table'!$U127," ",'BMP P Tracking Table'!$AD127),'Performance Curves'!$C$1:$L$46,_xlfn.SINGLE(MATCH('BMP P Tracking Table'!$AF127,'Performance Curves'!$D$1:$L$1,1))+2,FALSE)-VLOOKUP(CONCATENATE('BMP P Tracking Table'!$U127," ",'BMP P Tracking Table'!$AD127),'Performance Curves'!$C$1:$L$46,_xlfn.SINGLE(MATCH('BMP P Tracking Table'!$AF127,'Performance Curves'!$D$1:$L$1,1))+1,FALSE)),"")</f>
        <v>3.9999999999999925E-2</v>
      </c>
      <c r="AH127" s="104">
        <f>IFERROR(('BMP P Tracking Table'!$AF127-INDEX('Performance Curves'!$D$1:$L$1,1,MATCH('BMP P Tracking Table'!$AF127,'Performance Curves'!$D$1:$L$1,1)))/(INDEX('Performance Curves'!$D$1:$L$1,1,MATCH('BMP P Tracking Table'!$AF127,'Performance Curves'!$D$1:$L$1,1)+1)-INDEX('Performance Curves'!$D$1:$L$1,1,MATCH('BMP P Tracking Table'!$AF127,'Performance Curves'!$D$1:$L$1,1))),"")</f>
        <v>0.38292578948684275</v>
      </c>
      <c r="AI127" s="103">
        <f>IFERROR(IF('BMP P Tracking Table'!$AF127=2,VLOOKUP(CONCATENATE('BMP P Tracking Table'!$U127," ",'BMP P Tracking Table'!$AD127),'Performance Curves'!$C$1:$L$46,_xlfn.SINGLE(MATCH('BMP P Tracking Table'!$AF127,'Performance Curves'!$D$1:$L$1,1))+1,FALSE),'BMP P Tracking Table'!$AG127*'BMP P Tracking Table'!$AH127+VLOOKUP(CONCATENATE('BMP P Tracking Table'!$U127," ",'BMP P Tracking Table'!$AD127),'Performance Curves'!$C$1:$L$46,_xlfn.SINGLE(MATCH('BMP P Tracking Table'!$AF127,'Performance Curves'!$D$1:$L$1,1))+1,FALSE)),"")</f>
        <v>0.93531703157947377</v>
      </c>
      <c r="AJ127" s="104">
        <f>IFERROR('BMP P Tracking Table'!$AI127*'BMP P Tracking Table'!$AE127,"")</f>
        <v>1.739829976292558</v>
      </c>
      <c r="AK127" s="65"/>
      <c r="AL127" s="98" t="s">
        <v>62</v>
      </c>
      <c r="AM127" s="98"/>
      <c r="AN127" s="64">
        <v>1</v>
      </c>
      <c r="AO127" s="102">
        <f t="shared" si="16"/>
        <v>1.739829976292558</v>
      </c>
      <c r="AP127" s="98"/>
      <c r="AQ127" s="98"/>
      <c r="AR127" s="98"/>
      <c r="AS127" s="98"/>
      <c r="AT127" s="98"/>
      <c r="AU127" s="98"/>
      <c r="AV127" s="98"/>
      <c r="AW127" s="65"/>
      <c r="AX127" s="99"/>
      <c r="AY127" s="99"/>
      <c r="AZ127" s="104" t="str">
        <f>IF('BMP P Tracking Table'!$AL127="Yes",IF('BMP P Tracking Table'!$AM127="No",'BMP P Tracking Table'!$V127*VLOOKUP('BMP P Tracking Table'!$R127,'Loading Rates'!$B$1:$L$24,4,FALSE)+IF('BMP P Tracking Table'!$W127="By HSG",'BMP P Tracking Table'!$X127*VLOOKUP('BMP P Tracking Table'!$R127,'Loading Rates'!$B$1:$L$24,6,FALSE)+'BMP P Tracking Table'!$Y127*VLOOKUP('BMP P Tracking Table'!$R127,'Loading Rates'!$B$1:$L$24,7,FALSE)+'BMP P Tracking Table'!$Z127*VLOOKUP('BMP P Tracking Table'!$R127,'Loading Rates'!$B$1:$L$24,8,FALSE)+'BMP P Tracking Table'!$AA127*VLOOKUP('BMP P Tracking Table'!$R127,'Loading Rates'!$B$1:$L$24,9,FALSE),'BMP P Tracking Table'!$AB127*VLOOKUP('BMP P Tracking Table'!$R127,'Loading Rates'!$B$1:$L$24,10,FALSE)),'BMP P Tracking Table'!$AP127*VLOOKUP('BMP P Tracking Table'!$R127,'Loading Rates'!$B$1:$L$24,4,FALSE)+IF('BMP P Tracking Table'!$AQ127="By HSG",'BMP P Tracking Table'!$AR127*VLOOKUP('BMP P Tracking Table'!$R127,'Loading Rates'!$B$1:$L$24,6,FALSE)+'BMP P Tracking Table'!$AS127*VLOOKUP('BMP P Tracking Table'!$R127,'Loading Rates'!$B$1:$L$24,7,FALSE)+'BMP P Tracking Table'!$AT127*VLOOKUP('BMP P Tracking Table'!$R127,'Loading Rates'!$B$1:$L$24,8,FALSE)+'BMP P Tracking Table'!$AU127*VLOOKUP('BMP P Tracking Table'!$R127,'Loading Rates'!$B$1:$L$24,9,FALSE),'BMP P Tracking Table'!$AV127*VLOOKUP('BMP P Tracking Table'!$R127,'Loading Rates'!$B$1:$L$24,10,FALSE))),"")</f>
        <v/>
      </c>
      <c r="BA127" s="104">
        <f>IFERROR(IF('BMP P Tracking Table'!$AM127="Yes",MIN(2,IF('BMP P Tracking Table'!$AQ127="Total Pervious",(-(3630*'BMP P Tracking Table'!$AP127+20.691*'BMP P Tracking Table'!$AV127)+SQRT((3630*'BMP P Tracking Table'!$AP127+20.691*'BMP P Tracking Table'!$AV127)^2-(4*(996.798*'BMP P Tracking Table'!$AV127)*-'BMP P Tracking Table'!$AX127)))/(2*(996.798*'BMP P Tracking Table'!$AV127)),IF(SUM('BMP P Tracking Table'!$AR127:$AU127)=0,'BMP P Tracking Table'!$AV127/(-3630*'BMP P Tracking Table'!$AP127),(-(3630*'BMP P Tracking Table'!$AP127+20.691*'BMP P Tracking Table'!$AU127-216.711*'BMP P Tracking Table'!$AT127-83.853*'BMP P Tracking Table'!$AS127-42.834*'BMP P Tracking Table'!$AR127)+SQRT((3630*'BMP P Tracking Table'!$AP127+20.691*'BMP P Tracking Table'!$AU127-216.711*'BMP P Tracking Table'!$AT127-83.853*'BMP P Tracking Table'!$AS127-42.834*'BMP P Tracking Table'!$AR127)^2-(4*(149.919*'BMP P Tracking Table'!$AR127+236.676*'BMP P Tracking Table'!$AS127+726*'BMP P Tracking Table'!$AT127+996.798*'BMP P Tracking Table'!$AU127)*-'BMP P Tracking Table'!$AX127)))/(2*(149.919*'BMP P Tracking Table'!$AR127+236.676*'BMP P Tracking Table'!$AS127+726*'BMP P Tracking Table'!$AT127+996.798*'BMP P Tracking Table'!$AU127))))),MIN(2,IF('BMP P Tracking Table'!$AQ127="Total Pervious",(-(3630*'BMP P Tracking Table'!$V127+20.691*'BMP P Tracking Table'!$AB127)+SQRT((3630*'BMP P Tracking Table'!$V127+20.691*'BMP P Tracking Table'!$AB127)^2-(4*(996.798*'BMP P Tracking Table'!$AB127)*-'BMP P Tracking Table'!$AX127)))/(2*(996.798*'BMP P Tracking Table'!$AB127)),IF(SUM('BMP P Tracking Table'!$X127:$AA127)=0,'BMP P Tracking Table'!$AX127/(-3630*'BMP P Tracking Table'!$V127),(-(3630*'BMP P Tracking Table'!$V127+20.691*'BMP P Tracking Table'!$AA127-216.711*'BMP P Tracking Table'!$Z127-83.853*'BMP P Tracking Table'!$Y127-42.834*'BMP P Tracking Table'!$X127)+SQRT((3630*'BMP P Tracking Table'!$V127+20.691*'BMP P Tracking Table'!$AA127-216.711*'BMP P Tracking Table'!$Z127-83.853*'BMP P Tracking Table'!$Y127-42.834*'BMP P Tracking Table'!$X127)^2-(4*(149.919*'BMP P Tracking Table'!$X127+236.676*'BMP P Tracking Table'!$Y127+726*'BMP P Tracking Table'!$Z127+996.798*'BMP P Tracking Table'!$AA127)*-'BMP P Tracking Table'!$AX127)))/(2*(149.919*'BMP P Tracking Table'!$X127+236.676*'BMP P Tracking Table'!$Y127+726*'BMP P Tracking Table'!$Z127+996.798*'BMP P Tracking Table'!$AA127)))))),"")</f>
        <v>0</v>
      </c>
      <c r="BB127" s="102" t="str">
        <f>IFERROR((VLOOKUP(CONCATENATE('BMP P Tracking Table'!$AW127," ",'BMP P Tracking Table'!$AY127),'Performance Curves'!$C$1:$L$46,_xlfn.SINGLE(MATCH('BMP P Tracking Table'!$BA127,'Performance Curves'!$D$1:$L$1,1))+2,FALSE)-VLOOKUP(CONCATENATE('BMP P Tracking Table'!$AW127," ",'BMP P Tracking Table'!$AY127),'Performance Curves'!$C$1:$L$46,_xlfn.SINGLE(MATCH('BMP P Tracking Table'!$BA127,'Performance Curves'!$D$1:$L$1,1))+1,FALSE)),"")</f>
        <v/>
      </c>
      <c r="BC127" s="102">
        <f>IFERROR(('BMP P Tracking Table'!$BA127-INDEX('Performance Curves'!$D$1:$L$1,1,MATCH('BMP P Tracking Table'!$BA127,'Performance Curves'!$D$1:$L$1,1)))/(INDEX('Performance Curves'!$D$1:$L$1,1,MATCH('BMP P Tracking Table'!$BA127,'Performance Curves'!$D$1:$L$1,1)+1)-INDEX('Performance Curves'!$D$1:$L$1,1,MATCH('BMP P Tracking Table'!$BA127,'Performance Curves'!$D$1:$L$1,1))),"")</f>
        <v>0</v>
      </c>
      <c r="BD127" s="103" t="str" cm="1">
        <f t="array" ref="BD127">IFERROR(IF('BMP P Tracking Table'!$BA127=2,VLOOKUP(CONCATENATE('BMP P Tracking Table'!$AW127," ",'BMP P Tracking Table'!$AY127),'Performance Curves'!$C$1:$L$44,_xlfn.SINGLE(MATCH('BMP P Tracking Table'!$BA127,'Performance Curves'!$D$1:$L$1,1))+1,FALSE),'BMP P Tracking Table'!$BB127*'BMP P Tracking Table'!$BC127+VLOOKUP(CONCATENATE('BMP P Tracking Table'!$AW127," ",'BMP P Tracking Table'!$AY127),'Performance Curves'!$C$1:$L$44,_xlfn.SINGLE(MATCH('BMP P Tracking Table'!$BA127,'Performance Curves'!$D$1:$L$1,1))+1,FALSE)),"")</f>
        <v/>
      </c>
      <c r="BE127" s="104" t="str">
        <f>IFERROR('BMP P Tracking Table'!$BD127*'BMP P Tracking Table'!$AZ127,"")</f>
        <v/>
      </c>
      <c r="BF127" s="98"/>
      <c r="BG127" s="37">
        <f t="shared" si="17"/>
        <v>0</v>
      </c>
      <c r="BI127" s="36" t="str">
        <f t="shared" si="7"/>
        <v>EX-WR-010</v>
      </c>
      <c r="BJ127" s="36" t="str">
        <f t="shared" si="8"/>
        <v>CB964 968-970 Greenfield Rd drywells</v>
      </c>
      <c r="BL127" s="36" t="s">
        <v>833</v>
      </c>
      <c r="BM127" s="36" t="s">
        <v>836</v>
      </c>
      <c r="BN127" s="36" t="s">
        <v>831</v>
      </c>
      <c r="BO127" s="36" t="s">
        <v>819</v>
      </c>
      <c r="BP127" s="36" t="s">
        <v>872</v>
      </c>
      <c r="BQ127" s="36">
        <f t="shared" si="18"/>
        <v>3.6199999999999997</v>
      </c>
      <c r="BR127" s="36">
        <f t="shared" si="19"/>
        <v>2.5299999999999998</v>
      </c>
      <c r="BS127" s="101">
        <f t="shared" si="20"/>
        <v>0.30110497237569062</v>
      </c>
      <c r="BT127" s="238">
        <f t="shared" si="21"/>
        <v>68715.596330275235</v>
      </c>
      <c r="BU127" s="238">
        <f t="shared" si="22"/>
        <v>43050.183650477193</v>
      </c>
    </row>
    <row r="128" spans="1:73">
      <c r="A128" s="36" t="s">
        <v>706</v>
      </c>
      <c r="B128" s="65" t="s">
        <v>727</v>
      </c>
      <c r="C128" s="65" t="s">
        <v>708</v>
      </c>
      <c r="D128" s="65" t="s">
        <v>327</v>
      </c>
      <c r="E128" s="65" t="s">
        <v>9</v>
      </c>
      <c r="F128" s="94"/>
      <c r="G128" s="94"/>
      <c r="H128" s="65"/>
      <c r="I128" s="65"/>
      <c r="J128" s="65" t="s">
        <v>66</v>
      </c>
      <c r="K128" s="95">
        <f>ROUNDUP((VLOOKUP($U128,Dropdowns!$G$3:$I$17, 3, FALSE))*$AC128,-2)</f>
        <v>18700</v>
      </c>
      <c r="L128" s="65" t="s">
        <v>49</v>
      </c>
      <c r="M128" s="65"/>
      <c r="N128" s="65"/>
      <c r="O128" s="65"/>
      <c r="P128" s="65"/>
      <c r="Q128" s="65" t="s">
        <v>119</v>
      </c>
      <c r="R128" s="65" t="s">
        <v>146</v>
      </c>
      <c r="S128" s="65" t="str">
        <f>IFERROR(VLOOKUP('BMP P Tracking Table'!$R128,Dropdowns!$Q$3:$R$23,2,FALSE),"")</f>
        <v>Main Lake</v>
      </c>
      <c r="T128" s="65" t="s">
        <v>66</v>
      </c>
      <c r="U128" s="65" t="s">
        <v>47</v>
      </c>
      <c r="V128" s="65">
        <f>0.12+0.11</f>
        <v>0.22999999999999998</v>
      </c>
      <c r="W128" s="65" t="s">
        <v>220</v>
      </c>
      <c r="X128" s="65">
        <v>0</v>
      </c>
      <c r="Y128" s="65">
        <v>0.36</v>
      </c>
      <c r="Z128" s="65">
        <v>0</v>
      </c>
      <c r="AA128" s="65">
        <v>0</v>
      </c>
      <c r="AB128" s="65"/>
      <c r="AC128" s="97">
        <f>((1*(0.05+0.009*((V128/(V128+Y128))*100)*(V128+Y128))/12)*43560)</f>
        <v>932.90999999999985</v>
      </c>
      <c r="AD128" s="65" t="s">
        <v>207</v>
      </c>
      <c r="AE128" s="104">
        <f>IFERROR('BMP P Tracking Table'!$V128*VLOOKUP('BMP P Tracking Table'!$R128,'Loading Rates'!$B$1:$L$24,4,FALSE)+IF('BMP P Tracking Table'!$W128="By HSG",'BMP P Tracking Table'!$X128*VLOOKUP('BMP P Tracking Table'!$R128,'Loading Rates'!$B$1:$L$24,6,FALSE)+'BMP P Tracking Table'!$Y128*VLOOKUP('BMP P Tracking Table'!$R128,'Loading Rates'!$B$1:$L$24,7,FALSE)+'BMP P Tracking Table'!$Z128*VLOOKUP('BMP P Tracking Table'!$R128,'Loading Rates'!$B$1:$L$24,8,FALSE)+'BMP P Tracking Table'!$AA128*VLOOKUP('BMP P Tracking Table'!$R128,'Loading Rates'!$B$1:$L$24,9,FALSE),'BMP P Tracking Table'!$AB128*VLOOKUP('BMP P Tracking Table'!$R128,'Loading Rates'!$B$1:$L$24,10,FALSE)),"")</f>
        <v>0.34834999999999994</v>
      </c>
      <c r="AF128" s="104">
        <f>IFERROR(MIN(2,IF('BMP P Tracking Table'!$W128="Total Pervious",(-(3630*'BMP P Tracking Table'!$V128+20.691*'BMP P Tracking Table'!$AB128)+SQRT((3630*'BMP P Tracking Table'!$V128+20.691*'BMP P Tracking Table'!$AB128)^2-(4*(996.798*'BMP P Tracking Table'!$AB128)*-'BMP P Tracking Table'!$AC128)))/(2*(996.798*'BMP P Tracking Table'!$AB128)),IF(SUM('BMP P Tracking Table'!$X128:$AA128)=0,'BMP P Tracking Table'!$AC128/(-3630*'BMP P Tracking Table'!$V128),(-(3630*'BMP P Tracking Table'!$V128+20.691*'BMP P Tracking Table'!$AA128-216.711*'BMP P Tracking Table'!$Z128-83.853*'BMP P Tracking Table'!$Y128-42.834*'BMP P Tracking Table'!$X128)+SQRT((3630*'BMP P Tracking Table'!$V128+20.691*'BMP P Tracking Table'!$AA128-216.711*'BMP P Tracking Table'!$Z128-83.853*'BMP P Tracking Table'!$Y128-42.834*'BMP P Tracking Table'!$X128)^2-(4*(149.919*'BMP P Tracking Table'!$X128+236.676*'BMP P Tracking Table'!$Y128+726*'BMP P Tracking Table'!$Z128+996.798*'BMP P Tracking Table'!$AA128)*-'BMP P Tracking Table'!$AC128)))/(2*(149.919*'BMP P Tracking Table'!$X128+236.676*'BMP P Tracking Table'!$Y128+726*'BMP P Tracking Table'!$Z128+996.798*'BMP P Tracking Table'!$AA128))))),"")</f>
        <v>1.0439221483653718</v>
      </c>
      <c r="AG128" s="104">
        <f>IFERROR((VLOOKUP(CONCATENATE('BMP P Tracking Table'!$U128," ",'BMP P Tracking Table'!$AD128),'Performance Curves'!$C$1:$L$46,_xlfn.SINGLE(MATCH('BMP P Tracking Table'!$AF128,'Performance Curves'!$D$1:$L$1,1))+2,FALSE)-VLOOKUP(CONCATENATE('BMP P Tracking Table'!$U128," ",'BMP P Tracking Table'!$AD128),'Performance Curves'!$C$1:$L$46,_xlfn.SINGLE(MATCH('BMP P Tracking Table'!$AF128,'Performance Curves'!$D$1:$L$1,1))+1,FALSE)),"")</f>
        <v>3.0000000000000027E-2</v>
      </c>
      <c r="AH128" s="104">
        <f>IFERROR(('BMP P Tracking Table'!$AF128-INDEX('Performance Curves'!$D$1:$L$1,1,MATCH('BMP P Tracking Table'!$AF128,'Performance Curves'!$D$1:$L$1,1)))/(INDEX('Performance Curves'!$D$1:$L$1,1,MATCH('BMP P Tracking Table'!$AF128,'Performance Curves'!$D$1:$L$1,1)+1)-INDEX('Performance Curves'!$D$1:$L$1,1,MATCH('BMP P Tracking Table'!$AF128,'Performance Curves'!$D$1:$L$1,1))),"")</f>
        <v>8.7844296730743565E-2</v>
      </c>
      <c r="AI128" s="103">
        <f>IFERROR(IF('BMP P Tracking Table'!$AF128=2,VLOOKUP(CONCATENATE('BMP P Tracking Table'!$U128," ",'BMP P Tracking Table'!$AD128),'Performance Curves'!$C$1:$L$46,_xlfn.SINGLE(MATCH('BMP P Tracking Table'!$AF128,'Performance Curves'!$D$1:$L$1,1))+1,FALSE),'BMP P Tracking Table'!$AG128*'BMP P Tracking Table'!$AH128+VLOOKUP(CONCATENATE('BMP P Tracking Table'!$U128," ",'BMP P Tracking Table'!$AD128),'Performance Curves'!$C$1:$L$46,_xlfn.SINGLE(MATCH('BMP P Tracking Table'!$AF128,'Performance Curves'!$D$1:$L$1,1))+1,FALSE)),"")</f>
        <v>0.96263532890192227</v>
      </c>
      <c r="AJ128" s="104">
        <f>IFERROR('BMP P Tracking Table'!$AI128*'BMP P Tracking Table'!$AE128,"")</f>
        <v>0.33533401682298458</v>
      </c>
      <c r="AK128" s="65"/>
      <c r="AL128" s="98" t="s">
        <v>62</v>
      </c>
      <c r="AM128" s="98"/>
      <c r="AN128" s="64">
        <v>1</v>
      </c>
      <c r="AO128" s="102">
        <f t="shared" si="16"/>
        <v>0.33533401682298458</v>
      </c>
      <c r="AP128" s="98"/>
      <c r="AQ128" s="98"/>
      <c r="AR128" s="98"/>
      <c r="AS128" s="98"/>
      <c r="AT128" s="98"/>
      <c r="AU128" s="98"/>
      <c r="AV128" s="98"/>
      <c r="AW128" s="65"/>
      <c r="AX128" s="99"/>
      <c r="AY128" s="99"/>
      <c r="AZ128" s="104" t="str">
        <f>IF('BMP P Tracking Table'!$AL128="Yes",IF('BMP P Tracking Table'!$AM128="No",'BMP P Tracking Table'!$V128*VLOOKUP('BMP P Tracking Table'!$R128,'Loading Rates'!$B$1:$L$24,4,FALSE)+IF('BMP P Tracking Table'!$W128="By HSG",'BMP P Tracking Table'!$X128*VLOOKUP('BMP P Tracking Table'!$R128,'Loading Rates'!$B$1:$L$24,6,FALSE)+'BMP P Tracking Table'!$Y128*VLOOKUP('BMP P Tracking Table'!$R128,'Loading Rates'!$B$1:$L$24,7,FALSE)+'BMP P Tracking Table'!$Z128*VLOOKUP('BMP P Tracking Table'!$R128,'Loading Rates'!$B$1:$L$24,8,FALSE)+'BMP P Tracking Table'!$AA128*VLOOKUP('BMP P Tracking Table'!$R128,'Loading Rates'!$B$1:$L$24,9,FALSE),'BMP P Tracking Table'!$AB128*VLOOKUP('BMP P Tracking Table'!$R128,'Loading Rates'!$B$1:$L$24,10,FALSE)),'BMP P Tracking Table'!$AP128*VLOOKUP('BMP P Tracking Table'!$R128,'Loading Rates'!$B$1:$L$24,4,FALSE)+IF('BMP P Tracking Table'!$AQ128="By HSG",'BMP P Tracking Table'!$AR128*VLOOKUP('BMP P Tracking Table'!$R128,'Loading Rates'!$B$1:$L$24,6,FALSE)+'BMP P Tracking Table'!$AS128*VLOOKUP('BMP P Tracking Table'!$R128,'Loading Rates'!$B$1:$L$24,7,FALSE)+'BMP P Tracking Table'!$AT128*VLOOKUP('BMP P Tracking Table'!$R128,'Loading Rates'!$B$1:$L$24,8,FALSE)+'BMP P Tracking Table'!$AU128*VLOOKUP('BMP P Tracking Table'!$R128,'Loading Rates'!$B$1:$L$24,9,FALSE),'BMP P Tracking Table'!$AV128*VLOOKUP('BMP P Tracking Table'!$R128,'Loading Rates'!$B$1:$L$24,10,FALSE))),"")</f>
        <v/>
      </c>
      <c r="BA128" s="104">
        <f>IFERROR(IF('BMP P Tracking Table'!$AM128="Yes",MIN(2,IF('BMP P Tracking Table'!$AQ128="Total Pervious",(-(3630*'BMP P Tracking Table'!$AP128+20.691*'BMP P Tracking Table'!$AV128)+SQRT((3630*'BMP P Tracking Table'!$AP128+20.691*'BMP P Tracking Table'!$AV128)^2-(4*(996.798*'BMP P Tracking Table'!$AV128)*-'BMP P Tracking Table'!$AX128)))/(2*(996.798*'BMP P Tracking Table'!$AV128)),IF(SUM('BMP P Tracking Table'!$AR128:$AU128)=0,'BMP P Tracking Table'!$AV128/(-3630*'BMP P Tracking Table'!$AP128),(-(3630*'BMP P Tracking Table'!$AP128+20.691*'BMP P Tracking Table'!$AU128-216.711*'BMP P Tracking Table'!$AT128-83.853*'BMP P Tracking Table'!$AS128-42.834*'BMP P Tracking Table'!$AR128)+SQRT((3630*'BMP P Tracking Table'!$AP128+20.691*'BMP P Tracking Table'!$AU128-216.711*'BMP P Tracking Table'!$AT128-83.853*'BMP P Tracking Table'!$AS128-42.834*'BMP P Tracking Table'!$AR128)^2-(4*(149.919*'BMP P Tracking Table'!$AR128+236.676*'BMP P Tracking Table'!$AS128+726*'BMP P Tracking Table'!$AT128+996.798*'BMP P Tracking Table'!$AU128)*-'BMP P Tracking Table'!$AX128)))/(2*(149.919*'BMP P Tracking Table'!$AR128+236.676*'BMP P Tracking Table'!$AS128+726*'BMP P Tracking Table'!$AT128+996.798*'BMP P Tracking Table'!$AU128))))),MIN(2,IF('BMP P Tracking Table'!$AQ128="Total Pervious",(-(3630*'BMP P Tracking Table'!$V128+20.691*'BMP P Tracking Table'!$AB128)+SQRT((3630*'BMP P Tracking Table'!$V128+20.691*'BMP P Tracking Table'!$AB128)^2-(4*(996.798*'BMP P Tracking Table'!$AB128)*-'BMP P Tracking Table'!$AX128)))/(2*(996.798*'BMP P Tracking Table'!$AB128)),IF(SUM('BMP P Tracking Table'!$X128:$AA128)=0,'BMP P Tracking Table'!$AX128/(-3630*'BMP P Tracking Table'!$V128),(-(3630*'BMP P Tracking Table'!$V128+20.691*'BMP P Tracking Table'!$AA128-216.711*'BMP P Tracking Table'!$Z128-83.853*'BMP P Tracking Table'!$Y128-42.834*'BMP P Tracking Table'!$X128)+SQRT((3630*'BMP P Tracking Table'!$V128+20.691*'BMP P Tracking Table'!$AA128-216.711*'BMP P Tracking Table'!$Z128-83.853*'BMP P Tracking Table'!$Y128-42.834*'BMP P Tracking Table'!$X128)^2-(4*(149.919*'BMP P Tracking Table'!$X128+236.676*'BMP P Tracking Table'!$Y128+726*'BMP P Tracking Table'!$Z128+996.798*'BMP P Tracking Table'!$AA128)*-'BMP P Tracking Table'!$AX128)))/(2*(149.919*'BMP P Tracking Table'!$X128+236.676*'BMP P Tracking Table'!$Y128+726*'BMP P Tracking Table'!$Z128+996.798*'BMP P Tracking Table'!$AA128)))))),"")</f>
        <v>0</v>
      </c>
      <c r="BB128" s="102" t="str">
        <f>IFERROR((VLOOKUP(CONCATENATE('BMP P Tracking Table'!$AW128," ",'BMP P Tracking Table'!$AY128),'Performance Curves'!$C$1:$L$46,_xlfn.SINGLE(MATCH('BMP P Tracking Table'!$BA128,'Performance Curves'!$D$1:$L$1,1))+2,FALSE)-VLOOKUP(CONCATENATE('BMP P Tracking Table'!$AW128," ",'BMP P Tracking Table'!$AY128),'Performance Curves'!$C$1:$L$46,_xlfn.SINGLE(MATCH('BMP P Tracking Table'!$BA128,'Performance Curves'!$D$1:$L$1,1))+1,FALSE)),"")</f>
        <v/>
      </c>
      <c r="BC128" s="102">
        <f>IFERROR(('BMP P Tracking Table'!$BA128-INDEX('Performance Curves'!$D$1:$L$1,1,MATCH('BMP P Tracking Table'!$BA128,'Performance Curves'!$D$1:$L$1,1)))/(INDEX('Performance Curves'!$D$1:$L$1,1,MATCH('BMP P Tracking Table'!$BA128,'Performance Curves'!$D$1:$L$1,1)+1)-INDEX('Performance Curves'!$D$1:$L$1,1,MATCH('BMP P Tracking Table'!$BA128,'Performance Curves'!$D$1:$L$1,1))),"")</f>
        <v>0</v>
      </c>
      <c r="BD128" s="103" t="str" cm="1">
        <f t="array" ref="BD128">IFERROR(IF('BMP P Tracking Table'!$BA128=2,VLOOKUP(CONCATENATE('BMP P Tracking Table'!$AW128," ",'BMP P Tracking Table'!$AY128),'Performance Curves'!$C$1:$L$44,_xlfn.SINGLE(MATCH('BMP P Tracking Table'!$BA128,'Performance Curves'!$D$1:$L$1,1))+1,FALSE),'BMP P Tracking Table'!$BB128*'BMP P Tracking Table'!$BC128+VLOOKUP(CONCATENATE('BMP P Tracking Table'!$AW128," ",'BMP P Tracking Table'!$AY128),'Performance Curves'!$C$1:$L$44,_xlfn.SINGLE(MATCH('BMP P Tracking Table'!$BA128,'Performance Curves'!$D$1:$L$1,1))+1,FALSE)),"")</f>
        <v/>
      </c>
      <c r="BE128" s="104" t="str">
        <f>IFERROR('BMP P Tracking Table'!$BD128*'BMP P Tracking Table'!$AZ128,"")</f>
        <v/>
      </c>
      <c r="BF128" s="98"/>
      <c r="BG128" s="37">
        <f t="shared" si="17"/>
        <v>0</v>
      </c>
      <c r="BI128" s="36" t="str">
        <f t="shared" si="7"/>
        <v>EX-WR-012</v>
      </c>
      <c r="BJ128" s="36" t="str">
        <f t="shared" si="8"/>
        <v>CB1122 1123 Wildwood Dr drywells</v>
      </c>
      <c r="BK128" s="36" t="s">
        <v>808</v>
      </c>
      <c r="BL128" s="36" t="s">
        <v>833</v>
      </c>
      <c r="BM128" s="36" t="s">
        <v>837</v>
      </c>
      <c r="BN128" s="36" t="s">
        <v>831</v>
      </c>
      <c r="BO128" s="36" t="s">
        <v>819</v>
      </c>
      <c r="BP128" s="36" t="s">
        <v>872</v>
      </c>
      <c r="BQ128" s="36">
        <f t="shared" si="18"/>
        <v>0.59</v>
      </c>
      <c r="BR128" s="36">
        <f t="shared" si="19"/>
        <v>0.36</v>
      </c>
      <c r="BS128" s="101">
        <f t="shared" si="20"/>
        <v>0.38983050847457629</v>
      </c>
      <c r="BT128" s="238">
        <f t="shared" si="21"/>
        <v>81304.34782608696</v>
      </c>
      <c r="BU128" s="238">
        <f t="shared" si="22"/>
        <v>55765.293891646303</v>
      </c>
    </row>
    <row r="129" spans="1:73">
      <c r="A129" s="36" t="s">
        <v>706</v>
      </c>
      <c r="B129" s="65" t="s">
        <v>726</v>
      </c>
      <c r="C129" s="65" t="s">
        <v>709</v>
      </c>
      <c r="D129" s="65" t="s">
        <v>327</v>
      </c>
      <c r="E129" s="65" t="s">
        <v>9</v>
      </c>
      <c r="F129" s="94"/>
      <c r="G129" s="94"/>
      <c r="H129" s="65"/>
      <c r="I129" s="65"/>
      <c r="J129" s="65" t="s">
        <v>66</v>
      </c>
      <c r="K129" s="95">
        <f>ROUNDUP((VLOOKUP($U129,Dropdowns!$G$3:$I$17, 3, FALSE))*$AC129,-2)</f>
        <v>19000</v>
      </c>
      <c r="L129" s="65" t="s">
        <v>49</v>
      </c>
      <c r="M129" s="65"/>
      <c r="N129" s="65"/>
      <c r="O129" s="65"/>
      <c r="P129" s="65"/>
      <c r="Q129" s="65" t="s">
        <v>119</v>
      </c>
      <c r="R129" s="65" t="s">
        <v>146</v>
      </c>
      <c r="S129" s="65" t="str">
        <f>IFERROR(VLOOKUP('BMP P Tracking Table'!$R129,Dropdowns!$Q$3:$R$23,2,FALSE),"")</f>
        <v>Main Lake</v>
      </c>
      <c r="T129" s="65" t="s">
        <v>66</v>
      </c>
      <c r="U129" s="65" t="s">
        <v>47</v>
      </c>
      <c r="V129" s="65">
        <f>0.095+0.14</f>
        <v>0.23500000000000001</v>
      </c>
      <c r="W129" s="65" t="s">
        <v>220</v>
      </c>
      <c r="X129" s="65">
        <v>0.1</v>
      </c>
      <c r="Y129" s="65">
        <v>0.44</v>
      </c>
      <c r="Z129" s="65">
        <v>0</v>
      </c>
      <c r="AA129" s="65">
        <v>0</v>
      </c>
      <c r="AB129" s="65"/>
      <c r="AC129" s="97">
        <f>((1*(0.05+0.009*((V129/(V129+X129+Y129))*100)*(V129+X129+Y129))/12)*43560)</f>
        <v>949.245</v>
      </c>
      <c r="AD129" s="65" t="s">
        <v>207</v>
      </c>
      <c r="AE129" s="104">
        <f>IFERROR('BMP P Tracking Table'!$V129*VLOOKUP('BMP P Tracking Table'!$R129,'Loading Rates'!$B$1:$L$24,4,FALSE)+IF('BMP P Tracking Table'!$W129="By HSG",'BMP P Tracking Table'!$X129*VLOOKUP('BMP P Tracking Table'!$R129,'Loading Rates'!$B$1:$L$24,6,FALSE)+'BMP P Tracking Table'!$Y129*VLOOKUP('BMP P Tracking Table'!$R129,'Loading Rates'!$B$1:$L$24,7,FALSE)+'BMP P Tracking Table'!$Z129*VLOOKUP('BMP P Tracking Table'!$R129,'Loading Rates'!$B$1:$L$24,8,FALSE)+'BMP P Tracking Table'!$AA129*VLOOKUP('BMP P Tracking Table'!$R129,'Loading Rates'!$B$1:$L$24,9,FALSE),'BMP P Tracking Table'!$AB129*VLOOKUP('BMP P Tracking Table'!$R129,'Loading Rates'!$B$1:$L$24,10,FALSE)),"")</f>
        <v>0.37625500000000001</v>
      </c>
      <c r="AF129" s="104">
        <f>IFERROR(MIN(2,IF('BMP P Tracking Table'!$W129="Total Pervious",(-(3630*'BMP P Tracking Table'!$V129+20.691*'BMP P Tracking Table'!$AB129)+SQRT((3630*'BMP P Tracking Table'!$V129+20.691*'BMP P Tracking Table'!$AB129)^2-(4*(996.798*'BMP P Tracking Table'!$AB129)*-'BMP P Tracking Table'!$AC129)))/(2*(996.798*'BMP P Tracking Table'!$AB129)),IF(SUM('BMP P Tracking Table'!$X129:$AA129)=0,'BMP P Tracking Table'!$AC129/(-3630*'BMP P Tracking Table'!$V129),(-(3630*'BMP P Tracking Table'!$V129+20.691*'BMP P Tracking Table'!$AA129-216.711*'BMP P Tracking Table'!$Z129-83.853*'BMP P Tracking Table'!$Y129-42.834*'BMP P Tracking Table'!$X129)+SQRT((3630*'BMP P Tracking Table'!$V129+20.691*'BMP P Tracking Table'!$AA129-216.711*'BMP P Tracking Table'!$Z129-83.853*'BMP P Tracking Table'!$Y129-42.834*'BMP P Tracking Table'!$X129)^2-(4*(149.919*'BMP P Tracking Table'!$X129+236.676*'BMP P Tracking Table'!$Y129+726*'BMP P Tracking Table'!$Z129+996.798*'BMP P Tracking Table'!$AA129)*-'BMP P Tracking Table'!$AC129)))/(2*(149.919*'BMP P Tracking Table'!$X129+236.676*'BMP P Tracking Table'!$Y129+726*'BMP P Tracking Table'!$Z129+996.798*'BMP P Tracking Table'!$AA129))))),"")</f>
        <v>1.017339342864819</v>
      </c>
      <c r="AG129" s="104">
        <f>IFERROR((VLOOKUP(CONCATENATE('BMP P Tracking Table'!$U129," ",'BMP P Tracking Table'!$AD129),'Performance Curves'!$C$1:$L$46,_xlfn.SINGLE(MATCH('BMP P Tracking Table'!$AF129,'Performance Curves'!$D$1:$L$1,1))+2,FALSE)-VLOOKUP(CONCATENATE('BMP P Tracking Table'!$U129," ",'BMP P Tracking Table'!$AD129),'Performance Curves'!$C$1:$L$46,_xlfn.SINGLE(MATCH('BMP P Tracking Table'!$AF129,'Performance Curves'!$D$1:$L$1,1))+1,FALSE)),"")</f>
        <v>3.0000000000000027E-2</v>
      </c>
      <c r="AH129" s="104">
        <f>IFERROR(('BMP P Tracking Table'!$AF129-INDEX('Performance Curves'!$D$1:$L$1,1,MATCH('BMP P Tracking Table'!$AF129,'Performance Curves'!$D$1:$L$1,1)))/(INDEX('Performance Curves'!$D$1:$L$1,1,MATCH('BMP P Tracking Table'!$AF129,'Performance Curves'!$D$1:$L$1,1)+1)-INDEX('Performance Curves'!$D$1:$L$1,1,MATCH('BMP P Tracking Table'!$AF129,'Performance Curves'!$D$1:$L$1,1))),"")</f>
        <v>3.4678685729637948E-2</v>
      </c>
      <c r="AI129" s="103">
        <f>IFERROR(IF('BMP P Tracking Table'!$AF129=2,VLOOKUP(CONCATENATE('BMP P Tracking Table'!$U129," ",'BMP P Tracking Table'!$AD129),'Performance Curves'!$C$1:$L$46,_xlfn.SINGLE(MATCH('BMP P Tracking Table'!$AF129,'Performance Curves'!$D$1:$L$1,1))+1,FALSE),'BMP P Tracking Table'!$AG129*'BMP P Tracking Table'!$AH129+VLOOKUP(CONCATENATE('BMP P Tracking Table'!$U129," ",'BMP P Tracking Table'!$AD129),'Performance Curves'!$C$1:$L$46,_xlfn.SINGLE(MATCH('BMP P Tracking Table'!$AF129,'Performance Curves'!$D$1:$L$1,1))+1,FALSE)),"")</f>
        <v>0.96104036057188913</v>
      </c>
      <c r="AJ129" s="104">
        <f>IFERROR('BMP P Tracking Table'!$AI129*'BMP P Tracking Table'!$AE129,"")</f>
        <v>0.36159624086697617</v>
      </c>
      <c r="AK129" s="65"/>
      <c r="AL129" s="98" t="s">
        <v>62</v>
      </c>
      <c r="AM129" s="98"/>
      <c r="AN129" s="64">
        <v>1</v>
      </c>
      <c r="AO129" s="102">
        <f t="shared" si="16"/>
        <v>0.36159624086697617</v>
      </c>
      <c r="AP129" s="98"/>
      <c r="AQ129" s="98"/>
      <c r="AR129" s="98"/>
      <c r="AS129" s="98"/>
      <c r="AT129" s="98"/>
      <c r="AU129" s="98"/>
      <c r="AV129" s="98"/>
      <c r="AW129" s="65"/>
      <c r="AX129" s="99"/>
      <c r="AY129" s="99"/>
      <c r="AZ129" s="104" t="str">
        <f>IF('BMP P Tracking Table'!$AL129="Yes",IF('BMP P Tracking Table'!$AM129="No",'BMP P Tracking Table'!$V129*VLOOKUP('BMP P Tracking Table'!$R129,'Loading Rates'!$B$1:$L$24,4,FALSE)+IF('BMP P Tracking Table'!$W129="By HSG",'BMP P Tracking Table'!$X129*VLOOKUP('BMP P Tracking Table'!$R129,'Loading Rates'!$B$1:$L$24,6,FALSE)+'BMP P Tracking Table'!$Y129*VLOOKUP('BMP P Tracking Table'!$R129,'Loading Rates'!$B$1:$L$24,7,FALSE)+'BMP P Tracking Table'!$Z129*VLOOKUP('BMP P Tracking Table'!$R129,'Loading Rates'!$B$1:$L$24,8,FALSE)+'BMP P Tracking Table'!$AA129*VLOOKUP('BMP P Tracking Table'!$R129,'Loading Rates'!$B$1:$L$24,9,FALSE),'BMP P Tracking Table'!$AB129*VLOOKUP('BMP P Tracking Table'!$R129,'Loading Rates'!$B$1:$L$24,10,FALSE)),'BMP P Tracking Table'!$AP129*VLOOKUP('BMP P Tracking Table'!$R129,'Loading Rates'!$B$1:$L$24,4,FALSE)+IF('BMP P Tracking Table'!$AQ129="By HSG",'BMP P Tracking Table'!$AR129*VLOOKUP('BMP P Tracking Table'!$R129,'Loading Rates'!$B$1:$L$24,6,FALSE)+'BMP P Tracking Table'!$AS129*VLOOKUP('BMP P Tracking Table'!$R129,'Loading Rates'!$B$1:$L$24,7,FALSE)+'BMP P Tracking Table'!$AT129*VLOOKUP('BMP P Tracking Table'!$R129,'Loading Rates'!$B$1:$L$24,8,FALSE)+'BMP P Tracking Table'!$AU129*VLOOKUP('BMP P Tracking Table'!$R129,'Loading Rates'!$B$1:$L$24,9,FALSE),'BMP P Tracking Table'!$AV129*VLOOKUP('BMP P Tracking Table'!$R129,'Loading Rates'!$B$1:$L$24,10,FALSE))),"")</f>
        <v/>
      </c>
      <c r="BA129" s="104">
        <f>IFERROR(IF('BMP P Tracking Table'!$AM129="Yes",MIN(2,IF('BMP P Tracking Table'!$AQ129="Total Pervious",(-(3630*'BMP P Tracking Table'!$AP129+20.691*'BMP P Tracking Table'!$AV129)+SQRT((3630*'BMP P Tracking Table'!$AP129+20.691*'BMP P Tracking Table'!$AV129)^2-(4*(996.798*'BMP P Tracking Table'!$AV129)*-'BMP P Tracking Table'!$AX129)))/(2*(996.798*'BMP P Tracking Table'!$AV129)),IF(SUM('BMP P Tracking Table'!$AR129:$AU129)=0,'BMP P Tracking Table'!$AV129/(-3630*'BMP P Tracking Table'!$AP129),(-(3630*'BMP P Tracking Table'!$AP129+20.691*'BMP P Tracking Table'!$AU129-216.711*'BMP P Tracking Table'!$AT129-83.853*'BMP P Tracking Table'!$AS129-42.834*'BMP P Tracking Table'!$AR129)+SQRT((3630*'BMP P Tracking Table'!$AP129+20.691*'BMP P Tracking Table'!$AU129-216.711*'BMP P Tracking Table'!$AT129-83.853*'BMP P Tracking Table'!$AS129-42.834*'BMP P Tracking Table'!$AR129)^2-(4*(149.919*'BMP P Tracking Table'!$AR129+236.676*'BMP P Tracking Table'!$AS129+726*'BMP P Tracking Table'!$AT129+996.798*'BMP P Tracking Table'!$AU129)*-'BMP P Tracking Table'!$AX129)))/(2*(149.919*'BMP P Tracking Table'!$AR129+236.676*'BMP P Tracking Table'!$AS129+726*'BMP P Tracking Table'!$AT129+996.798*'BMP P Tracking Table'!$AU129))))),MIN(2,IF('BMP P Tracking Table'!$AQ129="Total Pervious",(-(3630*'BMP P Tracking Table'!$V129+20.691*'BMP P Tracking Table'!$AB129)+SQRT((3630*'BMP P Tracking Table'!$V129+20.691*'BMP P Tracking Table'!$AB129)^2-(4*(996.798*'BMP P Tracking Table'!$AB129)*-'BMP P Tracking Table'!$AX129)))/(2*(996.798*'BMP P Tracking Table'!$AB129)),IF(SUM('BMP P Tracking Table'!$X129:$AA129)=0,'BMP P Tracking Table'!$AX129/(-3630*'BMP P Tracking Table'!$V129),(-(3630*'BMP P Tracking Table'!$V129+20.691*'BMP P Tracking Table'!$AA129-216.711*'BMP P Tracking Table'!$Z129-83.853*'BMP P Tracking Table'!$Y129-42.834*'BMP P Tracking Table'!$X129)+SQRT((3630*'BMP P Tracking Table'!$V129+20.691*'BMP P Tracking Table'!$AA129-216.711*'BMP P Tracking Table'!$Z129-83.853*'BMP P Tracking Table'!$Y129-42.834*'BMP P Tracking Table'!$X129)^2-(4*(149.919*'BMP P Tracking Table'!$X129+236.676*'BMP P Tracking Table'!$Y129+726*'BMP P Tracking Table'!$Z129+996.798*'BMP P Tracking Table'!$AA129)*-'BMP P Tracking Table'!$AX129)))/(2*(149.919*'BMP P Tracking Table'!$X129+236.676*'BMP P Tracking Table'!$Y129+726*'BMP P Tracking Table'!$Z129+996.798*'BMP P Tracking Table'!$AA129)))))),"")</f>
        <v>0</v>
      </c>
      <c r="BB129" s="102" t="str">
        <f>IFERROR((VLOOKUP(CONCATENATE('BMP P Tracking Table'!$AW129," ",'BMP P Tracking Table'!$AY129),'Performance Curves'!$C$1:$L$46,_xlfn.SINGLE(MATCH('BMP P Tracking Table'!$BA129,'Performance Curves'!$D$1:$L$1,1))+2,FALSE)-VLOOKUP(CONCATENATE('BMP P Tracking Table'!$AW129," ",'BMP P Tracking Table'!$AY129),'Performance Curves'!$C$1:$L$46,_xlfn.SINGLE(MATCH('BMP P Tracking Table'!$BA129,'Performance Curves'!$D$1:$L$1,1))+1,FALSE)),"")</f>
        <v/>
      </c>
      <c r="BC129" s="102">
        <f>IFERROR(('BMP P Tracking Table'!$BA129-INDEX('Performance Curves'!$D$1:$L$1,1,MATCH('BMP P Tracking Table'!$BA129,'Performance Curves'!$D$1:$L$1,1)))/(INDEX('Performance Curves'!$D$1:$L$1,1,MATCH('BMP P Tracking Table'!$BA129,'Performance Curves'!$D$1:$L$1,1)+1)-INDEX('Performance Curves'!$D$1:$L$1,1,MATCH('BMP P Tracking Table'!$BA129,'Performance Curves'!$D$1:$L$1,1))),"")</f>
        <v>0</v>
      </c>
      <c r="BD129" s="103" t="str" cm="1">
        <f t="array" ref="BD129">IFERROR(IF('BMP P Tracking Table'!$BA129=2,VLOOKUP(CONCATENATE('BMP P Tracking Table'!$AW129," ",'BMP P Tracking Table'!$AY129),'Performance Curves'!$C$1:$L$44,_xlfn.SINGLE(MATCH('BMP P Tracking Table'!$BA129,'Performance Curves'!$D$1:$L$1,1))+1,FALSE),'BMP P Tracking Table'!$BB129*'BMP P Tracking Table'!$BC129+VLOOKUP(CONCATENATE('BMP P Tracking Table'!$AW129," ",'BMP P Tracking Table'!$AY129),'Performance Curves'!$C$1:$L$44,_xlfn.SINGLE(MATCH('BMP P Tracking Table'!$BA129,'Performance Curves'!$D$1:$L$1,1))+1,FALSE)),"")</f>
        <v/>
      </c>
      <c r="BE129" s="104" t="str">
        <f>IFERROR('BMP P Tracking Table'!$BD129*'BMP P Tracking Table'!$AZ129,"")</f>
        <v/>
      </c>
      <c r="BF129" s="98"/>
      <c r="BG129" s="37">
        <f t="shared" si="17"/>
        <v>0</v>
      </c>
      <c r="BI129" s="36" t="str">
        <f t="shared" si="7"/>
        <v>EX-WR-011</v>
      </c>
      <c r="BJ129" s="36" t="str">
        <f t="shared" si="8"/>
        <v>CB1120 1121 Wildwood Dr drywells</v>
      </c>
      <c r="BK129" s="36" t="s">
        <v>808</v>
      </c>
      <c r="BP129" s="36" t="s">
        <v>872</v>
      </c>
      <c r="BQ129" s="36">
        <f t="shared" si="18"/>
        <v>0.77500000000000002</v>
      </c>
      <c r="BR129" s="36">
        <f t="shared" si="19"/>
        <v>0.54</v>
      </c>
      <c r="BS129" s="101">
        <f t="shared" si="20"/>
        <v>0.3032258064516129</v>
      </c>
      <c r="BT129" s="238">
        <f t="shared" si="21"/>
        <v>80851.063829787236</v>
      </c>
      <c r="BU129" s="238">
        <f t="shared" si="22"/>
        <v>52544.794034486964</v>
      </c>
    </row>
    <row r="130" spans="1:73">
      <c r="A130" s="36" t="s">
        <v>706</v>
      </c>
      <c r="B130" s="65" t="s">
        <v>714</v>
      </c>
      <c r="C130" s="65" t="s">
        <v>710</v>
      </c>
      <c r="D130" s="65" t="s">
        <v>327</v>
      </c>
      <c r="E130" s="65" t="s">
        <v>9</v>
      </c>
      <c r="F130" s="94"/>
      <c r="G130" s="94"/>
      <c r="H130" s="65"/>
      <c r="I130" s="65"/>
      <c r="J130" s="65" t="s">
        <v>66</v>
      </c>
      <c r="K130" s="95">
        <f>ROUNDUP((VLOOKUP($U130,Dropdowns!$G$3:$I$17, 3, FALSE))*$AC130,-2)</f>
        <v>91200</v>
      </c>
      <c r="L130" s="65" t="s">
        <v>49</v>
      </c>
      <c r="M130" s="65"/>
      <c r="N130" s="65"/>
      <c r="O130" s="65"/>
      <c r="P130" s="65"/>
      <c r="Q130" s="65" t="s">
        <v>119</v>
      </c>
      <c r="R130" s="65" t="s">
        <v>146</v>
      </c>
      <c r="S130" s="65" t="str">
        <f>IFERROR(VLOOKUP('BMP P Tracking Table'!$R130,Dropdowns!$Q$3:$R$23,2,FALSE),"")</f>
        <v>Main Lake</v>
      </c>
      <c r="T130" s="65" t="s">
        <v>66</v>
      </c>
      <c r="U130" s="65" t="s">
        <v>47</v>
      </c>
      <c r="V130" s="65">
        <f>0.77+0.57</f>
        <v>1.3399999999999999</v>
      </c>
      <c r="W130" s="65" t="s">
        <v>220</v>
      </c>
      <c r="X130" s="65">
        <v>2.42</v>
      </c>
      <c r="Y130" s="65">
        <v>0</v>
      </c>
      <c r="Z130" s="65">
        <v>0</v>
      </c>
      <c r="AA130" s="65">
        <v>0</v>
      </c>
      <c r="AB130" s="65"/>
      <c r="AC130" s="97">
        <f>((1*(0.05+0.009*((V130/(V130+X130+Y130))*100)*(V130+X130+Y130))/12)*43560)</f>
        <v>4559.2799999999988</v>
      </c>
      <c r="AD130" s="65" t="s">
        <v>205</v>
      </c>
      <c r="AE130" s="104">
        <f>IFERROR('BMP P Tracking Table'!$V130*VLOOKUP('BMP P Tracking Table'!$R130,'Loading Rates'!$B$1:$L$24,4,FALSE)+IF('BMP P Tracking Table'!$W130="By HSG",'BMP P Tracking Table'!$X130*VLOOKUP('BMP P Tracking Table'!$R130,'Loading Rates'!$B$1:$L$24,6,FALSE)+'BMP P Tracking Table'!$Y130*VLOOKUP('BMP P Tracking Table'!$R130,'Loading Rates'!$B$1:$L$24,7,FALSE)+'BMP P Tracking Table'!$Z130*VLOOKUP('BMP P Tracking Table'!$R130,'Loading Rates'!$B$1:$L$24,8,FALSE)+'BMP P Tracking Table'!$AA130*VLOOKUP('BMP P Tracking Table'!$R130,'Loading Rates'!$B$1:$L$24,9,FALSE),'BMP P Tracking Table'!$AB130*VLOOKUP('BMP P Tracking Table'!$R130,'Loading Rates'!$B$1:$L$24,10,FALSE)),"")</f>
        <v>1.5451799999999998</v>
      </c>
      <c r="AF130" s="104">
        <f>IFERROR(MIN(2,IF('BMP P Tracking Table'!$W130="Total Pervious",(-(3630*'BMP P Tracking Table'!$V130+20.691*'BMP P Tracking Table'!$AB130)+SQRT((3630*'BMP P Tracking Table'!$V130+20.691*'BMP P Tracking Table'!$AB130)^2-(4*(996.798*'BMP P Tracking Table'!$AB130)*-'BMP P Tracking Table'!$AC130)))/(2*(996.798*'BMP P Tracking Table'!$AB130)),IF(SUM('BMP P Tracking Table'!$X130:$AA130)=0,'BMP P Tracking Table'!$AC130/(-3630*'BMP P Tracking Table'!$V130),(-(3630*'BMP P Tracking Table'!$V130+20.691*'BMP P Tracking Table'!$AA130-216.711*'BMP P Tracking Table'!$Z130-83.853*'BMP P Tracking Table'!$Y130-42.834*'BMP P Tracking Table'!$X130)+SQRT((3630*'BMP P Tracking Table'!$V130+20.691*'BMP P Tracking Table'!$AA130-216.711*'BMP P Tracking Table'!$Z130-83.853*'BMP P Tracking Table'!$Y130-42.834*'BMP P Tracking Table'!$X130)^2-(4*(149.919*'BMP P Tracking Table'!$X130+236.676*'BMP P Tracking Table'!$Y130+726*'BMP P Tracking Table'!$Z130+996.798*'BMP P Tracking Table'!$AA130)*-'BMP P Tracking Table'!$AC130)))/(2*(149.919*'BMP P Tracking Table'!$X130+236.676*'BMP P Tracking Table'!$Y130+726*'BMP P Tracking Table'!$Z130+996.798*'BMP P Tracking Table'!$AA130))))),"")</f>
        <v>0.89647492994863631</v>
      </c>
      <c r="AG130" s="104">
        <f>IFERROR((VLOOKUP(CONCATENATE('BMP P Tracking Table'!$U130," ",'BMP P Tracking Table'!$AD130),'Performance Curves'!$C$1:$L$46,_xlfn.SINGLE(MATCH('BMP P Tracking Table'!$AF130,'Performance Curves'!$D$1:$L$1,1))+2,FALSE)-VLOOKUP(CONCATENATE('BMP P Tracking Table'!$U130," ",'BMP P Tracking Table'!$AD130),'Performance Curves'!$C$1:$L$46,_xlfn.SINGLE(MATCH('BMP P Tracking Table'!$AF130,'Performance Curves'!$D$1:$L$1,1))+1,FALSE)),"")</f>
        <v>1.0000000000000009E-2</v>
      </c>
      <c r="AH130" s="104">
        <f>IFERROR(('BMP P Tracking Table'!$AF130-INDEX('Performance Curves'!$D$1:$L$1,1,MATCH('BMP P Tracking Table'!$AF130,'Performance Curves'!$D$1:$L$1,1)))/(INDEX('Performance Curves'!$D$1:$L$1,1,MATCH('BMP P Tracking Table'!$AF130,'Performance Curves'!$D$1:$L$1,1)+1)-INDEX('Performance Curves'!$D$1:$L$1,1,MATCH('BMP P Tracking Table'!$AF130,'Performance Curves'!$D$1:$L$1,1))),"")</f>
        <v>0.48237464974318145</v>
      </c>
      <c r="AI130" s="103">
        <f>IFERROR(IF('BMP P Tracking Table'!$AF130=2,VLOOKUP(CONCATENATE('BMP P Tracking Table'!$U130," ",'BMP P Tracking Table'!$AD130),'Performance Curves'!$C$1:$L$46,_xlfn.SINGLE(MATCH('BMP P Tracking Table'!$AF130,'Performance Curves'!$D$1:$L$1,1))+1,FALSE),'BMP P Tracking Table'!$AG130*'BMP P Tracking Table'!$AH130+VLOOKUP(CONCATENATE('BMP P Tracking Table'!$U130," ",'BMP P Tracking Table'!$AD130),'Performance Curves'!$C$1:$L$46,_xlfn.SINGLE(MATCH('BMP P Tracking Table'!$AF130,'Performance Curves'!$D$1:$L$1,1))+1,FALSE)),"")</f>
        <v>0.99482374649743177</v>
      </c>
      <c r="AJ130" s="104">
        <f>IFERROR('BMP P Tracking Table'!$AI130*'BMP P Tracking Table'!$AE130,"")</f>
        <v>1.5371817566129014</v>
      </c>
      <c r="AK130" s="65"/>
      <c r="AL130" s="98" t="s">
        <v>62</v>
      </c>
      <c r="AM130" s="98"/>
      <c r="AN130" s="64">
        <v>1</v>
      </c>
      <c r="AO130" s="102">
        <f t="shared" si="16"/>
        <v>1.5371817566129014</v>
      </c>
      <c r="AP130" s="98"/>
      <c r="AQ130" s="98"/>
      <c r="AR130" s="98"/>
      <c r="AS130" s="98"/>
      <c r="AT130" s="98"/>
      <c r="AU130" s="98"/>
      <c r="AV130" s="98"/>
      <c r="AW130" s="65"/>
      <c r="AX130" s="99"/>
      <c r="AY130" s="99"/>
      <c r="AZ130" s="104" t="str">
        <f>IF('BMP P Tracking Table'!$AL130="Yes",IF('BMP P Tracking Table'!$AM130="No",'BMP P Tracking Table'!$V130*VLOOKUP('BMP P Tracking Table'!$R130,'Loading Rates'!$B$1:$L$24,4,FALSE)+IF('BMP P Tracking Table'!$W130="By HSG",'BMP P Tracking Table'!$X130*VLOOKUP('BMP P Tracking Table'!$R130,'Loading Rates'!$B$1:$L$24,6,FALSE)+'BMP P Tracking Table'!$Y130*VLOOKUP('BMP P Tracking Table'!$R130,'Loading Rates'!$B$1:$L$24,7,FALSE)+'BMP P Tracking Table'!$Z130*VLOOKUP('BMP P Tracking Table'!$R130,'Loading Rates'!$B$1:$L$24,8,FALSE)+'BMP P Tracking Table'!$AA130*VLOOKUP('BMP P Tracking Table'!$R130,'Loading Rates'!$B$1:$L$24,9,FALSE),'BMP P Tracking Table'!$AB130*VLOOKUP('BMP P Tracking Table'!$R130,'Loading Rates'!$B$1:$L$24,10,FALSE)),'BMP P Tracking Table'!$AP130*VLOOKUP('BMP P Tracking Table'!$R130,'Loading Rates'!$B$1:$L$24,4,FALSE)+IF('BMP P Tracking Table'!$AQ130="By HSG",'BMP P Tracking Table'!$AR130*VLOOKUP('BMP P Tracking Table'!$R130,'Loading Rates'!$B$1:$L$24,6,FALSE)+'BMP P Tracking Table'!$AS130*VLOOKUP('BMP P Tracking Table'!$R130,'Loading Rates'!$B$1:$L$24,7,FALSE)+'BMP P Tracking Table'!$AT130*VLOOKUP('BMP P Tracking Table'!$R130,'Loading Rates'!$B$1:$L$24,8,FALSE)+'BMP P Tracking Table'!$AU130*VLOOKUP('BMP P Tracking Table'!$R130,'Loading Rates'!$B$1:$L$24,9,FALSE),'BMP P Tracking Table'!$AV130*VLOOKUP('BMP P Tracking Table'!$R130,'Loading Rates'!$B$1:$L$24,10,FALSE))),"")</f>
        <v/>
      </c>
      <c r="BA130" s="104">
        <f>IFERROR(IF('BMP P Tracking Table'!$AM130="Yes",MIN(2,IF('BMP P Tracking Table'!$AQ130="Total Pervious",(-(3630*'BMP P Tracking Table'!$AP130+20.691*'BMP P Tracking Table'!$AV130)+SQRT((3630*'BMP P Tracking Table'!$AP130+20.691*'BMP P Tracking Table'!$AV130)^2-(4*(996.798*'BMP P Tracking Table'!$AV130)*-'BMP P Tracking Table'!$AX130)))/(2*(996.798*'BMP P Tracking Table'!$AV130)),IF(SUM('BMP P Tracking Table'!$AR130:$AU130)=0,'BMP P Tracking Table'!$AV130/(-3630*'BMP P Tracking Table'!$AP130),(-(3630*'BMP P Tracking Table'!$AP130+20.691*'BMP P Tracking Table'!$AU130-216.711*'BMP P Tracking Table'!$AT130-83.853*'BMP P Tracking Table'!$AS130-42.834*'BMP P Tracking Table'!$AR130)+SQRT((3630*'BMP P Tracking Table'!$AP130+20.691*'BMP P Tracking Table'!$AU130-216.711*'BMP P Tracking Table'!$AT130-83.853*'BMP P Tracking Table'!$AS130-42.834*'BMP P Tracking Table'!$AR130)^2-(4*(149.919*'BMP P Tracking Table'!$AR130+236.676*'BMP P Tracking Table'!$AS130+726*'BMP P Tracking Table'!$AT130+996.798*'BMP P Tracking Table'!$AU130)*-'BMP P Tracking Table'!$AX130)))/(2*(149.919*'BMP P Tracking Table'!$AR130+236.676*'BMP P Tracking Table'!$AS130+726*'BMP P Tracking Table'!$AT130+996.798*'BMP P Tracking Table'!$AU130))))),MIN(2,IF('BMP P Tracking Table'!$AQ130="Total Pervious",(-(3630*'BMP P Tracking Table'!$V130+20.691*'BMP P Tracking Table'!$AB130)+SQRT((3630*'BMP P Tracking Table'!$V130+20.691*'BMP P Tracking Table'!$AB130)^2-(4*(996.798*'BMP P Tracking Table'!$AB130)*-'BMP P Tracking Table'!$AX130)))/(2*(996.798*'BMP P Tracking Table'!$AB130)),IF(SUM('BMP P Tracking Table'!$X130:$AA130)=0,'BMP P Tracking Table'!$AX130/(-3630*'BMP P Tracking Table'!$V130),(-(3630*'BMP P Tracking Table'!$V130+20.691*'BMP P Tracking Table'!$AA130-216.711*'BMP P Tracking Table'!$Z130-83.853*'BMP P Tracking Table'!$Y130-42.834*'BMP P Tracking Table'!$X130)+SQRT((3630*'BMP P Tracking Table'!$V130+20.691*'BMP P Tracking Table'!$AA130-216.711*'BMP P Tracking Table'!$Z130-83.853*'BMP P Tracking Table'!$Y130-42.834*'BMP P Tracking Table'!$X130)^2-(4*(149.919*'BMP P Tracking Table'!$X130+236.676*'BMP P Tracking Table'!$Y130+726*'BMP P Tracking Table'!$Z130+996.798*'BMP P Tracking Table'!$AA130)*-'BMP P Tracking Table'!$AX130)))/(2*(149.919*'BMP P Tracking Table'!$X130+236.676*'BMP P Tracking Table'!$Y130+726*'BMP P Tracking Table'!$Z130+996.798*'BMP P Tracking Table'!$AA130)))))),"")</f>
        <v>0</v>
      </c>
      <c r="BB130" s="102" t="str">
        <f>IFERROR((VLOOKUP(CONCATENATE('BMP P Tracking Table'!$AW130," ",'BMP P Tracking Table'!$AY130),'Performance Curves'!$C$1:$L$46,_xlfn.SINGLE(MATCH('BMP P Tracking Table'!$BA130,'Performance Curves'!$D$1:$L$1,1))+2,FALSE)-VLOOKUP(CONCATENATE('BMP P Tracking Table'!$AW130," ",'BMP P Tracking Table'!$AY130),'Performance Curves'!$C$1:$L$46,_xlfn.SINGLE(MATCH('BMP P Tracking Table'!$BA130,'Performance Curves'!$D$1:$L$1,1))+1,FALSE)),"")</f>
        <v/>
      </c>
      <c r="BC130" s="102">
        <f>IFERROR(('BMP P Tracking Table'!$BA130-INDEX('Performance Curves'!$D$1:$L$1,1,MATCH('BMP P Tracking Table'!$BA130,'Performance Curves'!$D$1:$L$1,1)))/(INDEX('Performance Curves'!$D$1:$L$1,1,MATCH('BMP P Tracking Table'!$BA130,'Performance Curves'!$D$1:$L$1,1)+1)-INDEX('Performance Curves'!$D$1:$L$1,1,MATCH('BMP P Tracking Table'!$BA130,'Performance Curves'!$D$1:$L$1,1))),"")</f>
        <v>0</v>
      </c>
      <c r="BD130" s="103" t="str" cm="1">
        <f t="array" ref="BD130">IFERROR(IF('BMP P Tracking Table'!$BA130=2,VLOOKUP(CONCATENATE('BMP P Tracking Table'!$AW130," ",'BMP P Tracking Table'!$AY130),'Performance Curves'!$C$1:$L$44,_xlfn.SINGLE(MATCH('BMP P Tracking Table'!$BA130,'Performance Curves'!$D$1:$L$1,1))+1,FALSE),'BMP P Tracking Table'!$BB130*'BMP P Tracking Table'!$BC130+VLOOKUP(CONCATENATE('BMP P Tracking Table'!$AW130," ",'BMP P Tracking Table'!$AY130),'Performance Curves'!$C$1:$L$44,_xlfn.SINGLE(MATCH('BMP P Tracking Table'!$BA130,'Performance Curves'!$D$1:$L$1,1))+1,FALSE)),"")</f>
        <v/>
      </c>
      <c r="BE130" s="104" t="str">
        <f>IFERROR('BMP P Tracking Table'!$BD130*'BMP P Tracking Table'!$AZ130,"")</f>
        <v/>
      </c>
      <c r="BF130" s="98"/>
      <c r="BG130" s="37">
        <f t="shared" si="17"/>
        <v>0</v>
      </c>
      <c r="BI130" s="36" t="str">
        <f t="shared" si="7"/>
        <v>EX-WR-002</v>
      </c>
      <c r="BJ130" s="36" t="str">
        <f t="shared" si="8"/>
        <v>CB772-775 Foster Rd drywells</v>
      </c>
      <c r="BL130" s="36" t="s">
        <v>833</v>
      </c>
      <c r="BM130" s="36" t="s">
        <v>838</v>
      </c>
      <c r="BN130" s="36" t="s">
        <v>831</v>
      </c>
      <c r="BO130" s="36" t="s">
        <v>819</v>
      </c>
      <c r="BP130" s="36" t="s">
        <v>874</v>
      </c>
      <c r="BQ130" s="36">
        <f t="shared" si="18"/>
        <v>3.76</v>
      </c>
      <c r="BR130" s="36">
        <f t="shared" si="19"/>
        <v>2.42</v>
      </c>
      <c r="BS130" s="101">
        <f t="shared" si="20"/>
        <v>0.35638297872340424</v>
      </c>
      <c r="BT130" s="238">
        <f t="shared" si="21"/>
        <v>68059.701492537322</v>
      </c>
      <c r="BU130" s="238">
        <f t="shared" si="22"/>
        <v>59329.353609396443</v>
      </c>
    </row>
    <row r="131" spans="1:73">
      <c r="A131" s="36" t="s">
        <v>895</v>
      </c>
      <c r="B131" s="36" t="s">
        <v>895</v>
      </c>
      <c r="C131" s="65" t="s">
        <v>887</v>
      </c>
      <c r="D131" s="65" t="s">
        <v>327</v>
      </c>
      <c r="E131" s="65" t="s">
        <v>9</v>
      </c>
      <c r="F131" s="94"/>
      <c r="G131" s="94"/>
      <c r="H131" s="36" t="s">
        <v>895</v>
      </c>
      <c r="I131" s="65"/>
      <c r="J131" s="65" t="s">
        <v>66</v>
      </c>
      <c r="K131" s="95"/>
      <c r="L131" s="65" t="s">
        <v>111</v>
      </c>
      <c r="M131" s="65"/>
      <c r="N131" s="96">
        <v>41950</v>
      </c>
      <c r="O131" s="65"/>
      <c r="P131" s="65"/>
      <c r="Q131" s="65" t="s">
        <v>119</v>
      </c>
      <c r="R131" s="65" t="s">
        <v>146</v>
      </c>
      <c r="S131" s="65" t="str">
        <f>IFERROR(VLOOKUP('BMP P Tracking Table'!$R131,Dropdowns!$Q$3:$R$23,2,FALSE),"")</f>
        <v>Main Lake</v>
      </c>
      <c r="T131" s="65" t="s">
        <v>66</v>
      </c>
      <c r="U131" s="65" t="s">
        <v>47</v>
      </c>
      <c r="V131" s="65">
        <v>0.8</v>
      </c>
      <c r="W131" s="65" t="s">
        <v>220</v>
      </c>
      <c r="X131" s="65">
        <v>0.2</v>
      </c>
      <c r="Y131" s="65">
        <v>0</v>
      </c>
      <c r="Z131" s="65">
        <v>0</v>
      </c>
      <c r="AA131" s="65">
        <v>0</v>
      </c>
      <c r="AB131" s="65"/>
      <c r="AC131" s="97">
        <f>((1*(0.05+0.009*((V131/(V131+X131))*100))*(V131+X131))/12)*43560</f>
        <v>2795.1</v>
      </c>
      <c r="AD131" s="65" t="s">
        <v>205</v>
      </c>
      <c r="AE131" s="104">
        <f>IFERROR('BMP P Tracking Table'!$V131*VLOOKUP('BMP P Tracking Table'!$R131,'Loading Rates'!$B$1:$L$24,4,FALSE)+IF('BMP P Tracking Table'!$W131="By HSG",'BMP P Tracking Table'!$X131*VLOOKUP('BMP P Tracking Table'!$R131,'Loading Rates'!$B$1:$L$24,6,FALSE)+'BMP P Tracking Table'!$Y131*VLOOKUP('BMP P Tracking Table'!$R131,'Loading Rates'!$B$1:$L$24,7,FALSE)+'BMP P Tracking Table'!$Z131*VLOOKUP('BMP P Tracking Table'!$R131,'Loading Rates'!$B$1:$L$24,8,FALSE)+'BMP P Tracking Table'!$AA131*VLOOKUP('BMP P Tracking Table'!$R131,'Loading Rates'!$B$1:$L$24,9,FALSE),'BMP P Tracking Table'!$AB131*VLOOKUP('BMP P Tracking Table'!$R131,'Loading Rates'!$B$1:$L$24,10,FALSE)),"")</f>
        <v>0.89760000000000006</v>
      </c>
      <c r="AF131" s="104">
        <f>IFERROR(MIN(2,IF('BMP P Tracking Table'!$W131="Total Pervious",(-(3630*'BMP P Tracking Table'!$V131+20.691*'BMP P Tracking Table'!$AB131)+SQRT((3630*'BMP P Tracking Table'!$V131+20.691*'BMP P Tracking Table'!$AB131)^2-(4*(996.798*'BMP P Tracking Table'!$AB131)*-'BMP P Tracking Table'!$AC131)))/(2*(996.798*'BMP P Tracking Table'!$AB131)),IF(SUM('BMP P Tracking Table'!$X131:$AA131)=0,'BMP P Tracking Table'!$AC131/(-3630*'BMP P Tracking Table'!$V131),(-(3630*'BMP P Tracking Table'!$V131+20.691*'BMP P Tracking Table'!$AA131-216.711*'BMP P Tracking Table'!$Z131-83.853*'BMP P Tracking Table'!$Y131-42.834*'BMP P Tracking Table'!$X131)+SQRT((3630*'BMP P Tracking Table'!$V131+20.691*'BMP P Tracking Table'!$AA131-216.711*'BMP P Tracking Table'!$Z131-83.853*'BMP P Tracking Table'!$Y131-42.834*'BMP P Tracking Table'!$X131)^2-(4*(149.919*'BMP P Tracking Table'!$X131+236.676*'BMP P Tracking Table'!$Y131+726*'BMP P Tracking Table'!$Z131+996.798*'BMP P Tracking Table'!$AA131)*-'BMP P Tracking Table'!$AC131)))/(2*(149.919*'BMP P Tracking Table'!$X131+236.676*'BMP P Tracking Table'!$Y131+726*'BMP P Tracking Table'!$Z131+996.798*'BMP P Tracking Table'!$AA131))))),"")</f>
        <v>0.9558857294280616</v>
      </c>
      <c r="AG131" s="104">
        <f>IFERROR((VLOOKUP(CONCATENATE('BMP P Tracking Table'!$U131," ",'BMP P Tracking Table'!$AD131),'Performance Curves'!$C$1:$L$46,_xlfn.SINGLE(MATCH('BMP P Tracking Table'!$AF131,'Performance Curves'!$D$1:$L$1,1))+2,FALSE)-VLOOKUP(CONCATENATE('BMP P Tracking Table'!$U131," ",'BMP P Tracking Table'!$AD131),'Performance Curves'!$C$1:$L$46,_xlfn.SINGLE(MATCH('BMP P Tracking Table'!$AF131,'Performance Curves'!$D$1:$L$1,1))+1,FALSE)),"")</f>
        <v>1.0000000000000009E-2</v>
      </c>
      <c r="AH131" s="104">
        <f>IFERROR(('BMP P Tracking Table'!$AF131-INDEX('Performance Curves'!$D$1:$L$1,1,MATCH('BMP P Tracking Table'!$AF131,'Performance Curves'!$D$1:$L$1,1)))/(INDEX('Performance Curves'!$D$1:$L$1,1,MATCH('BMP P Tracking Table'!$AF131,'Performance Curves'!$D$1:$L$1,1)+1)-INDEX('Performance Curves'!$D$1:$L$1,1,MATCH('BMP P Tracking Table'!$AF131,'Performance Curves'!$D$1:$L$1,1))),"")</f>
        <v>0.77942864714030802</v>
      </c>
      <c r="AI131" s="103">
        <f>IFERROR(IF('BMP P Tracking Table'!$AF131=2,VLOOKUP(CONCATENATE('BMP P Tracking Table'!$U131," ",'BMP P Tracking Table'!$AD131),'Performance Curves'!$C$1:$L$46,_xlfn.SINGLE(MATCH('BMP P Tracking Table'!$AF131,'Performance Curves'!$D$1:$L$1,1))+1,FALSE),'BMP P Tracking Table'!$AG131*'BMP P Tracking Table'!$AH131+VLOOKUP(CONCATENATE('BMP P Tracking Table'!$U131," ",'BMP P Tracking Table'!$AD131),'Performance Curves'!$C$1:$L$46,_xlfn.SINGLE(MATCH('BMP P Tracking Table'!$AF131,'Performance Curves'!$D$1:$L$1,1))+1,FALSE)),"")</f>
        <v>0.99779428647140311</v>
      </c>
      <c r="AJ131" s="104">
        <f>IFERROR('BMP P Tracking Table'!$AI131*'BMP P Tracking Table'!$AE131,"")</f>
        <v>0.89562015153673147</v>
      </c>
      <c r="AK131" s="65"/>
      <c r="AL131" s="98" t="s">
        <v>62</v>
      </c>
      <c r="AM131" s="98"/>
      <c r="AN131" s="64">
        <v>1</v>
      </c>
      <c r="AO131" s="102">
        <f t="shared" si="16"/>
        <v>0.89562015153673147</v>
      </c>
      <c r="AP131" s="98"/>
      <c r="AQ131" s="98"/>
      <c r="AR131" s="98"/>
      <c r="AS131" s="98"/>
      <c r="AT131" s="98"/>
      <c r="AU131" s="98"/>
      <c r="AV131" s="98"/>
      <c r="AW131" s="65"/>
      <c r="AX131" s="99"/>
      <c r="AY131" s="99"/>
      <c r="AZ131" s="104" t="str">
        <f>IF('BMP P Tracking Table'!$AL131="Yes",IF('BMP P Tracking Table'!$AM131="No",'BMP P Tracking Table'!$V131*VLOOKUP('BMP P Tracking Table'!$R131,'Loading Rates'!$B$1:$L$24,4,FALSE)+IF('BMP P Tracking Table'!$W131="By HSG",'BMP P Tracking Table'!$X131*VLOOKUP('BMP P Tracking Table'!$R131,'Loading Rates'!$B$1:$L$24,6,FALSE)+'BMP P Tracking Table'!$Y131*VLOOKUP('BMP P Tracking Table'!$R131,'Loading Rates'!$B$1:$L$24,7,FALSE)+'BMP P Tracking Table'!$Z131*VLOOKUP('BMP P Tracking Table'!$R131,'Loading Rates'!$B$1:$L$24,8,FALSE)+'BMP P Tracking Table'!$AA131*VLOOKUP('BMP P Tracking Table'!$R131,'Loading Rates'!$B$1:$L$24,9,FALSE),'BMP P Tracking Table'!$AB131*VLOOKUP('BMP P Tracking Table'!$R131,'Loading Rates'!$B$1:$L$24,10,FALSE)),'BMP P Tracking Table'!$AP131*VLOOKUP('BMP P Tracking Table'!$R131,'Loading Rates'!$B$1:$L$24,4,FALSE)+IF('BMP P Tracking Table'!$AQ131="By HSG",'BMP P Tracking Table'!$AR131*VLOOKUP('BMP P Tracking Table'!$R131,'Loading Rates'!$B$1:$L$24,6,FALSE)+'BMP P Tracking Table'!$AS131*VLOOKUP('BMP P Tracking Table'!$R131,'Loading Rates'!$B$1:$L$24,7,FALSE)+'BMP P Tracking Table'!$AT131*VLOOKUP('BMP P Tracking Table'!$R131,'Loading Rates'!$B$1:$L$24,8,FALSE)+'BMP P Tracking Table'!$AU131*VLOOKUP('BMP P Tracking Table'!$R131,'Loading Rates'!$B$1:$L$24,9,FALSE),'BMP P Tracking Table'!$AV131*VLOOKUP('BMP P Tracking Table'!$R131,'Loading Rates'!$B$1:$L$24,10,FALSE))),"")</f>
        <v/>
      </c>
      <c r="BA131" s="104">
        <f>IFERROR(IF('BMP P Tracking Table'!$AM131="Yes",MIN(2,IF('BMP P Tracking Table'!$AQ131="Total Pervious",(-(3630*'BMP P Tracking Table'!$AP131+20.691*'BMP P Tracking Table'!$AV131)+SQRT((3630*'BMP P Tracking Table'!$AP131+20.691*'BMP P Tracking Table'!$AV131)^2-(4*(996.798*'BMP P Tracking Table'!$AV131)*-'BMP P Tracking Table'!$AX131)))/(2*(996.798*'BMP P Tracking Table'!$AV131)),IF(SUM('BMP P Tracking Table'!$AR131:$AU131)=0,'BMP P Tracking Table'!$AV131/(-3630*'BMP P Tracking Table'!$AP131),(-(3630*'BMP P Tracking Table'!$AP131+20.691*'BMP P Tracking Table'!$AU131-216.711*'BMP P Tracking Table'!$AT131-83.853*'BMP P Tracking Table'!$AS131-42.834*'BMP P Tracking Table'!$AR131)+SQRT((3630*'BMP P Tracking Table'!$AP131+20.691*'BMP P Tracking Table'!$AU131-216.711*'BMP P Tracking Table'!$AT131-83.853*'BMP P Tracking Table'!$AS131-42.834*'BMP P Tracking Table'!$AR131)^2-(4*(149.919*'BMP P Tracking Table'!$AR131+236.676*'BMP P Tracking Table'!$AS131+726*'BMP P Tracking Table'!$AT131+996.798*'BMP P Tracking Table'!$AU131)*-'BMP P Tracking Table'!$AX131)))/(2*(149.919*'BMP P Tracking Table'!$AR131+236.676*'BMP P Tracking Table'!$AS131+726*'BMP P Tracking Table'!$AT131+996.798*'BMP P Tracking Table'!$AU131))))),MIN(2,IF('BMP P Tracking Table'!$AQ131="Total Pervious",(-(3630*'BMP P Tracking Table'!$V131+20.691*'BMP P Tracking Table'!$AB131)+SQRT((3630*'BMP P Tracking Table'!$V131+20.691*'BMP P Tracking Table'!$AB131)^2-(4*(996.798*'BMP P Tracking Table'!$AB131)*-'BMP P Tracking Table'!$AX131)))/(2*(996.798*'BMP P Tracking Table'!$AB131)),IF(SUM('BMP P Tracking Table'!$X131:$AA131)=0,'BMP P Tracking Table'!$AX131/(-3630*'BMP P Tracking Table'!$V131),(-(3630*'BMP P Tracking Table'!$V131+20.691*'BMP P Tracking Table'!$AA131-216.711*'BMP P Tracking Table'!$Z131-83.853*'BMP P Tracking Table'!$Y131-42.834*'BMP P Tracking Table'!$X131)+SQRT((3630*'BMP P Tracking Table'!$V131+20.691*'BMP P Tracking Table'!$AA131-216.711*'BMP P Tracking Table'!$Z131-83.853*'BMP P Tracking Table'!$Y131-42.834*'BMP P Tracking Table'!$X131)^2-(4*(149.919*'BMP P Tracking Table'!$X131+236.676*'BMP P Tracking Table'!$Y131+726*'BMP P Tracking Table'!$Z131+996.798*'BMP P Tracking Table'!$AA131)*-'BMP P Tracking Table'!$AX131)))/(2*(149.919*'BMP P Tracking Table'!$X131+236.676*'BMP P Tracking Table'!$Y131+726*'BMP P Tracking Table'!$Z131+996.798*'BMP P Tracking Table'!$AA131)))))),"")</f>
        <v>0</v>
      </c>
      <c r="BB131" s="102" t="str">
        <f>IFERROR((VLOOKUP(CONCATENATE('BMP P Tracking Table'!$AW131," ",'BMP P Tracking Table'!$AY131),'Performance Curves'!$C$1:$L$46,_xlfn.SINGLE(MATCH('BMP P Tracking Table'!$BA131,'Performance Curves'!$D$1:$L$1,1))+2,FALSE)-VLOOKUP(CONCATENATE('BMP P Tracking Table'!$AW131," ",'BMP P Tracking Table'!$AY131),'Performance Curves'!$C$1:$L$46,_xlfn.SINGLE(MATCH('BMP P Tracking Table'!$BA131,'Performance Curves'!$D$1:$L$1,1))+1,FALSE)),"")</f>
        <v/>
      </c>
      <c r="BC131" s="102">
        <f>IFERROR(('BMP P Tracking Table'!$BA131-INDEX('Performance Curves'!$D$1:$L$1,1,MATCH('BMP P Tracking Table'!$BA131,'Performance Curves'!$D$1:$L$1,1)))/(INDEX('Performance Curves'!$D$1:$L$1,1,MATCH('BMP P Tracking Table'!$BA131,'Performance Curves'!$D$1:$L$1,1)+1)-INDEX('Performance Curves'!$D$1:$L$1,1,MATCH('BMP P Tracking Table'!$BA131,'Performance Curves'!$D$1:$L$1,1))),"")</f>
        <v>0</v>
      </c>
      <c r="BD131" s="103" t="str" cm="1">
        <f t="array" ref="BD131">IFERROR(IF('BMP P Tracking Table'!$BA131=2,VLOOKUP(CONCATENATE('BMP P Tracking Table'!$AW131," ",'BMP P Tracking Table'!$AY131),'Performance Curves'!$C$1:$L$44,_xlfn.SINGLE(MATCH('BMP P Tracking Table'!$BA131,'Performance Curves'!$D$1:$L$1,1))+1,FALSE),'BMP P Tracking Table'!$BB131*'BMP P Tracking Table'!$BC131+VLOOKUP(CONCATENATE('BMP P Tracking Table'!$AW131," ",'BMP P Tracking Table'!$AY131),'Performance Curves'!$C$1:$L$44,_xlfn.SINGLE(MATCH('BMP P Tracking Table'!$BA131,'Performance Curves'!$D$1:$L$1,1))+1,FALSE)),"")</f>
        <v/>
      </c>
      <c r="BE131" s="104" t="str">
        <f>IFERROR('BMP P Tracking Table'!$BD131*'BMP P Tracking Table'!$AZ131,"")</f>
        <v/>
      </c>
      <c r="BF131" s="92"/>
      <c r="BG131" s="37">
        <f t="shared" si="17"/>
        <v>0</v>
      </c>
      <c r="BH131" s="216" t="s">
        <v>888</v>
      </c>
      <c r="BI131" s="36" t="str">
        <f t="shared" si="7"/>
        <v>4181-9050.2</v>
      </c>
      <c r="BJ131" s="36" t="str">
        <f t="shared" si="8"/>
        <v>Thompson Drive infiltration</v>
      </c>
      <c r="BS131" s="36"/>
    </row>
    <row r="132" spans="1:73" ht="15.75" customHeight="1">
      <c r="B132" s="134" t="s">
        <v>753</v>
      </c>
      <c r="C132" s="134" t="s">
        <v>754</v>
      </c>
      <c r="D132" s="65" t="s">
        <v>325</v>
      </c>
      <c r="E132" s="65" t="s">
        <v>10</v>
      </c>
      <c r="F132" s="94"/>
      <c r="G132" s="94"/>
      <c r="H132" s="65"/>
      <c r="I132" s="65"/>
      <c r="J132" s="65" t="s">
        <v>66</v>
      </c>
      <c r="K132" s="95">
        <f>ROUNDUP((VLOOKUP($U132,Dropdowns!$G$3:$I$17, 3, FALSE))*$AC132,-2)</f>
        <v>36200</v>
      </c>
      <c r="L132" s="65" t="s">
        <v>49</v>
      </c>
      <c r="M132" s="65"/>
      <c r="N132" s="65"/>
      <c r="O132" s="65"/>
      <c r="P132" s="65"/>
      <c r="Q132" s="65" t="s">
        <v>119</v>
      </c>
      <c r="R132" s="65" t="s">
        <v>146</v>
      </c>
      <c r="S132" s="65" t="str">
        <f>IFERROR(VLOOKUP('BMP P Tracking Table'!$R132,Dropdowns!$Q$3:$R$23,2,FALSE),"")</f>
        <v>Main Lake</v>
      </c>
      <c r="T132" s="65" t="s">
        <v>66</v>
      </c>
      <c r="U132" s="65" t="s">
        <v>47</v>
      </c>
      <c r="V132" s="65">
        <f>0.39+0.12</f>
        <v>0.51</v>
      </c>
      <c r="W132" s="65" t="s">
        <v>220</v>
      </c>
      <c r="X132" s="65">
        <v>0.27</v>
      </c>
      <c r="Y132" s="65">
        <v>0</v>
      </c>
      <c r="Z132" s="65">
        <v>0</v>
      </c>
      <c r="AA132" s="65">
        <v>0</v>
      </c>
      <c r="AB132" s="65"/>
      <c r="AC132" s="97">
        <f>((1*(0.05+0.009*((V132/(V132+X132))*100))*(V132+X132))/12)*43560</f>
        <v>1807.74</v>
      </c>
      <c r="AD132" s="65" t="s">
        <v>205</v>
      </c>
      <c r="AE132" s="104">
        <f>IFERROR('BMP P Tracking Table'!$V132*VLOOKUP('BMP P Tracking Table'!$R132,'Loading Rates'!$B$1:$L$24,4,FALSE)+IF('BMP P Tracking Table'!$W132="By HSG",'BMP P Tracking Table'!$X132*VLOOKUP('BMP P Tracking Table'!$R132,'Loading Rates'!$B$1:$L$24,6,FALSE)+'BMP P Tracking Table'!$Y132*VLOOKUP('BMP P Tracking Table'!$R132,'Loading Rates'!$B$1:$L$24,7,FALSE)+'BMP P Tracking Table'!$Z132*VLOOKUP('BMP P Tracking Table'!$R132,'Loading Rates'!$B$1:$L$24,8,FALSE)+'BMP P Tracking Table'!$AA132*VLOOKUP('BMP P Tracking Table'!$R132,'Loading Rates'!$B$1:$L$24,9,FALSE),'BMP P Tracking Table'!$AB132*VLOOKUP('BMP P Tracking Table'!$R132,'Loading Rates'!$B$1:$L$24,10,FALSE)),"")</f>
        <v>0.57506999999999997</v>
      </c>
      <c r="AF132" s="104">
        <f>IFERROR(MIN(2,IF('BMP P Tracking Table'!$W132="Total Pervious",(-(3630*'BMP P Tracking Table'!$V132+20.691*'BMP P Tracking Table'!$AB132)+SQRT((3630*'BMP P Tracking Table'!$V132+20.691*'BMP P Tracking Table'!$AB132)^2-(4*(996.798*'BMP P Tracking Table'!$AB132)*-'BMP P Tracking Table'!$AC132)))/(2*(996.798*'BMP P Tracking Table'!$AB132)),IF(SUM('BMP P Tracking Table'!$X132:$AA132)=0,'BMP P Tracking Table'!$AC132/(-3630*'BMP P Tracking Table'!$V132),(-(3630*'BMP P Tracking Table'!$V132+20.691*'BMP P Tracking Table'!$AA132-216.711*'BMP P Tracking Table'!$Z132-83.853*'BMP P Tracking Table'!$Y132-42.834*'BMP P Tracking Table'!$X132)+SQRT((3630*'BMP P Tracking Table'!$V132+20.691*'BMP P Tracking Table'!$AA132-216.711*'BMP P Tracking Table'!$Z132-83.853*'BMP P Tracking Table'!$Y132-42.834*'BMP P Tracking Table'!$X132)^2-(4*(149.919*'BMP P Tracking Table'!$X132+236.676*'BMP P Tracking Table'!$Y132+726*'BMP P Tracking Table'!$Z132+996.798*'BMP P Tracking Table'!$AA132)*-'BMP P Tracking Table'!$AC132)))/(2*(149.919*'BMP P Tracking Table'!$X132+236.676*'BMP P Tracking Table'!$Y132+726*'BMP P Tracking Table'!$Z132+996.798*'BMP P Tracking Table'!$AA132))))),"")</f>
        <v>0.96223720006570457</v>
      </c>
      <c r="AG132" s="104">
        <f>IFERROR((VLOOKUP(CONCATENATE('BMP P Tracking Table'!$U132," ",'BMP P Tracking Table'!$AD132),'Performance Curves'!$C$1:$L$46,_xlfn.SINGLE(MATCH('BMP P Tracking Table'!$AF132,'Performance Curves'!$D$1:$L$1,1))+2,FALSE)-VLOOKUP(CONCATENATE('BMP P Tracking Table'!$U132," ",'BMP P Tracking Table'!$AD132),'Performance Curves'!$C$1:$L$46,_xlfn.SINGLE(MATCH('BMP P Tracking Table'!$AF132,'Performance Curves'!$D$1:$L$1,1))+1,FALSE)),"")</f>
        <v>1.0000000000000009E-2</v>
      </c>
      <c r="AH132" s="104">
        <f>IFERROR(('BMP P Tracking Table'!$AF132-INDEX('Performance Curves'!$D$1:$L$1,1,MATCH('BMP P Tracking Table'!$AF132,'Performance Curves'!$D$1:$L$1,1)))/(INDEX('Performance Curves'!$D$1:$L$1,1,MATCH('BMP P Tracking Table'!$AF132,'Performance Curves'!$D$1:$L$1,1)+1)-INDEX('Performance Curves'!$D$1:$L$1,1,MATCH('BMP P Tracking Table'!$AF132,'Performance Curves'!$D$1:$L$1,1))),"")</f>
        <v>0.81118600032852284</v>
      </c>
      <c r="AI132" s="103">
        <f>IFERROR(IF('BMP P Tracking Table'!$AF132=2,VLOOKUP(CONCATENATE('BMP P Tracking Table'!$U132," ",'BMP P Tracking Table'!$AD132),'Performance Curves'!$C$1:$L$46,_xlfn.SINGLE(MATCH('BMP P Tracking Table'!$AF132,'Performance Curves'!$D$1:$L$1,1))+1,FALSE),'BMP P Tracking Table'!$AG132*'BMP P Tracking Table'!$AH132+VLOOKUP(CONCATENATE('BMP P Tracking Table'!$U132," ",'BMP P Tracking Table'!$AD132),'Performance Curves'!$C$1:$L$46,_xlfn.SINGLE(MATCH('BMP P Tracking Table'!$AF132,'Performance Curves'!$D$1:$L$1,1))+1,FALSE)),"")</f>
        <v>0.99811186000328522</v>
      </c>
      <c r="AJ132" s="104">
        <f>IFERROR('BMP P Tracking Table'!$AI132*'BMP P Tracking Table'!$AE132,"")</f>
        <v>0.57398418733208922</v>
      </c>
      <c r="AK132" s="65"/>
      <c r="AL132" s="98" t="s">
        <v>62</v>
      </c>
      <c r="AM132" s="98"/>
      <c r="AN132" s="64">
        <v>1</v>
      </c>
      <c r="AO132" s="102">
        <f t="shared" si="16"/>
        <v>0.57398418733208922</v>
      </c>
      <c r="AP132" s="98"/>
      <c r="AQ132" s="98"/>
      <c r="AR132" s="98"/>
      <c r="AS132" s="98"/>
      <c r="AT132" s="98"/>
      <c r="AU132" s="98"/>
      <c r="AV132" s="98"/>
      <c r="AW132" s="65"/>
      <c r="AX132" s="99"/>
      <c r="AY132" s="99"/>
      <c r="AZ132" s="104" t="str">
        <f>IF('BMP P Tracking Table'!$AL132="Yes",IF('BMP P Tracking Table'!$AM132="No",'BMP P Tracking Table'!$V132*VLOOKUP('BMP P Tracking Table'!$R132,'Loading Rates'!$B$1:$L$24,4,FALSE)+IF('BMP P Tracking Table'!$W132="By HSG",'BMP P Tracking Table'!$X132*VLOOKUP('BMP P Tracking Table'!$R132,'Loading Rates'!$B$1:$L$24,6,FALSE)+'BMP P Tracking Table'!$Y132*VLOOKUP('BMP P Tracking Table'!$R132,'Loading Rates'!$B$1:$L$24,7,FALSE)+'BMP P Tracking Table'!$Z132*VLOOKUP('BMP P Tracking Table'!$R132,'Loading Rates'!$B$1:$L$24,8,FALSE)+'BMP P Tracking Table'!$AA132*VLOOKUP('BMP P Tracking Table'!$R132,'Loading Rates'!$B$1:$L$24,9,FALSE),'BMP P Tracking Table'!$AB132*VLOOKUP('BMP P Tracking Table'!$R132,'Loading Rates'!$B$1:$L$24,10,FALSE)),'BMP P Tracking Table'!$AP132*VLOOKUP('BMP P Tracking Table'!$R132,'Loading Rates'!$B$1:$L$24,4,FALSE)+IF('BMP P Tracking Table'!$AQ132="By HSG",'BMP P Tracking Table'!$AR132*VLOOKUP('BMP P Tracking Table'!$R132,'Loading Rates'!$B$1:$L$24,6,FALSE)+'BMP P Tracking Table'!$AS132*VLOOKUP('BMP P Tracking Table'!$R132,'Loading Rates'!$B$1:$L$24,7,FALSE)+'BMP P Tracking Table'!$AT132*VLOOKUP('BMP P Tracking Table'!$R132,'Loading Rates'!$B$1:$L$24,8,FALSE)+'BMP P Tracking Table'!$AU132*VLOOKUP('BMP P Tracking Table'!$R132,'Loading Rates'!$B$1:$L$24,9,FALSE),'BMP P Tracking Table'!$AV132*VLOOKUP('BMP P Tracking Table'!$R132,'Loading Rates'!$B$1:$L$24,10,FALSE))),"")</f>
        <v/>
      </c>
      <c r="BA132" s="104">
        <f>IFERROR(IF('BMP P Tracking Table'!$AM132="Yes",MIN(2,IF('BMP P Tracking Table'!$AQ132="Total Pervious",(-(3630*'BMP P Tracking Table'!$AP132+20.691*'BMP P Tracking Table'!$AV132)+SQRT((3630*'BMP P Tracking Table'!$AP132+20.691*'BMP P Tracking Table'!$AV132)^2-(4*(996.798*'BMP P Tracking Table'!$AV132)*-'BMP P Tracking Table'!$AX132)))/(2*(996.798*'BMP P Tracking Table'!$AV132)),IF(SUM('BMP P Tracking Table'!$AR132:$AU132)=0,'BMP P Tracking Table'!$AV132/(-3630*'BMP P Tracking Table'!$AP132),(-(3630*'BMP P Tracking Table'!$AP132+20.691*'BMP P Tracking Table'!$AU132-216.711*'BMP P Tracking Table'!$AT132-83.853*'BMP P Tracking Table'!$AS132-42.834*'BMP P Tracking Table'!$AR132)+SQRT((3630*'BMP P Tracking Table'!$AP132+20.691*'BMP P Tracking Table'!$AU132-216.711*'BMP P Tracking Table'!$AT132-83.853*'BMP P Tracking Table'!$AS132-42.834*'BMP P Tracking Table'!$AR132)^2-(4*(149.919*'BMP P Tracking Table'!$AR132+236.676*'BMP P Tracking Table'!$AS132+726*'BMP P Tracking Table'!$AT132+996.798*'BMP P Tracking Table'!$AU132)*-'BMP P Tracking Table'!$AX132)))/(2*(149.919*'BMP P Tracking Table'!$AR132+236.676*'BMP P Tracking Table'!$AS132+726*'BMP P Tracking Table'!$AT132+996.798*'BMP P Tracking Table'!$AU132))))),MIN(2,IF('BMP P Tracking Table'!$AQ132="Total Pervious",(-(3630*'BMP P Tracking Table'!$V132+20.691*'BMP P Tracking Table'!$AB132)+SQRT((3630*'BMP P Tracking Table'!$V132+20.691*'BMP P Tracking Table'!$AB132)^2-(4*(996.798*'BMP P Tracking Table'!$AB132)*-'BMP P Tracking Table'!$AX132)))/(2*(996.798*'BMP P Tracking Table'!$AB132)),IF(SUM('BMP P Tracking Table'!$X132:$AA132)=0,'BMP P Tracking Table'!$AX132/(-3630*'BMP P Tracking Table'!$V132),(-(3630*'BMP P Tracking Table'!$V132+20.691*'BMP P Tracking Table'!$AA132-216.711*'BMP P Tracking Table'!$Z132-83.853*'BMP P Tracking Table'!$Y132-42.834*'BMP P Tracking Table'!$X132)+SQRT((3630*'BMP P Tracking Table'!$V132+20.691*'BMP P Tracking Table'!$AA132-216.711*'BMP P Tracking Table'!$Z132-83.853*'BMP P Tracking Table'!$Y132-42.834*'BMP P Tracking Table'!$X132)^2-(4*(149.919*'BMP P Tracking Table'!$X132+236.676*'BMP P Tracking Table'!$Y132+726*'BMP P Tracking Table'!$Z132+996.798*'BMP P Tracking Table'!$AA132)*-'BMP P Tracking Table'!$AX132)))/(2*(149.919*'BMP P Tracking Table'!$X132+236.676*'BMP P Tracking Table'!$Y132+726*'BMP P Tracking Table'!$Z132+996.798*'BMP P Tracking Table'!$AA132)))))),"")</f>
        <v>0</v>
      </c>
      <c r="BB132" s="102" t="str">
        <f>IFERROR((VLOOKUP(CONCATENATE('BMP P Tracking Table'!$AW132," ",'BMP P Tracking Table'!$AY132),'Performance Curves'!$C$1:$L$46,_xlfn.SINGLE(MATCH('BMP P Tracking Table'!$BA132,'Performance Curves'!$D$1:$L$1,1))+2,FALSE)-VLOOKUP(CONCATENATE('BMP P Tracking Table'!$AW132," ",'BMP P Tracking Table'!$AY132),'Performance Curves'!$C$1:$L$46,_xlfn.SINGLE(MATCH('BMP P Tracking Table'!$BA132,'Performance Curves'!$D$1:$L$1,1))+1,FALSE)),"")</f>
        <v/>
      </c>
      <c r="BC132" s="102">
        <f>IFERROR(('BMP P Tracking Table'!$BA132-INDEX('Performance Curves'!$D$1:$L$1,1,MATCH('BMP P Tracking Table'!$BA132,'Performance Curves'!$D$1:$L$1,1)))/(INDEX('Performance Curves'!$D$1:$L$1,1,MATCH('BMP P Tracking Table'!$BA132,'Performance Curves'!$D$1:$L$1,1)+1)-INDEX('Performance Curves'!$D$1:$L$1,1,MATCH('BMP P Tracking Table'!$BA132,'Performance Curves'!$D$1:$L$1,1))),"")</f>
        <v>0</v>
      </c>
      <c r="BD132" s="103" t="str" cm="1">
        <f t="array" ref="BD132">IFERROR(IF('BMP P Tracking Table'!$BA132=2,VLOOKUP(CONCATENATE('BMP P Tracking Table'!$AW132," ",'BMP P Tracking Table'!$AY132),'Performance Curves'!$C$1:$L$44,_xlfn.SINGLE(MATCH('BMP P Tracking Table'!$BA132,'Performance Curves'!$D$1:$L$1,1))+1,FALSE),'BMP P Tracking Table'!$BB132*'BMP P Tracking Table'!$BC132+VLOOKUP(CONCATENATE('BMP P Tracking Table'!$AW132," ",'BMP P Tracking Table'!$AY132),'Performance Curves'!$C$1:$L$44,_xlfn.SINGLE(MATCH('BMP P Tracking Table'!$BA132,'Performance Curves'!$D$1:$L$1,1))+1,FALSE)),"")</f>
        <v/>
      </c>
      <c r="BE132" s="104" t="str">
        <f>IFERROR('BMP P Tracking Table'!$BD132*'BMP P Tracking Table'!$AZ132,"")</f>
        <v/>
      </c>
      <c r="BF132" s="98"/>
      <c r="BG132" s="37">
        <f t="shared" si="17"/>
        <v>0</v>
      </c>
      <c r="BI132" s="36" t="str">
        <f t="shared" ref="BI132:BI137" si="24">B132</f>
        <v>EJ-WR-021</v>
      </c>
      <c r="BJ132" s="36" t="str">
        <f t="shared" ref="BJ132:BJ142" si="25">C132</f>
        <v>CB524 Elm and Jackson drywell</v>
      </c>
      <c r="BK132" s="36" t="s">
        <v>842</v>
      </c>
      <c r="BP132" s="36" t="s">
        <v>874</v>
      </c>
      <c r="BQ132" s="36">
        <f>V132+IF(W132="By HSG",X132+Y132+Z132+AA132,AB132)</f>
        <v>0.78</v>
      </c>
      <c r="BR132" s="36">
        <f>IF(W132="By HSG",X132+Y132+Z132+AA132,AB132)</f>
        <v>0.27</v>
      </c>
      <c r="BS132" s="101">
        <f>V132/BQ132</f>
        <v>0.65384615384615385</v>
      </c>
      <c r="BT132" s="238">
        <f>K132/V132</f>
        <v>70980.392156862741</v>
      </c>
      <c r="BU132" s="238">
        <f>K132/AO132</f>
        <v>63067.939498925283</v>
      </c>
    </row>
    <row r="133" spans="1:73">
      <c r="A133" s="221" t="s">
        <v>651</v>
      </c>
      <c r="B133" s="65" t="s">
        <v>652</v>
      </c>
      <c r="C133" s="65" t="s">
        <v>653</v>
      </c>
      <c r="D133" s="65" t="s">
        <v>327</v>
      </c>
      <c r="E133" s="65" t="s">
        <v>9</v>
      </c>
      <c r="F133" s="94"/>
      <c r="G133" s="94"/>
      <c r="H133" s="65" t="s">
        <v>652</v>
      </c>
      <c r="I133" s="65"/>
      <c r="J133" s="65" t="s">
        <v>66</v>
      </c>
      <c r="K133" s="95"/>
      <c r="L133" s="65" t="s">
        <v>111</v>
      </c>
      <c r="M133" s="65"/>
      <c r="N133" s="65">
        <v>2014</v>
      </c>
      <c r="O133" s="65"/>
      <c r="P133" s="65"/>
      <c r="Q133" s="65" t="s">
        <v>119</v>
      </c>
      <c r="R133" s="65" t="s">
        <v>146</v>
      </c>
      <c r="S133" s="65" t="str">
        <f>IFERROR(VLOOKUP('BMP P Tracking Table'!$R133,Dropdowns!$Q$3:$R$23,2,FALSE),"")</f>
        <v>Main Lake</v>
      </c>
      <c r="T133" s="65" t="s">
        <v>66</v>
      </c>
      <c r="U133" s="65" t="s">
        <v>232</v>
      </c>
      <c r="V133" s="65">
        <v>1.1399999999999999</v>
      </c>
      <c r="W133" s="65" t="s">
        <v>219</v>
      </c>
      <c r="X133" s="65"/>
      <c r="Y133" s="65"/>
      <c r="Z133" s="65"/>
      <c r="AA133" s="65"/>
      <c r="AB133" s="65">
        <v>2.5</v>
      </c>
      <c r="AC133" s="97">
        <v>978</v>
      </c>
      <c r="AD133" s="65"/>
      <c r="AE133" s="104">
        <f>IFERROR('BMP P Tracking Table'!$V133*VLOOKUP('BMP P Tracking Table'!$R133,'Loading Rates'!$B$1:$L$24,4,FALSE)+IF('BMP P Tracking Table'!$W133="By HSG",'BMP P Tracking Table'!$X133*VLOOKUP('BMP P Tracking Table'!$R133,'Loading Rates'!$B$1:$L$24,6,FALSE)+'BMP P Tracking Table'!$Y133*VLOOKUP('BMP P Tracking Table'!$R133,'Loading Rates'!$B$1:$L$24,7,FALSE)+'BMP P Tracking Table'!$Z133*VLOOKUP('BMP P Tracking Table'!$R133,'Loading Rates'!$B$1:$L$24,8,FALSE)+'BMP P Tracking Table'!$AA133*VLOOKUP('BMP P Tracking Table'!$R133,'Loading Rates'!$B$1:$L$24,9,FALSE),'BMP P Tracking Table'!$AB133*VLOOKUP('BMP P Tracking Table'!$R133,'Loading Rates'!$B$1:$L$24,10,FALSE)),"")</f>
        <v>1.8508800000000001</v>
      </c>
      <c r="AF133" s="104">
        <f>IFERROR(MIN(2,IF('BMP P Tracking Table'!$W133="Total Pervious",(-(3630*'BMP P Tracking Table'!$V133+20.691*'BMP P Tracking Table'!$AB133)+SQRT((3630*'BMP P Tracking Table'!$V133+20.691*'BMP P Tracking Table'!$AB133)^2-(4*(996.798*'BMP P Tracking Table'!$AB133)*-'BMP P Tracking Table'!$AC133)))/(2*(996.798*'BMP P Tracking Table'!$AB133)),IF(SUM('BMP P Tracking Table'!$X133:$AA133)=0,'BMP P Tracking Table'!$AC133/(-3630*'BMP P Tracking Table'!$V133),(-(3630*'BMP P Tracking Table'!$V133+20.691*'BMP P Tracking Table'!$AA133-216.711*'BMP P Tracking Table'!$Z133-83.853*'BMP P Tracking Table'!$Y133-42.834*'BMP P Tracking Table'!$X133)+SQRT((3630*'BMP P Tracking Table'!$V133+20.691*'BMP P Tracking Table'!$AA133-216.711*'BMP P Tracking Table'!$Z133-83.853*'BMP P Tracking Table'!$Y133-42.834*'BMP P Tracking Table'!$X133)^2-(4*(149.919*'BMP P Tracking Table'!$X133+236.676*'BMP P Tracking Table'!$Y133+726*'BMP P Tracking Table'!$Z133+996.798*'BMP P Tracking Table'!$AA133)*-'BMP P Tracking Table'!$AC133)))/(2*(149.919*'BMP P Tracking Table'!$X133+236.676*'BMP P Tracking Table'!$Y133+726*'BMP P Tracking Table'!$Z133+996.798*'BMP P Tracking Table'!$AA133))))),"")</f>
        <v>0.20774768473217067</v>
      </c>
      <c r="AG133" s="104">
        <f>IFERROR((VLOOKUP(CONCATENATE('BMP P Tracking Table'!$U133," ",'BMP P Tracking Table'!$AD133),'Performance Curves'!$C$1:$L$46,_xlfn.SINGLE(MATCH('BMP P Tracking Table'!$AF133,'Performance Curves'!$D$1:$L$1,1))+2,FALSE)-VLOOKUP(CONCATENATE('BMP P Tracking Table'!$U133," ",'BMP P Tracking Table'!$AD133),'Performance Curves'!$C$1:$L$46,_xlfn.SINGLE(MATCH('BMP P Tracking Table'!$AF133,'Performance Curves'!$D$1:$L$1,1))+1,FALSE)),"")</f>
        <v>3.9999999999999994E-2</v>
      </c>
      <c r="AH133" s="104">
        <f>IFERROR(('BMP P Tracking Table'!$AF133-INDEX('Performance Curves'!$D$1:$L$1,1,MATCH('BMP P Tracking Table'!$AF133,'Performance Curves'!$D$1:$L$1,1)))/(INDEX('Performance Curves'!$D$1:$L$1,1,MATCH('BMP P Tracking Table'!$AF133,'Performance Curves'!$D$1:$L$1,1)+1)-INDEX('Performance Curves'!$D$1:$L$1,1,MATCH('BMP P Tracking Table'!$AF133,'Performance Curves'!$D$1:$L$1,1))),"")</f>
        <v>3.8738423660853311E-2</v>
      </c>
      <c r="AI133" s="103">
        <f>IFERROR(IF('BMP P Tracking Table'!$AF133=2,VLOOKUP(CONCATENATE('BMP P Tracking Table'!$U133," ",'BMP P Tracking Table'!$AD133),'Performance Curves'!$C$1:$L$46,_xlfn.SINGLE(MATCH('BMP P Tracking Table'!$AF133,'Performance Curves'!$D$1:$L$1,1))+1,FALSE),'BMP P Tracking Table'!$AG133*'BMP P Tracking Table'!$AH133+VLOOKUP(CONCATENATE('BMP P Tracking Table'!$U133," ",'BMP P Tracking Table'!$AD133),'Performance Curves'!$C$1:$L$46,_xlfn.SINGLE(MATCH('BMP P Tracking Table'!$AF133,'Performance Curves'!$D$1:$L$1,1))+1,FALSE)),"")</f>
        <v>5.1549536946434132E-2</v>
      </c>
      <c r="AJ133" s="104">
        <f>IFERROR('BMP P Tracking Table'!$AI133*'BMP P Tracking Table'!$AE133,"")</f>
        <v>9.5412006943416006E-2</v>
      </c>
      <c r="AK133" s="65"/>
      <c r="AL133" s="98" t="s">
        <v>62</v>
      </c>
      <c r="AM133" s="98"/>
      <c r="AN133" s="64">
        <v>1</v>
      </c>
      <c r="AO133" s="102">
        <f t="shared" si="16"/>
        <v>9.5412006943416006E-2</v>
      </c>
      <c r="AP133" s="98"/>
      <c r="AQ133" s="98"/>
      <c r="AR133" s="98"/>
      <c r="AS133" s="98"/>
      <c r="AT133" s="98"/>
      <c r="AU133" s="98"/>
      <c r="AV133" s="98"/>
      <c r="AW133" s="65"/>
      <c r="AX133" s="99"/>
      <c r="AY133" s="99"/>
      <c r="AZ133" s="104" t="str">
        <f>IF('BMP P Tracking Table'!$AL133="Yes",IF('BMP P Tracking Table'!$AM133="No",'BMP P Tracking Table'!$V133*VLOOKUP('BMP P Tracking Table'!$R133,'Loading Rates'!$B$1:$L$24,4,FALSE)+IF('BMP P Tracking Table'!$W133="By HSG",'BMP P Tracking Table'!$X133*VLOOKUP('BMP P Tracking Table'!$R133,'Loading Rates'!$B$1:$L$24,6,FALSE)+'BMP P Tracking Table'!$Y133*VLOOKUP('BMP P Tracking Table'!$R133,'Loading Rates'!$B$1:$L$24,7,FALSE)+'BMP P Tracking Table'!$Z133*VLOOKUP('BMP P Tracking Table'!$R133,'Loading Rates'!$B$1:$L$24,8,FALSE)+'BMP P Tracking Table'!$AA133*VLOOKUP('BMP P Tracking Table'!$R133,'Loading Rates'!$B$1:$L$24,9,FALSE),'BMP P Tracking Table'!$AB133*VLOOKUP('BMP P Tracking Table'!$R133,'Loading Rates'!$B$1:$L$24,10,FALSE)),'BMP P Tracking Table'!$AP133*VLOOKUP('BMP P Tracking Table'!$R133,'Loading Rates'!$B$1:$L$24,4,FALSE)+IF('BMP P Tracking Table'!$AQ133="By HSG",'BMP P Tracking Table'!$AR133*VLOOKUP('BMP P Tracking Table'!$R133,'Loading Rates'!$B$1:$L$24,6,FALSE)+'BMP P Tracking Table'!$AS133*VLOOKUP('BMP P Tracking Table'!$R133,'Loading Rates'!$B$1:$L$24,7,FALSE)+'BMP P Tracking Table'!$AT133*VLOOKUP('BMP P Tracking Table'!$R133,'Loading Rates'!$B$1:$L$24,8,FALSE)+'BMP P Tracking Table'!$AU133*VLOOKUP('BMP P Tracking Table'!$R133,'Loading Rates'!$B$1:$L$24,9,FALSE),'BMP P Tracking Table'!$AV133*VLOOKUP('BMP P Tracking Table'!$R133,'Loading Rates'!$B$1:$L$24,10,FALSE))),"")</f>
        <v/>
      </c>
      <c r="BA133" s="104">
        <f>IFERROR(IF('BMP P Tracking Table'!$AM133="Yes",MIN(2,IF('BMP P Tracking Table'!$AQ133="Total Pervious",(-(3630*'BMP P Tracking Table'!$AP133+20.691*'BMP P Tracking Table'!$AV133)+SQRT((3630*'BMP P Tracking Table'!$AP133+20.691*'BMP P Tracking Table'!$AV133)^2-(4*(996.798*'BMP P Tracking Table'!$AV133)*-'BMP P Tracking Table'!$AX133)))/(2*(996.798*'BMP P Tracking Table'!$AV133)),IF(SUM('BMP P Tracking Table'!$AR133:$AU133)=0,'BMP P Tracking Table'!$AV133/(-3630*'BMP P Tracking Table'!$AP133),(-(3630*'BMP P Tracking Table'!$AP133+20.691*'BMP P Tracking Table'!$AU133-216.711*'BMP P Tracking Table'!$AT133-83.853*'BMP P Tracking Table'!$AS133-42.834*'BMP P Tracking Table'!$AR133)+SQRT((3630*'BMP P Tracking Table'!$AP133+20.691*'BMP P Tracking Table'!$AU133-216.711*'BMP P Tracking Table'!$AT133-83.853*'BMP P Tracking Table'!$AS133-42.834*'BMP P Tracking Table'!$AR133)^2-(4*(149.919*'BMP P Tracking Table'!$AR133+236.676*'BMP P Tracking Table'!$AS133+726*'BMP P Tracking Table'!$AT133+996.798*'BMP P Tracking Table'!$AU133)*-'BMP P Tracking Table'!$AX133)))/(2*(149.919*'BMP P Tracking Table'!$AR133+236.676*'BMP P Tracking Table'!$AS133+726*'BMP P Tracking Table'!$AT133+996.798*'BMP P Tracking Table'!$AU133))))),MIN(2,IF('BMP P Tracking Table'!$AQ133="Total Pervious",(-(3630*'BMP P Tracking Table'!$V133+20.691*'BMP P Tracking Table'!$AB133)+SQRT((3630*'BMP P Tracking Table'!$V133+20.691*'BMP P Tracking Table'!$AB133)^2-(4*(996.798*'BMP P Tracking Table'!$AB133)*-'BMP P Tracking Table'!$AX133)))/(2*(996.798*'BMP P Tracking Table'!$AB133)),IF(SUM('BMP P Tracking Table'!$X133:$AA133)=0,'BMP P Tracking Table'!$AX133/(-3630*'BMP P Tracking Table'!$V133),(-(3630*'BMP P Tracking Table'!$V133+20.691*'BMP P Tracking Table'!$AA133-216.711*'BMP P Tracking Table'!$Z133-83.853*'BMP P Tracking Table'!$Y133-42.834*'BMP P Tracking Table'!$X133)+SQRT((3630*'BMP P Tracking Table'!$V133+20.691*'BMP P Tracking Table'!$AA133-216.711*'BMP P Tracking Table'!$Z133-83.853*'BMP P Tracking Table'!$Y133-42.834*'BMP P Tracking Table'!$X133)^2-(4*(149.919*'BMP P Tracking Table'!$X133+236.676*'BMP P Tracking Table'!$Y133+726*'BMP P Tracking Table'!$Z133+996.798*'BMP P Tracking Table'!$AA133)*-'BMP P Tracking Table'!$AX133)))/(2*(149.919*'BMP P Tracking Table'!$X133+236.676*'BMP P Tracking Table'!$Y133+726*'BMP P Tracking Table'!$Z133+996.798*'BMP P Tracking Table'!$AA133)))))),"")</f>
        <v>0</v>
      </c>
      <c r="BB133" s="102" t="str">
        <f>IFERROR((VLOOKUP(CONCATENATE('BMP P Tracking Table'!$AW133," ",'BMP P Tracking Table'!$AY133),'Performance Curves'!$C$1:$L$46,_xlfn.SINGLE(MATCH('BMP P Tracking Table'!$BA133,'Performance Curves'!$D$1:$L$1,1))+2,FALSE)-VLOOKUP(CONCATENATE('BMP P Tracking Table'!$AW133," ",'BMP P Tracking Table'!$AY133),'Performance Curves'!$C$1:$L$46,_xlfn.SINGLE(MATCH('BMP P Tracking Table'!$BA133,'Performance Curves'!$D$1:$L$1,1))+1,FALSE)),"")</f>
        <v/>
      </c>
      <c r="BC133" s="102">
        <f>IFERROR(('BMP P Tracking Table'!$BA133-INDEX('Performance Curves'!$D$1:$L$1,1,MATCH('BMP P Tracking Table'!$BA133,'Performance Curves'!$D$1:$L$1,1)))/(INDEX('Performance Curves'!$D$1:$L$1,1,MATCH('BMP P Tracking Table'!$BA133,'Performance Curves'!$D$1:$L$1,1)+1)-INDEX('Performance Curves'!$D$1:$L$1,1,MATCH('BMP P Tracking Table'!$BA133,'Performance Curves'!$D$1:$L$1,1))),"")</f>
        <v>0</v>
      </c>
      <c r="BD133" s="103" t="str" cm="1">
        <f t="array" ref="BD133">IFERROR(IF('BMP P Tracking Table'!$BA133=2,VLOOKUP(CONCATENATE('BMP P Tracking Table'!$AW133," ",'BMP P Tracking Table'!$AY133),'Performance Curves'!$C$1:$L$44,_xlfn.SINGLE(MATCH('BMP P Tracking Table'!$BA133,'Performance Curves'!$D$1:$L$1,1))+1,FALSE),'BMP P Tracking Table'!$BB133*'BMP P Tracking Table'!$BC133+VLOOKUP(CONCATENATE('BMP P Tracking Table'!$AW133," ",'BMP P Tracking Table'!$AY133),'Performance Curves'!$C$1:$L$44,_xlfn.SINGLE(MATCH('BMP P Tracking Table'!$BA133,'Performance Curves'!$D$1:$L$1,1))+1,FALSE)),"")</f>
        <v/>
      </c>
      <c r="BE133" s="104" t="str">
        <f>IFERROR('BMP P Tracking Table'!$BD133*'BMP P Tracking Table'!$AZ133,"")</f>
        <v/>
      </c>
      <c r="BF133" s="98"/>
      <c r="BG133" s="37">
        <f t="shared" si="17"/>
        <v>0</v>
      </c>
      <c r="BI133" s="36" t="str">
        <f t="shared" si="24"/>
        <v>7025.9014.ARA</v>
      </c>
      <c r="BJ133" s="36" t="str">
        <f t="shared" si="25"/>
        <v>Essex Police Station</v>
      </c>
      <c r="BS133" s="36"/>
    </row>
    <row r="134" spans="1:73">
      <c r="A134" s="36" t="s">
        <v>894</v>
      </c>
      <c r="B134" s="36" t="s">
        <v>894</v>
      </c>
      <c r="C134" s="65" t="s">
        <v>889</v>
      </c>
      <c r="D134" s="65" t="s">
        <v>327</v>
      </c>
      <c r="E134" s="65" t="s">
        <v>9</v>
      </c>
      <c r="F134" s="94"/>
      <c r="G134" s="94"/>
      <c r="H134" s="36" t="s">
        <v>894</v>
      </c>
      <c r="I134" s="65"/>
      <c r="J134" s="65" t="s">
        <v>66</v>
      </c>
      <c r="K134" s="95"/>
      <c r="L134" s="65" t="s">
        <v>111</v>
      </c>
      <c r="M134" s="65"/>
      <c r="N134" s="65">
        <v>2012</v>
      </c>
      <c r="O134" s="65"/>
      <c r="P134" s="65"/>
      <c r="Q134" s="65" t="s">
        <v>119</v>
      </c>
      <c r="R134" s="65" t="s">
        <v>146</v>
      </c>
      <c r="S134" s="65" t="str">
        <f>IFERROR(VLOOKUP('BMP P Tracking Table'!$R134,Dropdowns!$Q$3:$R$23,2,FALSE),"")</f>
        <v>Main Lake</v>
      </c>
      <c r="T134" s="65" t="s">
        <v>66</v>
      </c>
      <c r="U134" s="65" t="s">
        <v>161</v>
      </c>
      <c r="V134" s="65">
        <v>1.81</v>
      </c>
      <c r="W134" s="65" t="s">
        <v>220</v>
      </c>
      <c r="X134" s="65">
        <v>1</v>
      </c>
      <c r="Y134" s="65">
        <v>0</v>
      </c>
      <c r="Z134" s="65">
        <v>0</v>
      </c>
      <c r="AA134" s="65">
        <v>0</v>
      </c>
      <c r="AB134" s="65"/>
      <c r="AC134" s="97">
        <f>((1*(0.05+0.009*((V134/(V134+X134))*100))*(V134+X134))/12)*43560</f>
        <v>6423.2850000000008</v>
      </c>
      <c r="AD134" s="65" t="s">
        <v>206</v>
      </c>
      <c r="AE134" s="104">
        <f>IFERROR('BMP P Tracking Table'!$V134*VLOOKUP('BMP P Tracking Table'!$R134,'Loading Rates'!$B$1:$L$24,4,FALSE)+IF('BMP P Tracking Table'!$W134="By HSG",'BMP P Tracking Table'!$X134*VLOOKUP('BMP P Tracking Table'!$R134,'Loading Rates'!$B$1:$L$24,6,FALSE)+'BMP P Tracking Table'!$Y134*VLOOKUP('BMP P Tracking Table'!$R134,'Loading Rates'!$B$1:$L$24,7,FALSE)+'BMP P Tracking Table'!$Z134*VLOOKUP('BMP P Tracking Table'!$R134,'Loading Rates'!$B$1:$L$24,8,FALSE)+'BMP P Tracking Table'!$AA134*VLOOKUP('BMP P Tracking Table'!$R134,'Loading Rates'!$B$1:$L$24,9,FALSE),'BMP P Tracking Table'!$AB134*VLOOKUP('BMP P Tracking Table'!$R134,'Loading Rates'!$B$1:$L$24,10,FALSE)),"")</f>
        <v>2.0417700000000001</v>
      </c>
      <c r="AF134" s="104">
        <f>IFERROR(MIN(2,IF('BMP P Tracking Table'!$W134="Total Pervious",(-(3630*'BMP P Tracking Table'!$V134+20.691*'BMP P Tracking Table'!$AB134)+SQRT((3630*'BMP P Tracking Table'!$V134+20.691*'BMP P Tracking Table'!$AB134)^2-(4*(996.798*'BMP P Tracking Table'!$AB134)*-'BMP P Tracking Table'!$AC134)))/(2*(996.798*'BMP P Tracking Table'!$AB134)),IF(SUM('BMP P Tracking Table'!$X134:$AA134)=0,'BMP P Tracking Table'!$AC134/(-3630*'BMP P Tracking Table'!$V134),(-(3630*'BMP P Tracking Table'!$V134+20.691*'BMP P Tracking Table'!$AA134-216.711*'BMP P Tracking Table'!$Z134-83.853*'BMP P Tracking Table'!$Y134-42.834*'BMP P Tracking Table'!$X134)+SQRT((3630*'BMP P Tracking Table'!$V134+20.691*'BMP P Tracking Table'!$AA134-216.711*'BMP P Tracking Table'!$Z134-83.853*'BMP P Tracking Table'!$Y134-42.834*'BMP P Tracking Table'!$X134)^2-(4*(149.919*'BMP P Tracking Table'!$X134+236.676*'BMP P Tracking Table'!$Y134+726*'BMP P Tracking Table'!$Z134+996.798*'BMP P Tracking Table'!$AA134)*-'BMP P Tracking Table'!$AC134)))/(2*(149.919*'BMP P Tracking Table'!$X134+236.676*'BMP P Tracking Table'!$Y134+726*'BMP P Tracking Table'!$Z134+996.798*'BMP P Tracking Table'!$AA134))))),"")</f>
        <v>0.962751328027872</v>
      </c>
      <c r="AG134" s="104">
        <f>IFERROR((VLOOKUP(CONCATENATE('BMP P Tracking Table'!$U134," ",'BMP P Tracking Table'!$AD134),'Performance Curves'!$C$1:$L$46,_xlfn.SINGLE(MATCH('BMP P Tracking Table'!$AF134,'Performance Curves'!$D$1:$L$1,1))+2,FALSE)-VLOOKUP(CONCATENATE('BMP P Tracking Table'!$U134," ",'BMP P Tracking Table'!$AD134),'Performance Curves'!$C$1:$L$46,_xlfn.SINGLE(MATCH('BMP P Tracking Table'!$AF134,'Performance Curves'!$D$1:$L$1,1))+1,FALSE)),"")</f>
        <v>1.0000000000000009E-2</v>
      </c>
      <c r="AH134" s="104">
        <f>IFERROR(('BMP P Tracking Table'!$AF134-INDEX('Performance Curves'!$D$1:$L$1,1,MATCH('BMP P Tracking Table'!$AF134,'Performance Curves'!$D$1:$L$1,1)))/(INDEX('Performance Curves'!$D$1:$L$1,1,MATCH('BMP P Tracking Table'!$AF134,'Performance Curves'!$D$1:$L$1,1)+1)-INDEX('Performance Curves'!$D$1:$L$1,1,MATCH('BMP P Tracking Table'!$AF134,'Performance Curves'!$D$1:$L$1,1))),"")</f>
        <v>0.81375664013936</v>
      </c>
      <c r="AI134" s="103">
        <f>IFERROR(IF('BMP P Tracking Table'!$AF134=2,VLOOKUP(CONCATENATE('BMP P Tracking Table'!$U134," ",'BMP P Tracking Table'!$AD134),'Performance Curves'!$C$1:$L$46,_xlfn.SINGLE(MATCH('BMP P Tracking Table'!$AF134,'Performance Curves'!$D$1:$L$1,1))+1,FALSE),'BMP P Tracking Table'!$AG134*'BMP P Tracking Table'!$AH134+VLOOKUP(CONCATENATE('BMP P Tracking Table'!$U134," ",'BMP P Tracking Table'!$AD134),'Performance Curves'!$C$1:$L$46,_xlfn.SINGLE(MATCH('BMP P Tracking Table'!$AF134,'Performance Curves'!$D$1:$L$1,1))+1,FALSE)),"")</f>
        <v>0.9781375664013936</v>
      </c>
      <c r="AJ134" s="104">
        <f>IFERROR('BMP P Tracking Table'!$AI134*'BMP P Tracking Table'!$AE134,"")</f>
        <v>1.9971319389513735</v>
      </c>
      <c r="AK134" s="65"/>
      <c r="AL134" s="98" t="s">
        <v>62</v>
      </c>
      <c r="AM134" s="98"/>
      <c r="AN134" s="64">
        <v>1</v>
      </c>
      <c r="AO134" s="102">
        <f t="shared" si="16"/>
        <v>1.9971319389513735</v>
      </c>
      <c r="AP134" s="98"/>
      <c r="AQ134" s="98"/>
      <c r="AR134" s="98"/>
      <c r="AS134" s="98"/>
      <c r="AT134" s="98"/>
      <c r="AU134" s="98"/>
      <c r="AV134" s="98"/>
      <c r="AW134" s="65"/>
      <c r="AX134" s="99"/>
      <c r="AY134" s="99"/>
      <c r="AZ134" s="104" t="str">
        <f>IF('BMP P Tracking Table'!$AL134="Yes",IF('BMP P Tracking Table'!$AM134="No",'BMP P Tracking Table'!$V134*VLOOKUP('BMP P Tracking Table'!$R134,'Loading Rates'!$B$1:$L$24,4,FALSE)+IF('BMP P Tracking Table'!$W134="By HSG",'BMP P Tracking Table'!$X134*VLOOKUP('BMP P Tracking Table'!$R134,'Loading Rates'!$B$1:$L$24,6,FALSE)+'BMP P Tracking Table'!$Y134*VLOOKUP('BMP P Tracking Table'!$R134,'Loading Rates'!$B$1:$L$24,7,FALSE)+'BMP P Tracking Table'!$Z134*VLOOKUP('BMP P Tracking Table'!$R134,'Loading Rates'!$B$1:$L$24,8,FALSE)+'BMP P Tracking Table'!$AA134*VLOOKUP('BMP P Tracking Table'!$R134,'Loading Rates'!$B$1:$L$24,9,FALSE),'BMP P Tracking Table'!$AB134*VLOOKUP('BMP P Tracking Table'!$R134,'Loading Rates'!$B$1:$L$24,10,FALSE)),'BMP P Tracking Table'!$AP134*VLOOKUP('BMP P Tracking Table'!$R134,'Loading Rates'!$B$1:$L$24,4,FALSE)+IF('BMP P Tracking Table'!$AQ134="By HSG",'BMP P Tracking Table'!$AR134*VLOOKUP('BMP P Tracking Table'!$R134,'Loading Rates'!$B$1:$L$24,6,FALSE)+'BMP P Tracking Table'!$AS134*VLOOKUP('BMP P Tracking Table'!$R134,'Loading Rates'!$B$1:$L$24,7,FALSE)+'BMP P Tracking Table'!$AT134*VLOOKUP('BMP P Tracking Table'!$R134,'Loading Rates'!$B$1:$L$24,8,FALSE)+'BMP P Tracking Table'!$AU134*VLOOKUP('BMP P Tracking Table'!$R134,'Loading Rates'!$B$1:$L$24,9,FALSE),'BMP P Tracking Table'!$AV134*VLOOKUP('BMP P Tracking Table'!$R134,'Loading Rates'!$B$1:$L$24,10,FALSE))),"")</f>
        <v/>
      </c>
      <c r="BA134" s="104">
        <f>IFERROR(IF('BMP P Tracking Table'!$AM134="Yes",MIN(2,IF('BMP P Tracking Table'!$AQ134="Total Pervious",(-(3630*'BMP P Tracking Table'!$AP134+20.691*'BMP P Tracking Table'!$AV134)+SQRT((3630*'BMP P Tracking Table'!$AP134+20.691*'BMP P Tracking Table'!$AV134)^2-(4*(996.798*'BMP P Tracking Table'!$AV134)*-'BMP P Tracking Table'!$AX134)))/(2*(996.798*'BMP P Tracking Table'!$AV134)),IF(SUM('BMP P Tracking Table'!$AR134:$AU134)=0,'BMP P Tracking Table'!$AV134/(-3630*'BMP P Tracking Table'!$AP134),(-(3630*'BMP P Tracking Table'!$AP134+20.691*'BMP P Tracking Table'!$AU134-216.711*'BMP P Tracking Table'!$AT134-83.853*'BMP P Tracking Table'!$AS134-42.834*'BMP P Tracking Table'!$AR134)+SQRT((3630*'BMP P Tracking Table'!$AP134+20.691*'BMP P Tracking Table'!$AU134-216.711*'BMP P Tracking Table'!$AT134-83.853*'BMP P Tracking Table'!$AS134-42.834*'BMP P Tracking Table'!$AR134)^2-(4*(149.919*'BMP P Tracking Table'!$AR134+236.676*'BMP P Tracking Table'!$AS134+726*'BMP P Tracking Table'!$AT134+996.798*'BMP P Tracking Table'!$AU134)*-'BMP P Tracking Table'!$AX134)))/(2*(149.919*'BMP P Tracking Table'!$AR134+236.676*'BMP P Tracking Table'!$AS134+726*'BMP P Tracking Table'!$AT134+996.798*'BMP P Tracking Table'!$AU134))))),MIN(2,IF('BMP P Tracking Table'!$AQ134="Total Pervious",(-(3630*'BMP P Tracking Table'!$V134+20.691*'BMP P Tracking Table'!$AB134)+SQRT((3630*'BMP P Tracking Table'!$V134+20.691*'BMP P Tracking Table'!$AB134)^2-(4*(996.798*'BMP P Tracking Table'!$AB134)*-'BMP P Tracking Table'!$AX134)))/(2*(996.798*'BMP P Tracking Table'!$AB134)),IF(SUM('BMP P Tracking Table'!$X134:$AA134)=0,'BMP P Tracking Table'!$AX134/(-3630*'BMP P Tracking Table'!$V134),(-(3630*'BMP P Tracking Table'!$V134+20.691*'BMP P Tracking Table'!$AA134-216.711*'BMP P Tracking Table'!$Z134-83.853*'BMP P Tracking Table'!$Y134-42.834*'BMP P Tracking Table'!$X134)+SQRT((3630*'BMP P Tracking Table'!$V134+20.691*'BMP P Tracking Table'!$AA134-216.711*'BMP P Tracking Table'!$Z134-83.853*'BMP P Tracking Table'!$Y134-42.834*'BMP P Tracking Table'!$X134)^2-(4*(149.919*'BMP P Tracking Table'!$X134+236.676*'BMP P Tracking Table'!$Y134+726*'BMP P Tracking Table'!$Z134+996.798*'BMP P Tracking Table'!$AA134)*-'BMP P Tracking Table'!$AX134)))/(2*(149.919*'BMP P Tracking Table'!$X134+236.676*'BMP P Tracking Table'!$Y134+726*'BMP P Tracking Table'!$Z134+996.798*'BMP P Tracking Table'!$AA134)))))),"")</f>
        <v>0</v>
      </c>
      <c r="BB134" s="102" t="str">
        <f>IFERROR((VLOOKUP(CONCATENATE('BMP P Tracking Table'!$AW134," ",'BMP P Tracking Table'!$AY134),'Performance Curves'!$C$1:$L$46,_xlfn.SINGLE(MATCH('BMP P Tracking Table'!$BA134,'Performance Curves'!$D$1:$L$1,1))+2,FALSE)-VLOOKUP(CONCATENATE('BMP P Tracking Table'!$AW134," ",'BMP P Tracking Table'!$AY134),'Performance Curves'!$C$1:$L$46,_xlfn.SINGLE(MATCH('BMP P Tracking Table'!$BA134,'Performance Curves'!$D$1:$L$1,1))+1,FALSE)),"")</f>
        <v/>
      </c>
      <c r="BC134" s="102">
        <f>IFERROR(('BMP P Tracking Table'!$BA134-INDEX('Performance Curves'!$D$1:$L$1,1,MATCH('BMP P Tracking Table'!$BA134,'Performance Curves'!$D$1:$L$1,1)))/(INDEX('Performance Curves'!$D$1:$L$1,1,MATCH('BMP P Tracking Table'!$BA134,'Performance Curves'!$D$1:$L$1,1)+1)-INDEX('Performance Curves'!$D$1:$L$1,1,MATCH('BMP P Tracking Table'!$BA134,'Performance Curves'!$D$1:$L$1,1))),"")</f>
        <v>0</v>
      </c>
      <c r="BD134" s="103" t="str" cm="1">
        <f t="array" ref="BD134">IFERROR(IF('BMP P Tracking Table'!$BA134=2,VLOOKUP(CONCATENATE('BMP P Tracking Table'!$AW134," ",'BMP P Tracking Table'!$AY134),'Performance Curves'!$C$1:$L$44,_xlfn.SINGLE(MATCH('BMP P Tracking Table'!$BA134,'Performance Curves'!$D$1:$L$1,1))+1,FALSE),'BMP P Tracking Table'!$BB134*'BMP P Tracking Table'!$BC134+VLOOKUP(CONCATENATE('BMP P Tracking Table'!$AW134," ",'BMP P Tracking Table'!$AY134),'Performance Curves'!$C$1:$L$44,_xlfn.SINGLE(MATCH('BMP P Tracking Table'!$BA134,'Performance Curves'!$D$1:$L$1,1))+1,FALSE)),"")</f>
        <v/>
      </c>
      <c r="BE134" s="104" t="str">
        <f>IFERROR('BMP P Tracking Table'!$BD134*'BMP P Tracking Table'!$AZ134,"")</f>
        <v/>
      </c>
      <c r="BF134" s="98"/>
      <c r="BG134" s="37">
        <f t="shared" si="17"/>
        <v>0</v>
      </c>
      <c r="BH134" s="216" t="s">
        <v>888</v>
      </c>
      <c r="BI134" s="36" t="str">
        <f t="shared" si="24"/>
        <v>5263-9050</v>
      </c>
      <c r="BJ134" s="36" t="str">
        <f t="shared" si="25"/>
        <v>Tanglewood Drive infiltration - Birchwood Manor</v>
      </c>
      <c r="BS134" s="36"/>
    </row>
    <row r="135" spans="1:73">
      <c r="B135" s="65" t="s">
        <v>859</v>
      </c>
      <c r="C135" s="65" t="s">
        <v>860</v>
      </c>
      <c r="D135" s="65" t="s">
        <v>327</v>
      </c>
      <c r="E135" s="65" t="s">
        <v>9</v>
      </c>
      <c r="F135" s="94"/>
      <c r="G135" s="94"/>
      <c r="H135" s="65"/>
      <c r="I135" s="65"/>
      <c r="J135" s="65" t="s">
        <v>66</v>
      </c>
      <c r="K135" s="95">
        <v>647000</v>
      </c>
      <c r="L135" s="65" t="s">
        <v>178</v>
      </c>
      <c r="M135" s="65"/>
      <c r="N135" s="65"/>
      <c r="O135" s="65"/>
      <c r="P135" s="65"/>
      <c r="Q135" s="65" t="s">
        <v>119</v>
      </c>
      <c r="R135" s="65" t="s">
        <v>146</v>
      </c>
      <c r="S135" s="65" t="str">
        <f>IFERROR(VLOOKUP('BMP P Tracking Table'!$R135,Dropdowns!$Q$3:$R$23,2,FALSE),"")</f>
        <v>Main Lake</v>
      </c>
      <c r="T135" s="65" t="s">
        <v>66</v>
      </c>
      <c r="U135" s="65" t="s">
        <v>164</v>
      </c>
      <c r="V135" s="65">
        <v>3.9420000000000002</v>
      </c>
      <c r="W135" s="65" t="s">
        <v>220</v>
      </c>
      <c r="X135" s="65">
        <f>11.2-V135</f>
        <v>7.2579999999999991</v>
      </c>
      <c r="Y135" s="65">
        <v>0</v>
      </c>
      <c r="Z135" s="65">
        <v>0</v>
      </c>
      <c r="AA135" s="65">
        <v>0</v>
      </c>
      <c r="AB135" s="65">
        <v>7.2610000000000001</v>
      </c>
      <c r="AC135" s="97">
        <v>12763.06</v>
      </c>
      <c r="AD135" s="65" t="s">
        <v>205</v>
      </c>
      <c r="AE135" s="104">
        <f>IFERROR('BMP P Tracking Table'!$V135*VLOOKUP('BMP P Tracking Table'!$R135,'Loading Rates'!$B$1:$L$24,4,FALSE)+IF('BMP P Tracking Table'!$W135="By HSG",'BMP P Tracking Table'!$X135*VLOOKUP('BMP P Tracking Table'!$R135,'Loading Rates'!$B$1:$L$24,6,FALSE)+'BMP P Tracking Table'!$Y135*VLOOKUP('BMP P Tracking Table'!$R135,'Loading Rates'!$B$1:$L$24,7,FALSE)+'BMP P Tracking Table'!$Z135*VLOOKUP('BMP P Tracking Table'!$R135,'Loading Rates'!$B$1:$L$24,8,FALSE)+'BMP P Tracking Table'!$AA135*VLOOKUP('BMP P Tracking Table'!$R135,'Loading Rates'!$B$1:$L$24,9,FALSE),'BMP P Tracking Table'!$AB135*VLOOKUP('BMP P Tracking Table'!$R135,'Loading Rates'!$B$1:$L$24,10,FALSE)),"")</f>
        <v>4.5483739999999999</v>
      </c>
      <c r="AF135" s="104">
        <f>IFERROR(MIN(2,IF('BMP P Tracking Table'!$W135="Total Pervious",(-(3630*'BMP P Tracking Table'!$V135+20.691*'BMP P Tracking Table'!$AB135)+SQRT((3630*'BMP P Tracking Table'!$V135+20.691*'BMP P Tracking Table'!$AB135)^2-(4*(996.798*'BMP P Tracking Table'!$AB135)*-'BMP P Tracking Table'!$AC135)))/(2*(996.798*'BMP P Tracking Table'!$AB135)),IF(SUM('BMP P Tracking Table'!$X135:$AA135)=0,'BMP P Tracking Table'!$AC135/(-3630*'BMP P Tracking Table'!$V135),(-(3630*'BMP P Tracking Table'!$V135+20.691*'BMP P Tracking Table'!$AA135-216.711*'BMP P Tracking Table'!$Z135-83.853*'BMP P Tracking Table'!$Y135-42.834*'BMP P Tracking Table'!$X135)+SQRT((3630*'BMP P Tracking Table'!$V135+20.691*'BMP P Tracking Table'!$AA135-216.711*'BMP P Tracking Table'!$Z135-83.853*'BMP P Tracking Table'!$Y135-42.834*'BMP P Tracking Table'!$X135)^2-(4*(149.919*'BMP P Tracking Table'!$X135+236.676*'BMP P Tracking Table'!$Y135+726*'BMP P Tracking Table'!$Z135+996.798*'BMP P Tracking Table'!$AA135)*-'BMP P Tracking Table'!$AC135)))/(2*(149.919*'BMP P Tracking Table'!$X135+236.676*'BMP P Tracking Table'!$Y135+726*'BMP P Tracking Table'!$Z135+996.798*'BMP P Tracking Table'!$AA135))))),"")</f>
        <v>0.85492715836986943</v>
      </c>
      <c r="AG135" s="104">
        <f>IFERROR((VLOOKUP(CONCATENATE('BMP P Tracking Table'!$U135," ",'BMP P Tracking Table'!$AD135),'Performance Curves'!$C$1:$L$46,_xlfn.SINGLE(MATCH('BMP P Tracking Table'!$AF135,'Performance Curves'!$D$1:$L$1,1))+2,FALSE)-VLOOKUP(CONCATENATE('BMP P Tracking Table'!$U135," ",'BMP P Tracking Table'!$AD135),'Performance Curves'!$C$1:$L$46,_xlfn.SINGLE(MATCH('BMP P Tracking Table'!$AF135,'Performance Curves'!$D$1:$L$1,1))+1,FALSE)),"")</f>
        <v>1.0000000000000009E-2</v>
      </c>
      <c r="AH135" s="104">
        <f>IFERROR(('BMP P Tracking Table'!$AF135-INDEX('Performance Curves'!$D$1:$L$1,1,MATCH('BMP P Tracking Table'!$AF135,'Performance Curves'!$D$1:$L$1,1)))/(INDEX('Performance Curves'!$D$1:$L$1,1,MATCH('BMP P Tracking Table'!$AF135,'Performance Curves'!$D$1:$L$1,1)+1)-INDEX('Performance Curves'!$D$1:$L$1,1,MATCH('BMP P Tracking Table'!$AF135,'Performance Curves'!$D$1:$L$1,1))),"")</f>
        <v>0.274635791849347</v>
      </c>
      <c r="AI135" s="103">
        <f>IFERROR(IF('BMP P Tracking Table'!$AF135=2,VLOOKUP(CONCATENATE('BMP P Tracking Table'!$U135," ",'BMP P Tracking Table'!$AD135),'Performance Curves'!$C$1:$L$46,_xlfn.SINGLE(MATCH('BMP P Tracking Table'!$AF135,'Performance Curves'!$D$1:$L$1,1))+1,FALSE),'BMP P Tracking Table'!$AG135*'BMP P Tracking Table'!$AH135+VLOOKUP(CONCATENATE('BMP P Tracking Table'!$U135," ",'BMP P Tracking Table'!$AD135),'Performance Curves'!$C$1:$L$46,_xlfn.SINGLE(MATCH('BMP P Tracking Table'!$AF135,'Performance Curves'!$D$1:$L$1,1))+1,FALSE)),"")</f>
        <v>0.99274635791849342</v>
      </c>
      <c r="AJ135" s="104">
        <f>IFERROR('BMP P Tracking Table'!$AI135*'BMP P Tracking Table'!$AE135,"")</f>
        <v>4.5153817229511697</v>
      </c>
      <c r="AK135" s="65"/>
      <c r="AL135" s="98" t="s">
        <v>62</v>
      </c>
      <c r="AM135" s="98"/>
      <c r="AN135" s="64">
        <v>1</v>
      </c>
      <c r="AO135" s="102">
        <f t="shared" si="16"/>
        <v>4.5153817229511697</v>
      </c>
      <c r="AP135" s="98"/>
      <c r="AQ135" s="98"/>
      <c r="AR135" s="98"/>
      <c r="AS135" s="98"/>
      <c r="AT135" s="98"/>
      <c r="AU135" s="98"/>
      <c r="AV135" s="98"/>
      <c r="AW135" s="65"/>
      <c r="AX135" s="99"/>
      <c r="AY135" s="99"/>
      <c r="AZ135" s="104" t="str">
        <f>IF('BMP P Tracking Table'!$AL135="Yes",IF('BMP P Tracking Table'!$AM135="No",'BMP P Tracking Table'!$V135*VLOOKUP('BMP P Tracking Table'!$R135,'Loading Rates'!$B$1:$L$24,4,FALSE)+IF('BMP P Tracking Table'!$W135="By HSG",'BMP P Tracking Table'!$X135*VLOOKUP('BMP P Tracking Table'!$R135,'Loading Rates'!$B$1:$L$24,6,FALSE)+'BMP P Tracking Table'!$Y135*VLOOKUP('BMP P Tracking Table'!$R135,'Loading Rates'!$B$1:$L$24,7,FALSE)+'BMP P Tracking Table'!$Z135*VLOOKUP('BMP P Tracking Table'!$R135,'Loading Rates'!$B$1:$L$24,8,FALSE)+'BMP P Tracking Table'!$AA135*VLOOKUP('BMP P Tracking Table'!$R135,'Loading Rates'!$B$1:$L$24,9,FALSE),'BMP P Tracking Table'!$AB135*VLOOKUP('BMP P Tracking Table'!$R135,'Loading Rates'!$B$1:$L$24,10,FALSE)),'BMP P Tracking Table'!$AP135*VLOOKUP('BMP P Tracking Table'!$R135,'Loading Rates'!$B$1:$L$24,4,FALSE)+IF('BMP P Tracking Table'!$AQ135="By HSG",'BMP P Tracking Table'!$AR135*VLOOKUP('BMP P Tracking Table'!$R135,'Loading Rates'!$B$1:$L$24,6,FALSE)+'BMP P Tracking Table'!$AS135*VLOOKUP('BMP P Tracking Table'!$R135,'Loading Rates'!$B$1:$L$24,7,FALSE)+'BMP P Tracking Table'!$AT135*VLOOKUP('BMP P Tracking Table'!$R135,'Loading Rates'!$B$1:$L$24,8,FALSE)+'BMP P Tracking Table'!$AU135*VLOOKUP('BMP P Tracking Table'!$R135,'Loading Rates'!$B$1:$L$24,9,FALSE),'BMP P Tracking Table'!$AV135*VLOOKUP('BMP P Tracking Table'!$R135,'Loading Rates'!$B$1:$L$24,10,FALSE))),"")</f>
        <v/>
      </c>
      <c r="BA135" s="104">
        <f>IFERROR(IF('BMP P Tracking Table'!$AM135="Yes",MIN(2,IF('BMP P Tracking Table'!$AQ135="Total Pervious",(-(3630*'BMP P Tracking Table'!$AP135+20.691*'BMP P Tracking Table'!$AV135)+SQRT((3630*'BMP P Tracking Table'!$AP135+20.691*'BMP P Tracking Table'!$AV135)^2-(4*(996.798*'BMP P Tracking Table'!$AV135)*-'BMP P Tracking Table'!$AX135)))/(2*(996.798*'BMP P Tracking Table'!$AV135)),IF(SUM('BMP P Tracking Table'!$AR135:$AU135)=0,'BMP P Tracking Table'!$AV135/(-3630*'BMP P Tracking Table'!$AP135),(-(3630*'BMP P Tracking Table'!$AP135+20.691*'BMP P Tracking Table'!$AU135-216.711*'BMP P Tracking Table'!$AT135-83.853*'BMP P Tracking Table'!$AS135-42.834*'BMP P Tracking Table'!$AR135)+SQRT((3630*'BMP P Tracking Table'!$AP135+20.691*'BMP P Tracking Table'!$AU135-216.711*'BMP P Tracking Table'!$AT135-83.853*'BMP P Tracking Table'!$AS135-42.834*'BMP P Tracking Table'!$AR135)^2-(4*(149.919*'BMP P Tracking Table'!$AR135+236.676*'BMP P Tracking Table'!$AS135+726*'BMP P Tracking Table'!$AT135+996.798*'BMP P Tracking Table'!$AU135)*-'BMP P Tracking Table'!$AX135)))/(2*(149.919*'BMP P Tracking Table'!$AR135+236.676*'BMP P Tracking Table'!$AS135+726*'BMP P Tracking Table'!$AT135+996.798*'BMP P Tracking Table'!$AU135))))),MIN(2,IF('BMP P Tracking Table'!$AQ135="Total Pervious",(-(3630*'BMP P Tracking Table'!$V135+20.691*'BMP P Tracking Table'!$AB135)+SQRT((3630*'BMP P Tracking Table'!$V135+20.691*'BMP P Tracking Table'!$AB135)^2-(4*(996.798*'BMP P Tracking Table'!$AB135)*-'BMP P Tracking Table'!$AX135)))/(2*(996.798*'BMP P Tracking Table'!$AB135)),IF(SUM('BMP P Tracking Table'!$X135:$AA135)=0,'BMP P Tracking Table'!$AX135/(-3630*'BMP P Tracking Table'!$V135),(-(3630*'BMP P Tracking Table'!$V135+20.691*'BMP P Tracking Table'!$AA135-216.711*'BMP P Tracking Table'!$Z135-83.853*'BMP P Tracking Table'!$Y135-42.834*'BMP P Tracking Table'!$X135)+SQRT((3630*'BMP P Tracking Table'!$V135+20.691*'BMP P Tracking Table'!$AA135-216.711*'BMP P Tracking Table'!$Z135-83.853*'BMP P Tracking Table'!$Y135-42.834*'BMP P Tracking Table'!$X135)^2-(4*(149.919*'BMP P Tracking Table'!$X135+236.676*'BMP P Tracking Table'!$Y135+726*'BMP P Tracking Table'!$Z135+996.798*'BMP P Tracking Table'!$AA135)*-'BMP P Tracking Table'!$AX135)))/(2*(149.919*'BMP P Tracking Table'!$X135+236.676*'BMP P Tracking Table'!$Y135+726*'BMP P Tracking Table'!$Z135+996.798*'BMP P Tracking Table'!$AA135)))))),"")</f>
        <v>0</v>
      </c>
      <c r="BB135" s="102" t="str">
        <f>IFERROR((VLOOKUP(CONCATENATE('BMP P Tracking Table'!$AW135," ",'BMP P Tracking Table'!$AY135),'Performance Curves'!$C$1:$L$46,_xlfn.SINGLE(MATCH('BMP P Tracking Table'!$BA135,'Performance Curves'!$D$1:$L$1,1))+2,FALSE)-VLOOKUP(CONCATENATE('BMP P Tracking Table'!$AW135," ",'BMP P Tracking Table'!$AY135),'Performance Curves'!$C$1:$L$46,_xlfn.SINGLE(MATCH('BMP P Tracking Table'!$BA135,'Performance Curves'!$D$1:$L$1,1))+1,FALSE)),"")</f>
        <v/>
      </c>
      <c r="BC135" s="102">
        <f>IFERROR(('BMP P Tracking Table'!$BA135-INDEX('Performance Curves'!$D$1:$L$1,1,MATCH('BMP P Tracking Table'!$BA135,'Performance Curves'!$D$1:$L$1,1)))/(INDEX('Performance Curves'!$D$1:$L$1,1,MATCH('BMP P Tracking Table'!$BA135,'Performance Curves'!$D$1:$L$1,1)+1)-INDEX('Performance Curves'!$D$1:$L$1,1,MATCH('BMP P Tracking Table'!$BA135,'Performance Curves'!$D$1:$L$1,1))),"")</f>
        <v>0</v>
      </c>
      <c r="BD135" s="103" t="str" cm="1">
        <f t="array" ref="BD135">IFERROR(IF('BMP P Tracking Table'!$BA135=2,VLOOKUP(CONCATENATE('BMP P Tracking Table'!$AW135," ",'BMP P Tracking Table'!$AY135),'Performance Curves'!$C$1:$L$44,_xlfn.SINGLE(MATCH('BMP P Tracking Table'!$BA135,'Performance Curves'!$D$1:$L$1,1))+1,FALSE),'BMP P Tracking Table'!$BB135*'BMP P Tracking Table'!$BC135+VLOOKUP(CONCATENATE('BMP P Tracking Table'!$AW135," ",'BMP P Tracking Table'!$AY135),'Performance Curves'!$C$1:$L$44,_xlfn.SINGLE(MATCH('BMP P Tracking Table'!$BA135,'Performance Curves'!$D$1:$L$1,1))+1,FALSE)),"")</f>
        <v/>
      </c>
      <c r="BE135" s="104" t="str">
        <f>IFERROR('BMP P Tracking Table'!$BD135*'BMP P Tracking Table'!$AZ135,"")</f>
        <v/>
      </c>
      <c r="BF135" s="98"/>
      <c r="BG135" s="37">
        <f t="shared" si="17"/>
        <v>0</v>
      </c>
      <c r="BI135" s="36" t="str">
        <f t="shared" si="24"/>
        <v>EX-WR-041</v>
      </c>
      <c r="BJ135" s="36" t="str">
        <f t="shared" si="25"/>
        <v>2OLET120 Logwood Circle stormline and catchbasin retrofits</v>
      </c>
      <c r="BK135" s="36" t="s">
        <v>869</v>
      </c>
      <c r="BL135" s="36" t="s">
        <v>861</v>
      </c>
      <c r="BM135" s="36" t="s">
        <v>867</v>
      </c>
      <c r="BN135" s="36" t="s">
        <v>831</v>
      </c>
      <c r="BO135" s="36" t="s">
        <v>819</v>
      </c>
      <c r="BP135" s="36" t="s">
        <v>874</v>
      </c>
      <c r="BQ135" s="36">
        <f t="shared" ref="BQ135:BQ139" si="26">V135+IF(W135="By HSG",X135+Y135+Z135+AA135,AB135)</f>
        <v>11.2</v>
      </c>
      <c r="BR135" s="36">
        <f t="shared" ref="BR135:BR139" si="27">IF(W135="By HSG",X135+Y135+Z135+AA135,AB135)</f>
        <v>7.2579999999999991</v>
      </c>
      <c r="BS135" s="101">
        <f t="shared" ref="BS135:BS139" si="28">V135/BQ135</f>
        <v>0.35196428571428573</v>
      </c>
      <c r="BT135" s="238">
        <f t="shared" ref="BT135:BT139" si="29">K135/V135</f>
        <v>164129.8833079655</v>
      </c>
      <c r="BU135" s="238">
        <f t="shared" ref="BU135:BU139" si="30">K135/AO135</f>
        <v>143287.99638608025</v>
      </c>
    </row>
    <row r="136" spans="1:73">
      <c r="B136" s="65" t="s">
        <v>849</v>
      </c>
      <c r="C136" s="65" t="s">
        <v>856</v>
      </c>
      <c r="D136" s="65" t="s">
        <v>327</v>
      </c>
      <c r="E136" s="65" t="s">
        <v>9</v>
      </c>
      <c r="F136" s="94"/>
      <c r="G136" s="94"/>
      <c r="H136" s="65"/>
      <c r="I136" s="65"/>
      <c r="J136" s="65" t="s">
        <v>66</v>
      </c>
      <c r="K136" s="95">
        <v>410000</v>
      </c>
      <c r="L136" s="65" t="s">
        <v>49</v>
      </c>
      <c r="M136" s="65"/>
      <c r="N136" s="65"/>
      <c r="O136" s="65"/>
      <c r="P136" s="65"/>
      <c r="Q136" s="65" t="s">
        <v>119</v>
      </c>
      <c r="R136" s="65" t="s">
        <v>146</v>
      </c>
      <c r="S136" s="65" t="str">
        <f>IFERROR(VLOOKUP('BMP P Tracking Table'!$R136,Dropdowns!$Q$3:$R$23,2,FALSE),"")</f>
        <v>Main Lake</v>
      </c>
      <c r="T136" s="65" t="s">
        <v>66</v>
      </c>
      <c r="U136" s="65" t="s">
        <v>165</v>
      </c>
      <c r="V136" s="98">
        <f>18.156*0.3668</f>
        <v>6.6596207999999999</v>
      </c>
      <c r="W136" s="65" t="s">
        <v>219</v>
      </c>
      <c r="X136" s="65"/>
      <c r="Y136" s="65"/>
      <c r="Z136" s="65"/>
      <c r="AA136" s="65"/>
      <c r="AB136" s="98">
        <v>11.5</v>
      </c>
      <c r="AC136" s="97">
        <f>0.431*43560</f>
        <v>18774.36</v>
      </c>
      <c r="AD136" s="65"/>
      <c r="AE136" s="104">
        <f>IFERROR('BMP P Tracking Table'!$V136*VLOOKUP('BMP P Tracking Table'!$R136,'Loading Rates'!$B$1:$L$24,4,FALSE)+IF('BMP P Tracking Table'!$W136="By HSG",'BMP P Tracking Table'!$X136*VLOOKUP('BMP P Tracking Table'!$R136,'Loading Rates'!$B$1:$L$24,6,FALSE)+'BMP P Tracking Table'!$Y136*VLOOKUP('BMP P Tracking Table'!$R136,'Loading Rates'!$B$1:$L$24,7,FALSE)+'BMP P Tracking Table'!$Z136*VLOOKUP('BMP P Tracking Table'!$R136,'Loading Rates'!$B$1:$L$24,8,FALSE)+'BMP P Tracking Table'!$AA136*VLOOKUP('BMP P Tracking Table'!$R136,'Loading Rates'!$B$1:$L$24,9,FALSE),'BMP P Tracking Table'!$AB136*VLOOKUP('BMP P Tracking Table'!$R136,'Loading Rates'!$B$1:$L$24,10,FALSE)),"")</f>
        <v>10.0952964336</v>
      </c>
      <c r="AF136" s="104">
        <f>IFERROR(MIN(2,IF('BMP P Tracking Table'!$W136="Total Pervious",(-(3630*'BMP P Tracking Table'!$V136+20.691*'BMP P Tracking Table'!$AB136)+SQRT((3630*'BMP P Tracking Table'!$V136+20.691*'BMP P Tracking Table'!$AB136)^2-(4*(996.798*'BMP P Tracking Table'!$AB136)*-'BMP P Tracking Table'!$AC136)))/(2*(996.798*'BMP P Tracking Table'!$AB136)),IF(SUM('BMP P Tracking Table'!$X136:$AA136)=0,'BMP P Tracking Table'!$AC136/(-3630*'BMP P Tracking Table'!$V136),(-(3630*'BMP P Tracking Table'!$V136+20.691*'BMP P Tracking Table'!$AA136-216.711*'BMP P Tracking Table'!$Z136-83.853*'BMP P Tracking Table'!$Y136-42.834*'BMP P Tracking Table'!$X136)+SQRT((3630*'BMP P Tracking Table'!$V136+20.691*'BMP P Tracking Table'!$AA136-216.711*'BMP P Tracking Table'!$Z136-83.853*'BMP P Tracking Table'!$Y136-42.834*'BMP P Tracking Table'!$X136)^2-(4*(149.919*'BMP P Tracking Table'!$X136+236.676*'BMP P Tracking Table'!$Y136+726*'BMP P Tracking Table'!$Z136+996.798*'BMP P Tracking Table'!$AA136)*-'BMP P Tracking Table'!$AC136)))/(2*(149.919*'BMP P Tracking Table'!$X136+236.676*'BMP P Tracking Table'!$Y136+726*'BMP P Tracking Table'!$Z136+996.798*'BMP P Tracking Table'!$AA136))))),"")</f>
        <v>0.6000050900328695</v>
      </c>
      <c r="AG136" s="104">
        <f>IFERROR((VLOOKUP(CONCATENATE('BMP P Tracking Table'!$U136," ",'BMP P Tracking Table'!$AD136),'Performance Curves'!$C$1:$L$46,_xlfn.SINGLE(MATCH('BMP P Tracking Table'!$AF136,'Performance Curves'!$D$1:$L$1,1))+2,FALSE)-VLOOKUP(CONCATENATE('BMP P Tracking Table'!$U136," ",'BMP P Tracking Table'!$AD136),'Performance Curves'!$C$1:$L$46,_xlfn.SINGLE(MATCH('BMP P Tracking Table'!$AF136,'Performance Curves'!$D$1:$L$1,1))+1,FALSE)),"")</f>
        <v>3.999999999999998E-2</v>
      </c>
      <c r="AH136" s="104">
        <f>IFERROR(('BMP P Tracking Table'!$AF136-INDEX('Performance Curves'!$D$1:$L$1,1,MATCH('BMP P Tracking Table'!$AF136,'Performance Curves'!$D$1:$L$1,1)))/(INDEX('Performance Curves'!$D$1:$L$1,1,MATCH('BMP P Tracking Table'!$AF136,'Performance Curves'!$D$1:$L$1,1)+1)-INDEX('Performance Curves'!$D$1:$L$1,1,MATCH('BMP P Tracking Table'!$AF136,'Performance Curves'!$D$1:$L$1,1))),"")</f>
        <v>2.5450164347629024E-5</v>
      </c>
      <c r="AI136" s="103">
        <f>IFERROR(IF('BMP P Tracking Table'!$AF136=2,VLOOKUP(CONCATENATE('BMP P Tracking Table'!$U136," ",'BMP P Tracking Table'!$AD136),'Performance Curves'!$C$1:$L$46,_xlfn.SINGLE(MATCH('BMP P Tracking Table'!$AF136,'Performance Curves'!$D$1:$L$1,1))+1,FALSE),'BMP P Tracking Table'!$AG136*'BMP P Tracking Table'!$AH136+VLOOKUP(CONCATENATE('BMP P Tracking Table'!$U136," ",'BMP P Tracking Table'!$AD136),'Performance Curves'!$C$1:$L$46,_xlfn.SINGLE(MATCH('BMP P Tracking Table'!$AF136,'Performance Curves'!$D$1:$L$1,1))+1,FALSE)),"")</f>
        <v>0.44000101800657393</v>
      </c>
      <c r="AJ136" s="104">
        <f>IFERROR('BMP P Tracking Table'!$AI136*'BMP P Tracking Table'!$AE136,"")</f>
        <v>4.4419407078621349</v>
      </c>
      <c r="AK136" s="65"/>
      <c r="AL136" s="98" t="s">
        <v>62</v>
      </c>
      <c r="AM136" s="98"/>
      <c r="AN136" s="64">
        <v>1</v>
      </c>
      <c r="AO136" s="102">
        <f t="shared" si="16"/>
        <v>4.4419407078621349</v>
      </c>
      <c r="AP136" s="98"/>
      <c r="AQ136" s="98"/>
      <c r="AR136" s="98"/>
      <c r="AS136" s="98"/>
      <c r="AT136" s="98"/>
      <c r="AU136" s="98"/>
      <c r="AV136" s="98"/>
      <c r="AW136" s="65"/>
      <c r="AX136" s="99"/>
      <c r="AY136" s="99"/>
      <c r="AZ136" s="104" t="str">
        <f>IF('BMP P Tracking Table'!$AL136="Yes",IF('BMP P Tracking Table'!$AM136="No",'BMP P Tracking Table'!$V136*VLOOKUP('BMP P Tracking Table'!$R136,'Loading Rates'!$B$1:$L$24,4,FALSE)+IF('BMP P Tracking Table'!$W136="By HSG",'BMP P Tracking Table'!$X136*VLOOKUP('BMP P Tracking Table'!$R136,'Loading Rates'!$B$1:$L$24,6,FALSE)+'BMP P Tracking Table'!$Y136*VLOOKUP('BMP P Tracking Table'!$R136,'Loading Rates'!$B$1:$L$24,7,FALSE)+'BMP P Tracking Table'!$Z136*VLOOKUP('BMP P Tracking Table'!$R136,'Loading Rates'!$B$1:$L$24,8,FALSE)+'BMP P Tracking Table'!$AA136*VLOOKUP('BMP P Tracking Table'!$R136,'Loading Rates'!$B$1:$L$24,9,FALSE),'BMP P Tracking Table'!$AB136*VLOOKUP('BMP P Tracking Table'!$R136,'Loading Rates'!$B$1:$L$24,10,FALSE)),'BMP P Tracking Table'!$AP136*VLOOKUP('BMP P Tracking Table'!$R136,'Loading Rates'!$B$1:$L$24,4,FALSE)+IF('BMP P Tracking Table'!$AQ136="By HSG",'BMP P Tracking Table'!$AR136*VLOOKUP('BMP P Tracking Table'!$R136,'Loading Rates'!$B$1:$L$24,6,FALSE)+'BMP P Tracking Table'!$AS136*VLOOKUP('BMP P Tracking Table'!$R136,'Loading Rates'!$B$1:$L$24,7,FALSE)+'BMP P Tracking Table'!$AT136*VLOOKUP('BMP P Tracking Table'!$R136,'Loading Rates'!$B$1:$L$24,8,FALSE)+'BMP P Tracking Table'!$AU136*VLOOKUP('BMP P Tracking Table'!$R136,'Loading Rates'!$B$1:$L$24,9,FALSE),'BMP P Tracking Table'!$AV136*VLOOKUP('BMP P Tracking Table'!$R136,'Loading Rates'!$B$1:$L$24,10,FALSE))),"")</f>
        <v/>
      </c>
      <c r="BA136" s="104">
        <f>IFERROR(IF('BMP P Tracking Table'!$AM136="Yes",MIN(2,IF('BMP P Tracking Table'!$AQ136="Total Pervious",(-(3630*'BMP P Tracking Table'!$AP136+20.691*'BMP P Tracking Table'!$AV136)+SQRT((3630*'BMP P Tracking Table'!$AP136+20.691*'BMP P Tracking Table'!$AV136)^2-(4*(996.798*'BMP P Tracking Table'!$AV136)*-'BMP P Tracking Table'!$AX136)))/(2*(996.798*'BMP P Tracking Table'!$AV136)),IF(SUM('BMP P Tracking Table'!$AR136:$AU136)=0,'BMP P Tracking Table'!$AV136/(-3630*'BMP P Tracking Table'!$AP136),(-(3630*'BMP P Tracking Table'!$AP136+20.691*'BMP P Tracking Table'!$AU136-216.711*'BMP P Tracking Table'!$AT136-83.853*'BMP P Tracking Table'!$AS136-42.834*'BMP P Tracking Table'!$AR136)+SQRT((3630*'BMP P Tracking Table'!$AP136+20.691*'BMP P Tracking Table'!$AU136-216.711*'BMP P Tracking Table'!$AT136-83.853*'BMP P Tracking Table'!$AS136-42.834*'BMP P Tracking Table'!$AR136)^2-(4*(149.919*'BMP P Tracking Table'!$AR136+236.676*'BMP P Tracking Table'!$AS136+726*'BMP P Tracking Table'!$AT136+996.798*'BMP P Tracking Table'!$AU136)*-'BMP P Tracking Table'!$AX136)))/(2*(149.919*'BMP P Tracking Table'!$AR136+236.676*'BMP P Tracking Table'!$AS136+726*'BMP P Tracking Table'!$AT136+996.798*'BMP P Tracking Table'!$AU136))))),MIN(2,IF('BMP P Tracking Table'!$AQ136="Total Pervious",(-(3630*'BMP P Tracking Table'!$V136+20.691*'BMP P Tracking Table'!$AB136)+SQRT((3630*'BMP P Tracking Table'!$V136+20.691*'BMP P Tracking Table'!$AB136)^2-(4*(996.798*'BMP P Tracking Table'!$AB136)*-'BMP P Tracking Table'!$AX136)))/(2*(996.798*'BMP P Tracking Table'!$AB136)),IF(SUM('BMP P Tracking Table'!$X136:$AA136)=0,'BMP P Tracking Table'!$AX136/(-3630*'BMP P Tracking Table'!$V136),(-(3630*'BMP P Tracking Table'!$V136+20.691*'BMP P Tracking Table'!$AA136-216.711*'BMP P Tracking Table'!$Z136-83.853*'BMP P Tracking Table'!$Y136-42.834*'BMP P Tracking Table'!$X136)+SQRT((3630*'BMP P Tracking Table'!$V136+20.691*'BMP P Tracking Table'!$AA136-216.711*'BMP P Tracking Table'!$Z136-83.853*'BMP P Tracking Table'!$Y136-42.834*'BMP P Tracking Table'!$X136)^2-(4*(149.919*'BMP P Tracking Table'!$X136+236.676*'BMP P Tracking Table'!$Y136+726*'BMP P Tracking Table'!$Z136+996.798*'BMP P Tracking Table'!$AA136)*-'BMP P Tracking Table'!$AX136)))/(2*(149.919*'BMP P Tracking Table'!$X136+236.676*'BMP P Tracking Table'!$Y136+726*'BMP P Tracking Table'!$Z136+996.798*'BMP P Tracking Table'!$AA136)))))),"")</f>
        <v>0</v>
      </c>
      <c r="BB136" s="102" t="str">
        <f>IFERROR((VLOOKUP(CONCATENATE('BMP P Tracking Table'!$AW136," ",'BMP P Tracking Table'!$AY136),'Performance Curves'!$C$1:$L$46,_xlfn.SINGLE(MATCH('BMP P Tracking Table'!$BA136,'Performance Curves'!$D$1:$L$1,1))+2,FALSE)-VLOOKUP(CONCATENATE('BMP P Tracking Table'!$AW136," ",'BMP P Tracking Table'!$AY136),'Performance Curves'!$C$1:$L$46,_xlfn.SINGLE(MATCH('BMP P Tracking Table'!$BA136,'Performance Curves'!$D$1:$L$1,1))+1,FALSE)),"")</f>
        <v/>
      </c>
      <c r="BC136" s="102">
        <f>IFERROR(('BMP P Tracking Table'!$BA136-INDEX('Performance Curves'!$D$1:$L$1,1,MATCH('BMP P Tracking Table'!$BA136,'Performance Curves'!$D$1:$L$1,1)))/(INDEX('Performance Curves'!$D$1:$L$1,1,MATCH('BMP P Tracking Table'!$BA136,'Performance Curves'!$D$1:$L$1,1)+1)-INDEX('Performance Curves'!$D$1:$L$1,1,MATCH('BMP P Tracking Table'!$BA136,'Performance Curves'!$D$1:$L$1,1))),"")</f>
        <v>0</v>
      </c>
      <c r="BD136" s="103" t="str" cm="1">
        <f t="array" ref="BD136">IFERROR(IF('BMP P Tracking Table'!$BA136=2,VLOOKUP(CONCATENATE('BMP P Tracking Table'!$AW136," ",'BMP P Tracking Table'!$AY136),'Performance Curves'!$C$1:$L$44,_xlfn.SINGLE(MATCH('BMP P Tracking Table'!$BA136,'Performance Curves'!$D$1:$L$1,1))+1,FALSE),'BMP P Tracking Table'!$BB136*'BMP P Tracking Table'!$BC136+VLOOKUP(CONCATENATE('BMP P Tracking Table'!$AW136," ",'BMP P Tracking Table'!$AY136),'Performance Curves'!$C$1:$L$44,_xlfn.SINGLE(MATCH('BMP P Tracking Table'!$BA136,'Performance Curves'!$D$1:$L$1,1))+1,FALSE)),"")</f>
        <v/>
      </c>
      <c r="BE136" s="104" t="str">
        <f>IFERROR('BMP P Tracking Table'!$BD136*'BMP P Tracking Table'!$AZ136,"")</f>
        <v/>
      </c>
      <c r="BF136" s="98"/>
      <c r="BG136" s="37">
        <f t="shared" si="17"/>
        <v>0</v>
      </c>
      <c r="BI136" s="36" t="str">
        <f>B136</f>
        <v>EX-WR-039</v>
      </c>
      <c r="BJ136" s="36" t="str">
        <f t="shared" si="25"/>
        <v>2OLET88 Tanglewood Drive and Fern Hollow Road retrofits (Alternative 4)</v>
      </c>
      <c r="BL136" s="36" t="s">
        <v>854</v>
      </c>
      <c r="BM136" s="36" t="s">
        <v>855</v>
      </c>
      <c r="BN136" s="36" t="s">
        <v>857</v>
      </c>
      <c r="BO136" s="36" t="s">
        <v>858</v>
      </c>
      <c r="BP136" s="36" t="s">
        <v>871</v>
      </c>
      <c r="BQ136" s="36">
        <f t="shared" si="26"/>
        <v>18.159620799999999</v>
      </c>
      <c r="BR136" s="36">
        <f t="shared" si="27"/>
        <v>11.5</v>
      </c>
      <c r="BS136" s="101">
        <f t="shared" si="28"/>
        <v>0.36672686469312182</v>
      </c>
      <c r="BT136" s="238">
        <f t="shared" si="29"/>
        <v>61565.066887892477</v>
      </c>
      <c r="BU136" s="238">
        <f t="shared" si="30"/>
        <v>92301.997474731994</v>
      </c>
    </row>
    <row r="137" spans="1:73">
      <c r="B137" s="65" t="s">
        <v>850</v>
      </c>
      <c r="C137" s="65" t="s">
        <v>797</v>
      </c>
      <c r="D137" s="65" t="s">
        <v>327</v>
      </c>
      <c r="E137" s="65" t="s">
        <v>9</v>
      </c>
      <c r="F137" s="94"/>
      <c r="G137" s="94"/>
      <c r="H137" s="65" t="s">
        <v>882</v>
      </c>
      <c r="I137" s="65"/>
      <c r="J137" s="65" t="s">
        <v>66</v>
      </c>
      <c r="K137" s="95">
        <f>ROUNDUP((VLOOKUP($U137,Dropdowns!$G$3:$I$17, 3, FALSE))*$AC137,-2)</f>
        <v>341700</v>
      </c>
      <c r="L137" s="65" t="s">
        <v>49</v>
      </c>
      <c r="M137" s="65"/>
      <c r="N137" s="65">
        <v>1991</v>
      </c>
      <c r="O137" s="65"/>
      <c r="P137" s="65"/>
      <c r="Q137" s="65" t="s">
        <v>119</v>
      </c>
      <c r="R137" s="65" t="s">
        <v>146</v>
      </c>
      <c r="S137" s="65" t="str">
        <f>IFERROR(VLOOKUP('BMP P Tracking Table'!$R137,Dropdowns!$Q$3:$R$23,2,FALSE),"")</f>
        <v>Main Lake</v>
      </c>
      <c r="T137" s="65" t="s">
        <v>66</v>
      </c>
      <c r="U137" s="65" t="s">
        <v>46</v>
      </c>
      <c r="V137" s="65">
        <v>2.5499999999999998</v>
      </c>
      <c r="W137" s="65" t="s">
        <v>220</v>
      </c>
      <c r="X137" s="65">
        <v>0</v>
      </c>
      <c r="Y137" s="65">
        <v>0</v>
      </c>
      <c r="Z137" s="65">
        <v>3.8</v>
      </c>
      <c r="AA137" s="65">
        <v>3.39</v>
      </c>
      <c r="AB137" s="65">
        <f>9.75*0.75</f>
        <v>7.3125</v>
      </c>
      <c r="AC137" s="97">
        <f>17200+2900</f>
        <v>20100</v>
      </c>
      <c r="AD137" s="65"/>
      <c r="AE137" s="104">
        <f>IFERROR('BMP P Tracking Table'!$V137*VLOOKUP('BMP P Tracking Table'!$R137,'Loading Rates'!$B$1:$L$24,4,FALSE)+IF('BMP P Tracking Table'!$W137="By HSG",'BMP P Tracking Table'!$X137*VLOOKUP('BMP P Tracking Table'!$R137,'Loading Rates'!$B$1:$L$24,6,FALSE)+'BMP P Tracking Table'!$Y137*VLOOKUP('BMP P Tracking Table'!$R137,'Loading Rates'!$B$1:$L$24,7,FALSE)+'BMP P Tracking Table'!$Z137*VLOOKUP('BMP P Tracking Table'!$R137,'Loading Rates'!$B$1:$L$24,8,FALSE)+'BMP P Tracking Table'!$AA137*VLOOKUP('BMP P Tracking Table'!$R137,'Loading Rates'!$B$1:$L$24,9,FALSE),'BMP P Tracking Table'!$AB137*VLOOKUP('BMP P Tracking Table'!$R137,'Loading Rates'!$B$1:$L$24,10,FALSE)),"")</f>
        <v>5.5106799999999998</v>
      </c>
      <c r="AF137" s="104">
        <f>IFERROR(MIN(2,IF('BMP P Tracking Table'!$W137="Total Pervious",(-(3630*'BMP P Tracking Table'!$V137+20.691*'BMP P Tracking Table'!$AB137)+SQRT((3630*'BMP P Tracking Table'!$V137+20.691*'BMP P Tracking Table'!$AB137)^2-(4*(996.798*'BMP P Tracking Table'!$AB137)*-'BMP P Tracking Table'!$AC137)))/(2*(996.798*'BMP P Tracking Table'!$AB137)),IF(SUM('BMP P Tracking Table'!$X137:$AA137)=0,'BMP P Tracking Table'!$AC137/(-3630*'BMP P Tracking Table'!$V137),(-(3630*'BMP P Tracking Table'!$V137+20.691*'BMP P Tracking Table'!$AA137-216.711*'BMP P Tracking Table'!$Z137-83.853*'BMP P Tracking Table'!$Y137-42.834*'BMP P Tracking Table'!$X137)+SQRT((3630*'BMP P Tracking Table'!$V137+20.691*'BMP P Tracking Table'!$AA137-216.711*'BMP P Tracking Table'!$Z137-83.853*'BMP P Tracking Table'!$Y137-42.834*'BMP P Tracking Table'!$X137)^2-(4*(149.919*'BMP P Tracking Table'!$X137+236.676*'BMP P Tracking Table'!$Y137+726*'BMP P Tracking Table'!$Z137+996.798*'BMP P Tracking Table'!$AA137)*-'BMP P Tracking Table'!$AC137)))/(2*(149.919*'BMP P Tracking Table'!$X137+236.676*'BMP P Tracking Table'!$Y137+726*'BMP P Tracking Table'!$Z137+996.798*'BMP P Tracking Table'!$AA137))))),"")</f>
        <v>1.2449840792778453</v>
      </c>
      <c r="AG137" s="104">
        <f>IFERROR((VLOOKUP(CONCATENATE('BMP P Tracking Table'!$U137," ",'BMP P Tracking Table'!$AD137),'Performance Curves'!$C$1:$L$46,_xlfn.SINGLE(MATCH('BMP P Tracking Table'!$AF137,'Performance Curves'!$D$1:$L$1,1))+2,FALSE)-VLOOKUP(CONCATENATE('BMP P Tracking Table'!$U137," ",'BMP P Tracking Table'!$AD137),'Performance Curves'!$C$1:$L$46,_xlfn.SINGLE(MATCH('BMP P Tracking Table'!$AF137,'Performance Curves'!$D$1:$L$1,1))+1,FALSE)),"")</f>
        <v>4.0000000000000036E-2</v>
      </c>
      <c r="AH137" s="104">
        <f>IFERROR(('BMP P Tracking Table'!$AF137-INDEX('Performance Curves'!$D$1:$L$1,1,MATCH('BMP P Tracking Table'!$AF137,'Performance Curves'!$D$1:$L$1,1)))/(INDEX('Performance Curves'!$D$1:$L$1,1,MATCH('BMP P Tracking Table'!$AF137,'Performance Curves'!$D$1:$L$1,1)+1)-INDEX('Performance Curves'!$D$1:$L$1,1,MATCH('BMP P Tracking Table'!$AF137,'Performance Curves'!$D$1:$L$1,1))),"")</f>
        <v>0.48996815855569054</v>
      </c>
      <c r="AI137" s="103">
        <f>IFERROR(IF('BMP P Tracking Table'!$AF137=2,VLOOKUP(CONCATENATE('BMP P Tracking Table'!$U137," ",'BMP P Tracking Table'!$AD137),'Performance Curves'!$C$1:$L$46,_xlfn.SINGLE(MATCH('BMP P Tracking Table'!$AF137,'Performance Curves'!$D$1:$L$1,1))+1,FALSE),'BMP P Tracking Table'!$AG137*'BMP P Tracking Table'!$AH137+VLOOKUP(CONCATENATE('BMP P Tracking Table'!$U137," ",'BMP P Tracking Table'!$AD137),'Performance Curves'!$C$1:$L$46,_xlfn.SINGLE(MATCH('BMP P Tracking Table'!$AF137,'Performance Curves'!$D$1:$L$1,1))+1,FALSE)),"")</f>
        <v>0.62959872634222758</v>
      </c>
      <c r="AJ137" s="104">
        <f>IFERROR('BMP P Tracking Table'!$AI137*'BMP P Tracking Table'!$AE137,"")</f>
        <v>3.4695171092795865</v>
      </c>
      <c r="AK137" s="65"/>
      <c r="AL137" s="98" t="s">
        <v>66</v>
      </c>
      <c r="AM137" s="98" t="s">
        <v>62</v>
      </c>
      <c r="AN137" s="64">
        <v>1</v>
      </c>
      <c r="AO137" s="102">
        <f t="shared" si="16"/>
        <v>2.8082355092795863</v>
      </c>
      <c r="AP137" s="98"/>
      <c r="AQ137" s="98"/>
      <c r="AR137" s="98"/>
      <c r="AS137" s="98"/>
      <c r="AT137" s="98"/>
      <c r="AU137" s="98"/>
      <c r="AV137" s="98"/>
      <c r="AW137" s="65" t="s">
        <v>215</v>
      </c>
      <c r="AX137" s="99">
        <v>20100</v>
      </c>
      <c r="AY137" s="99"/>
      <c r="AZ137" s="104">
        <f>IF('BMP P Tracking Table'!$AL137="Yes",IF('BMP P Tracking Table'!$AM137="No",'BMP P Tracking Table'!$V137*VLOOKUP('BMP P Tracking Table'!$R137,'Loading Rates'!$B$1:$L$24,4,FALSE)+IF('BMP P Tracking Table'!$W137="By HSG",'BMP P Tracking Table'!$X137*VLOOKUP('BMP P Tracking Table'!$R137,'Loading Rates'!$B$1:$L$24,6,FALSE)+'BMP P Tracking Table'!$Y137*VLOOKUP('BMP P Tracking Table'!$R137,'Loading Rates'!$B$1:$L$24,7,FALSE)+'BMP P Tracking Table'!$Z137*VLOOKUP('BMP P Tracking Table'!$R137,'Loading Rates'!$B$1:$L$24,8,FALSE)+'BMP P Tracking Table'!$AA137*VLOOKUP('BMP P Tracking Table'!$R137,'Loading Rates'!$B$1:$L$24,9,FALSE),'BMP P Tracking Table'!$AB137*VLOOKUP('BMP P Tracking Table'!$R137,'Loading Rates'!$B$1:$L$24,10,FALSE)),'BMP P Tracking Table'!$AP137*VLOOKUP('BMP P Tracking Table'!$R137,'Loading Rates'!$B$1:$L$24,4,FALSE)+IF('BMP P Tracking Table'!$AQ137="By HSG",'BMP P Tracking Table'!$AR137*VLOOKUP('BMP P Tracking Table'!$R137,'Loading Rates'!$B$1:$L$24,6,FALSE)+'BMP P Tracking Table'!$AS137*VLOOKUP('BMP P Tracking Table'!$R137,'Loading Rates'!$B$1:$L$24,7,FALSE)+'BMP P Tracking Table'!$AT137*VLOOKUP('BMP P Tracking Table'!$R137,'Loading Rates'!$B$1:$L$24,8,FALSE)+'BMP P Tracking Table'!$AU137*VLOOKUP('BMP P Tracking Table'!$R137,'Loading Rates'!$B$1:$L$24,9,FALSE),'BMP P Tracking Table'!$AV137*VLOOKUP('BMP P Tracking Table'!$R137,'Loading Rates'!$B$1:$L$24,10,FALSE))),"")</f>
        <v>5.5106799999999998</v>
      </c>
      <c r="BA137" s="104">
        <f>IFERROR(IF('BMP P Tracking Table'!$AM137="Yes",MIN(2,IF('BMP P Tracking Table'!$AQ137="Total Pervious",(-(3630*'BMP P Tracking Table'!$AP137+20.691*'BMP P Tracking Table'!$AV137)+SQRT((3630*'BMP P Tracking Table'!$AP137+20.691*'BMP P Tracking Table'!$AV137)^2-(4*(996.798*'BMP P Tracking Table'!$AV137)*-'BMP P Tracking Table'!$AX137)))/(2*(996.798*'BMP P Tracking Table'!$AV137)),IF(SUM('BMP P Tracking Table'!$AR137:$AU137)=0,'BMP P Tracking Table'!$AV137/(-3630*'BMP P Tracking Table'!$AP137),(-(3630*'BMP P Tracking Table'!$AP137+20.691*'BMP P Tracking Table'!$AU137-216.711*'BMP P Tracking Table'!$AT137-83.853*'BMP P Tracking Table'!$AS137-42.834*'BMP P Tracking Table'!$AR137)+SQRT((3630*'BMP P Tracking Table'!$AP137+20.691*'BMP P Tracking Table'!$AU137-216.711*'BMP P Tracking Table'!$AT137-83.853*'BMP P Tracking Table'!$AS137-42.834*'BMP P Tracking Table'!$AR137)^2-(4*(149.919*'BMP P Tracking Table'!$AR137+236.676*'BMP P Tracking Table'!$AS137+726*'BMP P Tracking Table'!$AT137+996.798*'BMP P Tracking Table'!$AU137)*-'BMP P Tracking Table'!$AX137)))/(2*(149.919*'BMP P Tracking Table'!$AR137+236.676*'BMP P Tracking Table'!$AS137+726*'BMP P Tracking Table'!$AT137+996.798*'BMP P Tracking Table'!$AU137))))),MIN(2,IF('BMP P Tracking Table'!$AQ137="Total Pervious",(-(3630*'BMP P Tracking Table'!$V137+20.691*'BMP P Tracking Table'!$AB137)+SQRT((3630*'BMP P Tracking Table'!$V137+20.691*'BMP P Tracking Table'!$AB137)^2-(4*(996.798*'BMP P Tracking Table'!$AB137)*-'BMP P Tracking Table'!$AX137)))/(2*(996.798*'BMP P Tracking Table'!$AB137)),IF(SUM('BMP P Tracking Table'!$X137:$AA137)=0,'BMP P Tracking Table'!$AX137/(-3630*'BMP P Tracking Table'!$V137),(-(3630*'BMP P Tracking Table'!$V137+20.691*'BMP P Tracking Table'!$AA137-216.711*'BMP P Tracking Table'!$Z137-83.853*'BMP P Tracking Table'!$Y137-42.834*'BMP P Tracking Table'!$X137)+SQRT((3630*'BMP P Tracking Table'!$V137+20.691*'BMP P Tracking Table'!$AA137-216.711*'BMP P Tracking Table'!$Z137-83.853*'BMP P Tracking Table'!$Y137-42.834*'BMP P Tracking Table'!$X137)^2-(4*(149.919*'BMP P Tracking Table'!$X137+236.676*'BMP P Tracking Table'!$Y137+726*'BMP P Tracking Table'!$Z137+996.798*'BMP P Tracking Table'!$AA137)*-'BMP P Tracking Table'!$AX137)))/(2*(149.919*'BMP P Tracking Table'!$X137+236.676*'BMP P Tracking Table'!$Y137+726*'BMP P Tracking Table'!$Z137+996.798*'BMP P Tracking Table'!$AA137)))))),"")</f>
        <v>1.2449840792778453</v>
      </c>
      <c r="BB137" s="102">
        <f>IFERROR((VLOOKUP(CONCATENATE('BMP P Tracking Table'!$AW137," ",'BMP P Tracking Table'!$AY137),'Performance Curves'!$C$1:$L$46,_xlfn.SINGLE(MATCH('BMP P Tracking Table'!$BA137,'Performance Curves'!$D$1:$L$1,1))+2,FALSE)-VLOOKUP(CONCATENATE('BMP P Tracking Table'!$AW137," ",'BMP P Tracking Table'!$AY137),'Performance Curves'!$C$1:$L$46,_xlfn.SINGLE(MATCH('BMP P Tracking Table'!$BA137,'Performance Curves'!$D$1:$L$1,1))+1,FALSE)),"")</f>
        <v>1.0000000000000009E-2</v>
      </c>
      <c r="BC137" s="102">
        <f>IFERROR(('BMP P Tracking Table'!$BA137-INDEX('Performance Curves'!$D$1:$L$1,1,MATCH('BMP P Tracking Table'!$BA137,'Performance Curves'!$D$1:$L$1,1)))/(INDEX('Performance Curves'!$D$1:$L$1,1,MATCH('BMP P Tracking Table'!$BA137,'Performance Curves'!$D$1:$L$1,1)+1)-INDEX('Performance Curves'!$D$1:$L$1,1,MATCH('BMP P Tracking Table'!$BA137,'Performance Curves'!$D$1:$L$1,1))),"")</f>
        <v>0.48996815855569054</v>
      </c>
      <c r="BD137" s="103">
        <v>0.12</v>
      </c>
      <c r="BE137" s="104">
        <f>IFERROR('BMP P Tracking Table'!$BD137*'BMP P Tracking Table'!$AZ137,"")</f>
        <v>0.66128159999999991</v>
      </c>
      <c r="BF137" s="98"/>
      <c r="BG137" s="37">
        <f t="shared" si="17"/>
        <v>0.66128159999999991</v>
      </c>
      <c r="BI137" s="36" t="str">
        <f t="shared" si="24"/>
        <v>EX-WR-040</v>
      </c>
      <c r="BJ137" s="36" t="str">
        <f t="shared" si="25"/>
        <v>2OLET56 Craftsbury Court pond retrofit</v>
      </c>
      <c r="BL137" s="36" t="s">
        <v>851</v>
      </c>
      <c r="BM137" s="36" t="s">
        <v>853</v>
      </c>
      <c r="BN137" s="36" t="s">
        <v>818</v>
      </c>
      <c r="BO137" s="36" t="s">
        <v>852</v>
      </c>
      <c r="BP137" s="36" t="s">
        <v>873</v>
      </c>
      <c r="BQ137" s="36">
        <f t="shared" si="26"/>
        <v>9.7399999999999984</v>
      </c>
      <c r="BR137" s="36">
        <f t="shared" si="27"/>
        <v>7.1899999999999995</v>
      </c>
      <c r="BS137" s="101">
        <f t="shared" si="28"/>
        <v>0.26180698151950721</v>
      </c>
      <c r="BT137" s="238">
        <f t="shared" si="29"/>
        <v>134000</v>
      </c>
      <c r="BU137" s="238">
        <f t="shared" si="30"/>
        <v>121677.82896800502</v>
      </c>
    </row>
    <row r="138" spans="1:73">
      <c r="B138" s="65" t="s">
        <v>862</v>
      </c>
      <c r="C138" s="65" t="s">
        <v>864</v>
      </c>
      <c r="D138" s="65" t="s">
        <v>327</v>
      </c>
      <c r="E138" s="65" t="s">
        <v>9</v>
      </c>
      <c r="F138" s="94"/>
      <c r="G138" s="94"/>
      <c r="H138" s="65"/>
      <c r="I138" s="65"/>
      <c r="J138" s="65" t="s">
        <v>66</v>
      </c>
      <c r="K138" s="95">
        <f>ROUNDUP((VLOOKUP($U138,Dropdowns!$G$3:$I$17, 3, FALSE))*$AC138,-2)</f>
        <v>81600</v>
      </c>
      <c r="L138" s="65" t="s">
        <v>49</v>
      </c>
      <c r="M138" s="65"/>
      <c r="N138" s="65"/>
      <c r="O138" s="65"/>
      <c r="P138" s="65"/>
      <c r="Q138" s="65" t="s">
        <v>119</v>
      </c>
      <c r="R138" s="65" t="s">
        <v>146</v>
      </c>
      <c r="S138" s="65" t="str">
        <f>IFERROR(VLOOKUP('BMP P Tracking Table'!$R138,Dropdowns!$Q$3:$R$23,2,FALSE),"")</f>
        <v>Main Lake</v>
      </c>
      <c r="T138" s="65" t="s">
        <v>66</v>
      </c>
      <c r="U138" s="65" t="s">
        <v>47</v>
      </c>
      <c r="V138" s="65">
        <v>1.02</v>
      </c>
      <c r="W138" s="65" t="s">
        <v>220</v>
      </c>
      <c r="X138" s="65">
        <v>3.09</v>
      </c>
      <c r="Y138" s="65">
        <v>0.71</v>
      </c>
      <c r="Z138" s="65">
        <v>0</v>
      </c>
      <c r="AA138" s="65">
        <v>0</v>
      </c>
      <c r="AB138" s="65"/>
      <c r="AC138" s="97">
        <f>((1*(0.05+0.009*((V138/(V138+X138))*100))*(V138+X138))/12)*43560</f>
        <v>4078.3049999999998</v>
      </c>
      <c r="AD138" s="65" t="s">
        <v>206</v>
      </c>
      <c r="AE138" s="104">
        <f>IFERROR('BMP P Tracking Table'!$V138*VLOOKUP('BMP P Tracking Table'!$R138,'Loading Rates'!$B$1:$L$24,4,FALSE)+IF('BMP P Tracking Table'!$W138="By HSG",'BMP P Tracking Table'!$X138*VLOOKUP('BMP P Tracking Table'!$R138,'Loading Rates'!$B$1:$L$24,6,FALSE)+'BMP P Tracking Table'!$Y138*VLOOKUP('BMP P Tracking Table'!$R138,'Loading Rates'!$B$1:$L$24,7,FALSE)+'BMP P Tracking Table'!$Z138*VLOOKUP('BMP P Tracking Table'!$R138,'Loading Rates'!$B$1:$L$24,8,FALSE)+'BMP P Tracking Table'!$AA138*VLOOKUP('BMP P Tracking Table'!$R138,'Loading Rates'!$B$1:$L$24,9,FALSE),'BMP P Tracking Table'!$AB138*VLOOKUP('BMP P Tracking Table'!$R138,'Loading Rates'!$B$1:$L$24,10,FALSE)),"")</f>
        <v>1.38148</v>
      </c>
      <c r="AF138" s="104">
        <f>IFERROR(MIN(2,IF('BMP P Tracking Table'!$W138="Total Pervious",(-(3630*'BMP P Tracking Table'!$V138+20.691*'BMP P Tracking Table'!$AB138)+SQRT((3630*'BMP P Tracking Table'!$V138+20.691*'BMP P Tracking Table'!$AB138)^2-(4*(996.798*'BMP P Tracking Table'!$AB138)*-'BMP P Tracking Table'!$AC138)))/(2*(996.798*'BMP P Tracking Table'!$AB138)),IF(SUM('BMP P Tracking Table'!$X138:$AA138)=0,'BMP P Tracking Table'!$AC138/(-3630*'BMP P Tracking Table'!$V138),(-(3630*'BMP P Tracking Table'!$V138+20.691*'BMP P Tracking Table'!$AA138-216.711*'BMP P Tracking Table'!$Z138-83.853*'BMP P Tracking Table'!$Y138-42.834*'BMP P Tracking Table'!$X138)+SQRT((3630*'BMP P Tracking Table'!$V138+20.691*'BMP P Tracking Table'!$AA138-216.711*'BMP P Tracking Table'!$Z138-83.853*'BMP P Tracking Table'!$Y138-42.834*'BMP P Tracking Table'!$X138)^2-(4*(149.919*'BMP P Tracking Table'!$X138+236.676*'BMP P Tracking Table'!$Y138+726*'BMP P Tracking Table'!$Z138+996.798*'BMP P Tracking Table'!$AA138)*-'BMP P Tracking Table'!$AC138)))/(2*(149.919*'BMP P Tracking Table'!$X138+236.676*'BMP P Tracking Table'!$Y138+726*'BMP P Tracking Table'!$Z138+996.798*'BMP P Tracking Table'!$AA138))))),"")</f>
        <v>0.98663294657788059</v>
      </c>
      <c r="AG138" s="104">
        <f>IFERROR((VLOOKUP(CONCATENATE('BMP P Tracking Table'!$U138," ",'BMP P Tracking Table'!$AD138),'Performance Curves'!$C$1:$L$46,_xlfn.SINGLE(MATCH('BMP P Tracking Table'!$AF138,'Performance Curves'!$D$1:$L$1,1))+2,FALSE)-VLOOKUP(CONCATENATE('BMP P Tracking Table'!$U138," ",'BMP P Tracking Table'!$AD138),'Performance Curves'!$C$1:$L$46,_xlfn.SINGLE(MATCH('BMP P Tracking Table'!$AF138,'Performance Curves'!$D$1:$L$1,1))+1,FALSE)),"")</f>
        <v>2.0000000000000018E-2</v>
      </c>
      <c r="AH138" s="104">
        <f>IFERROR(('BMP P Tracking Table'!$AF138-INDEX('Performance Curves'!$D$1:$L$1,1,MATCH('BMP P Tracking Table'!$AF138,'Performance Curves'!$D$1:$L$1,1)))/(INDEX('Performance Curves'!$D$1:$L$1,1,MATCH('BMP P Tracking Table'!$AF138,'Performance Curves'!$D$1:$L$1,1)+1)-INDEX('Performance Curves'!$D$1:$L$1,1,MATCH('BMP P Tracking Table'!$AF138,'Performance Curves'!$D$1:$L$1,1))),"")</f>
        <v>0.93316473288940294</v>
      </c>
      <c r="AI138" s="103">
        <f>IFERROR(IF('BMP P Tracking Table'!$AF138=2,VLOOKUP(CONCATENATE('BMP P Tracking Table'!$U138," ",'BMP P Tracking Table'!$AD138),'Performance Curves'!$C$1:$L$46,_xlfn.SINGLE(MATCH('BMP P Tracking Table'!$AF138,'Performance Curves'!$D$1:$L$1,1))+1,FALSE),'BMP P Tracking Table'!$AG138*'BMP P Tracking Table'!$AH138+VLOOKUP(CONCATENATE('BMP P Tracking Table'!$U138," ",'BMP P Tracking Table'!$AD138),'Performance Curves'!$C$1:$L$46,_xlfn.SINGLE(MATCH('BMP P Tracking Table'!$AF138,'Performance Curves'!$D$1:$L$1,1))+1,FALSE)),"")</f>
        <v>0.97866329465778801</v>
      </c>
      <c r="AJ138" s="104">
        <f>IFERROR('BMP P Tracking Table'!$AI138*'BMP P Tracking Table'!$AE138,"")</f>
        <v>1.3520037683038411</v>
      </c>
      <c r="AK138" s="65"/>
      <c r="AL138" s="98" t="s">
        <v>62</v>
      </c>
      <c r="AM138" s="98" t="s">
        <v>62</v>
      </c>
      <c r="AN138" s="64">
        <v>1</v>
      </c>
      <c r="AO138" s="102">
        <f t="shared" si="16"/>
        <v>1.3520037683038411</v>
      </c>
      <c r="AP138" s="98"/>
      <c r="AQ138" s="98"/>
      <c r="AR138" s="98"/>
      <c r="AS138" s="98"/>
      <c r="AT138" s="98"/>
      <c r="AU138" s="98"/>
      <c r="AV138" s="98"/>
      <c r="AW138" s="65"/>
      <c r="AX138" s="99"/>
      <c r="AY138" s="99"/>
      <c r="AZ138" s="104" t="str">
        <f>IF('BMP P Tracking Table'!$AL138="Yes",IF('BMP P Tracking Table'!$AM138="No",'BMP P Tracking Table'!$V138*VLOOKUP('BMP P Tracking Table'!$R138,'Loading Rates'!$B$1:$L$24,4,FALSE)+IF('BMP P Tracking Table'!$W138="By HSG",'BMP P Tracking Table'!$X138*VLOOKUP('BMP P Tracking Table'!$R138,'Loading Rates'!$B$1:$L$24,6,FALSE)+'BMP P Tracking Table'!$Y138*VLOOKUP('BMP P Tracking Table'!$R138,'Loading Rates'!$B$1:$L$24,7,FALSE)+'BMP P Tracking Table'!$Z138*VLOOKUP('BMP P Tracking Table'!$R138,'Loading Rates'!$B$1:$L$24,8,FALSE)+'BMP P Tracking Table'!$AA138*VLOOKUP('BMP P Tracking Table'!$R138,'Loading Rates'!$B$1:$L$24,9,FALSE),'BMP P Tracking Table'!$AB138*VLOOKUP('BMP P Tracking Table'!$R138,'Loading Rates'!$B$1:$L$24,10,FALSE)),'BMP P Tracking Table'!$AP138*VLOOKUP('BMP P Tracking Table'!$R138,'Loading Rates'!$B$1:$L$24,4,FALSE)+IF('BMP P Tracking Table'!$AQ138="By HSG",'BMP P Tracking Table'!$AR138*VLOOKUP('BMP P Tracking Table'!$R138,'Loading Rates'!$B$1:$L$24,6,FALSE)+'BMP P Tracking Table'!$AS138*VLOOKUP('BMP P Tracking Table'!$R138,'Loading Rates'!$B$1:$L$24,7,FALSE)+'BMP P Tracking Table'!$AT138*VLOOKUP('BMP P Tracking Table'!$R138,'Loading Rates'!$B$1:$L$24,8,FALSE)+'BMP P Tracking Table'!$AU138*VLOOKUP('BMP P Tracking Table'!$R138,'Loading Rates'!$B$1:$L$24,9,FALSE),'BMP P Tracking Table'!$AV138*VLOOKUP('BMP P Tracking Table'!$R138,'Loading Rates'!$B$1:$L$24,10,FALSE))),"")</f>
        <v/>
      </c>
      <c r="BA138" s="104">
        <f>IFERROR(IF('BMP P Tracking Table'!$AM138="Yes",MIN(2,IF('BMP P Tracking Table'!$AQ138="Total Pervious",(-(3630*'BMP P Tracking Table'!$AP138+20.691*'BMP P Tracking Table'!$AV138)+SQRT((3630*'BMP P Tracking Table'!$AP138+20.691*'BMP P Tracking Table'!$AV138)^2-(4*(996.798*'BMP P Tracking Table'!$AV138)*-'BMP P Tracking Table'!$AX138)))/(2*(996.798*'BMP P Tracking Table'!$AV138)),IF(SUM('BMP P Tracking Table'!$AR138:$AU138)=0,'BMP P Tracking Table'!$AV138/(-3630*'BMP P Tracking Table'!$AP138),(-(3630*'BMP P Tracking Table'!$AP138+20.691*'BMP P Tracking Table'!$AU138-216.711*'BMP P Tracking Table'!$AT138-83.853*'BMP P Tracking Table'!$AS138-42.834*'BMP P Tracking Table'!$AR138)+SQRT((3630*'BMP P Tracking Table'!$AP138+20.691*'BMP P Tracking Table'!$AU138-216.711*'BMP P Tracking Table'!$AT138-83.853*'BMP P Tracking Table'!$AS138-42.834*'BMP P Tracking Table'!$AR138)^2-(4*(149.919*'BMP P Tracking Table'!$AR138+236.676*'BMP P Tracking Table'!$AS138+726*'BMP P Tracking Table'!$AT138+996.798*'BMP P Tracking Table'!$AU138)*-'BMP P Tracking Table'!$AX138)))/(2*(149.919*'BMP P Tracking Table'!$AR138+236.676*'BMP P Tracking Table'!$AS138+726*'BMP P Tracking Table'!$AT138+996.798*'BMP P Tracking Table'!$AU138))))),MIN(2,IF('BMP P Tracking Table'!$AQ138="Total Pervious",(-(3630*'BMP P Tracking Table'!$V138+20.691*'BMP P Tracking Table'!$AB138)+SQRT((3630*'BMP P Tracking Table'!$V138+20.691*'BMP P Tracking Table'!$AB138)^2-(4*(996.798*'BMP P Tracking Table'!$AB138)*-'BMP P Tracking Table'!$AX138)))/(2*(996.798*'BMP P Tracking Table'!$AB138)),IF(SUM('BMP P Tracking Table'!$X138:$AA138)=0,'BMP P Tracking Table'!$AX138/(-3630*'BMP P Tracking Table'!$V138),(-(3630*'BMP P Tracking Table'!$V138+20.691*'BMP P Tracking Table'!$AA138-216.711*'BMP P Tracking Table'!$Z138-83.853*'BMP P Tracking Table'!$Y138-42.834*'BMP P Tracking Table'!$X138)+SQRT((3630*'BMP P Tracking Table'!$V138+20.691*'BMP P Tracking Table'!$AA138-216.711*'BMP P Tracking Table'!$Z138-83.853*'BMP P Tracking Table'!$Y138-42.834*'BMP P Tracking Table'!$X138)^2-(4*(149.919*'BMP P Tracking Table'!$X138+236.676*'BMP P Tracking Table'!$Y138+726*'BMP P Tracking Table'!$Z138+996.798*'BMP P Tracking Table'!$AA138)*-'BMP P Tracking Table'!$AX138)))/(2*(149.919*'BMP P Tracking Table'!$X138+236.676*'BMP P Tracking Table'!$Y138+726*'BMP P Tracking Table'!$Z138+996.798*'BMP P Tracking Table'!$AA138)))))),"")</f>
        <v>0</v>
      </c>
      <c r="BB138" s="102" t="str">
        <f>IFERROR((VLOOKUP(CONCATENATE('BMP P Tracking Table'!$AW138," ",'BMP P Tracking Table'!$AY138),'Performance Curves'!$C$1:$L$46,_xlfn.SINGLE(MATCH('BMP P Tracking Table'!$BA138,'Performance Curves'!$D$1:$L$1,1))+2,FALSE)-VLOOKUP(CONCATENATE('BMP P Tracking Table'!$AW138," ",'BMP P Tracking Table'!$AY138),'Performance Curves'!$C$1:$L$46,_xlfn.SINGLE(MATCH('BMP P Tracking Table'!$BA138,'Performance Curves'!$D$1:$L$1,1))+1,FALSE)),"")</f>
        <v/>
      </c>
      <c r="BC138" s="102">
        <f>IFERROR(('BMP P Tracking Table'!$BA138-INDEX('Performance Curves'!$D$1:$L$1,1,MATCH('BMP P Tracking Table'!$BA138,'Performance Curves'!$D$1:$L$1,1)))/(INDEX('Performance Curves'!$D$1:$L$1,1,MATCH('BMP P Tracking Table'!$BA138,'Performance Curves'!$D$1:$L$1,1)+1)-INDEX('Performance Curves'!$D$1:$L$1,1,MATCH('BMP P Tracking Table'!$BA138,'Performance Curves'!$D$1:$L$1,1))),"")</f>
        <v>0</v>
      </c>
      <c r="BD138" s="103" t="str" cm="1">
        <f t="array" ref="BD138">IFERROR(IF('BMP P Tracking Table'!$BA138=2,VLOOKUP(CONCATENATE('BMP P Tracking Table'!$AW138," ",'BMP P Tracking Table'!$AY138),'Performance Curves'!$C$1:$L$44,_xlfn.SINGLE(MATCH('BMP P Tracking Table'!$BA138,'Performance Curves'!$D$1:$L$1,1))+1,FALSE),'BMP P Tracking Table'!$BB138*'BMP P Tracking Table'!$BC138+VLOOKUP(CONCATENATE('BMP P Tracking Table'!$AW138," ",'BMP P Tracking Table'!$AY138),'Performance Curves'!$C$1:$L$44,_xlfn.SINGLE(MATCH('BMP P Tracking Table'!$BA138,'Performance Curves'!$D$1:$L$1,1))+1,FALSE)),"")</f>
        <v/>
      </c>
      <c r="BE138" s="104" t="str">
        <f>IFERROR('BMP P Tracking Table'!$BD138*'BMP P Tracking Table'!$AZ138,"")</f>
        <v/>
      </c>
      <c r="BF138" s="98"/>
      <c r="BG138" s="37">
        <f t="shared" si="17"/>
        <v>0</v>
      </c>
      <c r="BI138" s="36" t="str">
        <f t="shared" ref="BI138:BI142" si="31">B138</f>
        <v>EX-WR-042</v>
      </c>
      <c r="BJ138" s="36" t="str">
        <f t="shared" ref="BJ138" si="32">C138</f>
        <v>2OLET120 Logwood Circle stormline retrofit and infiltration chambers</v>
      </c>
      <c r="BK138" s="36" t="s">
        <v>869</v>
      </c>
      <c r="BL138" s="36" t="s">
        <v>865</v>
      </c>
      <c r="BM138" s="36" t="s">
        <v>866</v>
      </c>
      <c r="BN138" s="36" t="s">
        <v>831</v>
      </c>
      <c r="BO138" s="36" t="s">
        <v>819</v>
      </c>
      <c r="BP138" s="36" t="s">
        <v>874</v>
      </c>
      <c r="BQ138" s="36">
        <f t="shared" si="26"/>
        <v>4.82</v>
      </c>
      <c r="BR138" s="36">
        <f t="shared" si="27"/>
        <v>3.8</v>
      </c>
      <c r="BS138" s="101">
        <f t="shared" si="28"/>
        <v>0.21161825726141079</v>
      </c>
      <c r="BT138" s="238">
        <f t="shared" si="29"/>
        <v>80000</v>
      </c>
      <c r="BU138" s="238">
        <f t="shared" si="30"/>
        <v>60354.861364307762</v>
      </c>
    </row>
    <row r="139" spans="1:73">
      <c r="B139" s="65" t="s">
        <v>863</v>
      </c>
      <c r="C139" s="65" t="s">
        <v>860</v>
      </c>
      <c r="D139" s="65" t="s">
        <v>327</v>
      </c>
      <c r="E139" s="65" t="s">
        <v>9</v>
      </c>
      <c r="F139" s="94"/>
      <c r="G139" s="94"/>
      <c r="H139" s="65"/>
      <c r="I139" s="65"/>
      <c r="J139" s="65" t="s">
        <v>66</v>
      </c>
      <c r="K139" s="95">
        <f>ROUNDUP((VLOOKUP($U139,Dropdowns!$G$3:$I$17, 3, FALSE))*$AC139,-2)</f>
        <v>91100</v>
      </c>
      <c r="L139" s="65" t="s">
        <v>49</v>
      </c>
      <c r="M139" s="65"/>
      <c r="N139" s="65"/>
      <c r="O139" s="65"/>
      <c r="P139" s="65"/>
      <c r="Q139" s="65" t="s">
        <v>119</v>
      </c>
      <c r="R139" s="65" t="s">
        <v>146</v>
      </c>
      <c r="S139" s="65" t="str">
        <f>IFERROR(VLOOKUP('BMP P Tracking Table'!$R139,Dropdowns!$Q$3:$R$23,2,FALSE),"")</f>
        <v>Main Lake</v>
      </c>
      <c r="T139" s="65" t="s">
        <v>66</v>
      </c>
      <c r="U139" s="65" t="s">
        <v>47</v>
      </c>
      <c r="V139" s="65">
        <v>1.18</v>
      </c>
      <c r="W139" s="65" t="s">
        <v>220</v>
      </c>
      <c r="X139" s="65">
        <v>2.65</v>
      </c>
      <c r="Y139" s="65">
        <v>0</v>
      </c>
      <c r="Z139" s="65">
        <v>0</v>
      </c>
      <c r="AA139" s="65">
        <v>0</v>
      </c>
      <c r="AB139" s="65"/>
      <c r="AC139" s="97">
        <f>((1*(0.05+0.009*((V139/(V139+X139))*100))*(V139+X139))/12)*43560</f>
        <v>4550.204999999999</v>
      </c>
      <c r="AD139" s="65" t="s">
        <v>206</v>
      </c>
      <c r="AE139" s="104">
        <f>IFERROR('BMP P Tracking Table'!$V139*VLOOKUP('BMP P Tracking Table'!$R139,'Loading Rates'!$B$1:$L$24,4,FALSE)+IF('BMP P Tracking Table'!$W139="By HSG",'BMP P Tracking Table'!$X139*VLOOKUP('BMP P Tracking Table'!$R139,'Loading Rates'!$B$1:$L$24,6,FALSE)+'BMP P Tracking Table'!$Y139*VLOOKUP('BMP P Tracking Table'!$R139,'Loading Rates'!$B$1:$L$24,7,FALSE)+'BMP P Tracking Table'!$Z139*VLOOKUP('BMP P Tracking Table'!$R139,'Loading Rates'!$B$1:$L$24,8,FALSE)+'BMP P Tracking Table'!$AA139*VLOOKUP('BMP P Tracking Table'!$R139,'Loading Rates'!$B$1:$L$24,9,FALSE),'BMP P Tracking Table'!$AB139*VLOOKUP('BMP P Tracking Table'!$R139,'Loading Rates'!$B$1:$L$24,10,FALSE)),"")</f>
        <v>1.3710599999999999</v>
      </c>
      <c r="AF139" s="104">
        <f>IFERROR(MIN(2,IF('BMP P Tracking Table'!$W139="Total Pervious",(-(3630*'BMP P Tracking Table'!$V139+20.691*'BMP P Tracking Table'!$AB139)+SQRT((3630*'BMP P Tracking Table'!$V139+20.691*'BMP P Tracking Table'!$AB139)^2-(4*(996.798*'BMP P Tracking Table'!$AB139)*-'BMP P Tracking Table'!$AC139)))/(2*(996.798*'BMP P Tracking Table'!$AB139)),IF(SUM('BMP P Tracking Table'!$X139:$AA139)=0,'BMP P Tracking Table'!$AC139/(-3630*'BMP P Tracking Table'!$V139),(-(3630*'BMP P Tracking Table'!$V139+20.691*'BMP P Tracking Table'!$AA139-216.711*'BMP P Tracking Table'!$Z139-83.853*'BMP P Tracking Table'!$Y139-42.834*'BMP P Tracking Table'!$X139)+SQRT((3630*'BMP P Tracking Table'!$V139+20.691*'BMP P Tracking Table'!$AA139-216.711*'BMP P Tracking Table'!$Z139-83.853*'BMP P Tracking Table'!$Y139-42.834*'BMP P Tracking Table'!$X139)^2-(4*(149.919*'BMP P Tracking Table'!$X139+236.676*'BMP P Tracking Table'!$Y139+726*'BMP P Tracking Table'!$Z139+996.798*'BMP P Tracking Table'!$AA139)*-'BMP P Tracking Table'!$AC139)))/(2*(149.919*'BMP P Tracking Table'!$X139+236.676*'BMP P Tracking Table'!$Y139+726*'BMP P Tracking Table'!$Z139+996.798*'BMP P Tracking Table'!$AA139))))),"")</f>
        <v>0.99658071717606178</v>
      </c>
      <c r="AG139" s="104">
        <f>IFERROR((VLOOKUP(CONCATENATE('BMP P Tracking Table'!$U139," ",'BMP P Tracking Table'!$AD139),'Performance Curves'!$C$1:$L$46,_xlfn.SINGLE(MATCH('BMP P Tracking Table'!$AF139,'Performance Curves'!$D$1:$L$1,1))+2,FALSE)-VLOOKUP(CONCATENATE('BMP P Tracking Table'!$U139," ",'BMP P Tracking Table'!$AD139),'Performance Curves'!$C$1:$L$46,_xlfn.SINGLE(MATCH('BMP P Tracking Table'!$AF139,'Performance Curves'!$D$1:$L$1,1))+1,FALSE)),"")</f>
        <v>2.0000000000000018E-2</v>
      </c>
      <c r="AH139" s="104">
        <f>IFERROR(('BMP P Tracking Table'!$AF139-INDEX('Performance Curves'!$D$1:$L$1,1,MATCH('BMP P Tracking Table'!$AF139,'Performance Curves'!$D$1:$L$1,1)))/(INDEX('Performance Curves'!$D$1:$L$1,1,MATCH('BMP P Tracking Table'!$AF139,'Performance Curves'!$D$1:$L$1,1)+1)-INDEX('Performance Curves'!$D$1:$L$1,1,MATCH('BMP P Tracking Table'!$AF139,'Performance Curves'!$D$1:$L$1,1))),"")</f>
        <v>0.98290358588030891</v>
      </c>
      <c r="AI139" s="103">
        <f>IFERROR(IF('BMP P Tracking Table'!$AF139=2,VLOOKUP(CONCATENATE('BMP P Tracking Table'!$U139," ",'BMP P Tracking Table'!$AD139),'Performance Curves'!$C$1:$L$46,_xlfn.SINGLE(MATCH('BMP P Tracking Table'!$AF139,'Performance Curves'!$D$1:$L$1,1))+1,FALSE),'BMP P Tracking Table'!$AG139*'BMP P Tracking Table'!$AH139+VLOOKUP(CONCATENATE('BMP P Tracking Table'!$U139," ",'BMP P Tracking Table'!$AD139),'Performance Curves'!$C$1:$L$46,_xlfn.SINGLE(MATCH('BMP P Tracking Table'!$AF139,'Performance Curves'!$D$1:$L$1,1))+1,FALSE)),"")</f>
        <v>0.97965807171760622</v>
      </c>
      <c r="AJ139" s="104">
        <f>IFERROR('BMP P Tracking Table'!$AI139*'BMP P Tracking Table'!$AE139,"")</f>
        <v>1.3431699958091412</v>
      </c>
      <c r="AK139" s="65"/>
      <c r="AL139" s="98" t="s">
        <v>62</v>
      </c>
      <c r="AM139" s="98" t="s">
        <v>62</v>
      </c>
      <c r="AN139" s="64">
        <v>1</v>
      </c>
      <c r="AO139" s="102">
        <f t="shared" si="16"/>
        <v>1.3431699958091412</v>
      </c>
      <c r="AP139" s="98"/>
      <c r="AQ139" s="98"/>
      <c r="AR139" s="98"/>
      <c r="AS139" s="98"/>
      <c r="AT139" s="98"/>
      <c r="AU139" s="98"/>
      <c r="AV139" s="98"/>
      <c r="AW139" s="65"/>
      <c r="AX139" s="99"/>
      <c r="AY139" s="99"/>
      <c r="AZ139" s="104" t="str">
        <f>IF('BMP P Tracking Table'!$AL139="Yes",IF('BMP P Tracking Table'!$AM139="No",'BMP P Tracking Table'!$V139*VLOOKUP('BMP P Tracking Table'!$R139,'Loading Rates'!$B$1:$L$24,4,FALSE)+IF('BMP P Tracking Table'!$W139="By HSG",'BMP P Tracking Table'!$X139*VLOOKUP('BMP P Tracking Table'!$R139,'Loading Rates'!$B$1:$L$24,6,FALSE)+'BMP P Tracking Table'!$Y139*VLOOKUP('BMP P Tracking Table'!$R139,'Loading Rates'!$B$1:$L$24,7,FALSE)+'BMP P Tracking Table'!$Z139*VLOOKUP('BMP P Tracking Table'!$R139,'Loading Rates'!$B$1:$L$24,8,FALSE)+'BMP P Tracking Table'!$AA139*VLOOKUP('BMP P Tracking Table'!$R139,'Loading Rates'!$B$1:$L$24,9,FALSE),'BMP P Tracking Table'!$AB139*VLOOKUP('BMP P Tracking Table'!$R139,'Loading Rates'!$B$1:$L$24,10,FALSE)),'BMP P Tracking Table'!$AP139*VLOOKUP('BMP P Tracking Table'!$R139,'Loading Rates'!$B$1:$L$24,4,FALSE)+IF('BMP P Tracking Table'!$AQ139="By HSG",'BMP P Tracking Table'!$AR139*VLOOKUP('BMP P Tracking Table'!$R139,'Loading Rates'!$B$1:$L$24,6,FALSE)+'BMP P Tracking Table'!$AS139*VLOOKUP('BMP P Tracking Table'!$R139,'Loading Rates'!$B$1:$L$24,7,FALSE)+'BMP P Tracking Table'!$AT139*VLOOKUP('BMP P Tracking Table'!$R139,'Loading Rates'!$B$1:$L$24,8,FALSE)+'BMP P Tracking Table'!$AU139*VLOOKUP('BMP P Tracking Table'!$R139,'Loading Rates'!$B$1:$L$24,9,FALSE),'BMP P Tracking Table'!$AV139*VLOOKUP('BMP P Tracking Table'!$R139,'Loading Rates'!$B$1:$L$24,10,FALSE))),"")</f>
        <v/>
      </c>
      <c r="BA139" s="104">
        <f>IFERROR(IF('BMP P Tracking Table'!$AM139="Yes",MIN(2,IF('BMP P Tracking Table'!$AQ139="Total Pervious",(-(3630*'BMP P Tracking Table'!$AP139+20.691*'BMP P Tracking Table'!$AV139)+SQRT((3630*'BMP P Tracking Table'!$AP139+20.691*'BMP P Tracking Table'!$AV139)^2-(4*(996.798*'BMP P Tracking Table'!$AV139)*-'BMP P Tracking Table'!$AX139)))/(2*(996.798*'BMP P Tracking Table'!$AV139)),IF(SUM('BMP P Tracking Table'!$AR139:$AU139)=0,'BMP P Tracking Table'!$AV139/(-3630*'BMP P Tracking Table'!$AP139),(-(3630*'BMP P Tracking Table'!$AP139+20.691*'BMP P Tracking Table'!$AU139-216.711*'BMP P Tracking Table'!$AT139-83.853*'BMP P Tracking Table'!$AS139-42.834*'BMP P Tracking Table'!$AR139)+SQRT((3630*'BMP P Tracking Table'!$AP139+20.691*'BMP P Tracking Table'!$AU139-216.711*'BMP P Tracking Table'!$AT139-83.853*'BMP P Tracking Table'!$AS139-42.834*'BMP P Tracking Table'!$AR139)^2-(4*(149.919*'BMP P Tracking Table'!$AR139+236.676*'BMP P Tracking Table'!$AS139+726*'BMP P Tracking Table'!$AT139+996.798*'BMP P Tracking Table'!$AU139)*-'BMP P Tracking Table'!$AX139)))/(2*(149.919*'BMP P Tracking Table'!$AR139+236.676*'BMP P Tracking Table'!$AS139+726*'BMP P Tracking Table'!$AT139+996.798*'BMP P Tracking Table'!$AU139))))),MIN(2,IF('BMP P Tracking Table'!$AQ139="Total Pervious",(-(3630*'BMP P Tracking Table'!$V139+20.691*'BMP P Tracking Table'!$AB139)+SQRT((3630*'BMP P Tracking Table'!$V139+20.691*'BMP P Tracking Table'!$AB139)^2-(4*(996.798*'BMP P Tracking Table'!$AB139)*-'BMP P Tracking Table'!$AX139)))/(2*(996.798*'BMP P Tracking Table'!$AB139)),IF(SUM('BMP P Tracking Table'!$X139:$AA139)=0,'BMP P Tracking Table'!$AX139/(-3630*'BMP P Tracking Table'!$V139),(-(3630*'BMP P Tracking Table'!$V139+20.691*'BMP P Tracking Table'!$AA139-216.711*'BMP P Tracking Table'!$Z139-83.853*'BMP P Tracking Table'!$Y139-42.834*'BMP P Tracking Table'!$X139)+SQRT((3630*'BMP P Tracking Table'!$V139+20.691*'BMP P Tracking Table'!$AA139-216.711*'BMP P Tracking Table'!$Z139-83.853*'BMP P Tracking Table'!$Y139-42.834*'BMP P Tracking Table'!$X139)^2-(4*(149.919*'BMP P Tracking Table'!$X139+236.676*'BMP P Tracking Table'!$Y139+726*'BMP P Tracking Table'!$Z139+996.798*'BMP P Tracking Table'!$AA139)*-'BMP P Tracking Table'!$AX139)))/(2*(149.919*'BMP P Tracking Table'!$X139+236.676*'BMP P Tracking Table'!$Y139+726*'BMP P Tracking Table'!$Z139+996.798*'BMP P Tracking Table'!$AA139)))))),"")</f>
        <v>0</v>
      </c>
      <c r="BB139" s="102" t="str">
        <f>IFERROR((VLOOKUP(CONCATENATE('BMP P Tracking Table'!$AW139," ",'BMP P Tracking Table'!$AY139),'Performance Curves'!$C$1:$L$46,_xlfn.SINGLE(MATCH('BMP P Tracking Table'!$BA139,'Performance Curves'!$D$1:$L$1,1))+2,FALSE)-VLOOKUP(CONCATENATE('BMP P Tracking Table'!$AW139," ",'BMP P Tracking Table'!$AY139),'Performance Curves'!$C$1:$L$46,_xlfn.SINGLE(MATCH('BMP P Tracking Table'!$BA139,'Performance Curves'!$D$1:$L$1,1))+1,FALSE)),"")</f>
        <v/>
      </c>
      <c r="BC139" s="102">
        <f>IFERROR(('BMP P Tracking Table'!$BA139-INDEX('Performance Curves'!$D$1:$L$1,1,MATCH('BMP P Tracking Table'!$BA139,'Performance Curves'!$D$1:$L$1,1)))/(INDEX('Performance Curves'!$D$1:$L$1,1,MATCH('BMP P Tracking Table'!$BA139,'Performance Curves'!$D$1:$L$1,1)+1)-INDEX('Performance Curves'!$D$1:$L$1,1,MATCH('BMP P Tracking Table'!$BA139,'Performance Curves'!$D$1:$L$1,1))),"")</f>
        <v>0</v>
      </c>
      <c r="BD139" s="103" t="str" cm="1">
        <f t="array" ref="BD139">IFERROR(IF('BMP P Tracking Table'!$BA139=2,VLOOKUP(CONCATENATE('BMP P Tracking Table'!$AW139," ",'BMP P Tracking Table'!$AY139),'Performance Curves'!$C$1:$L$44,_xlfn.SINGLE(MATCH('BMP P Tracking Table'!$BA139,'Performance Curves'!$D$1:$L$1,1))+1,FALSE),'BMP P Tracking Table'!$BB139*'BMP P Tracking Table'!$BC139+VLOOKUP(CONCATENATE('BMP P Tracking Table'!$AW139," ",'BMP P Tracking Table'!$AY139),'Performance Curves'!$C$1:$L$44,_xlfn.SINGLE(MATCH('BMP P Tracking Table'!$BA139,'Performance Curves'!$D$1:$L$1,1))+1,FALSE)),"")</f>
        <v/>
      </c>
      <c r="BE139" s="104" t="str">
        <f>IFERROR('BMP P Tracking Table'!$BD139*'BMP P Tracking Table'!$AZ139,"")</f>
        <v/>
      </c>
      <c r="BF139" s="98"/>
      <c r="BG139" s="37">
        <f t="shared" si="17"/>
        <v>0</v>
      </c>
      <c r="BI139" s="36" t="str">
        <f t="shared" si="31"/>
        <v>EX-WR-043</v>
      </c>
      <c r="BJ139" s="36" t="str">
        <f t="shared" si="25"/>
        <v>2OLET120 Logwood Circle stormline and catchbasin retrofits</v>
      </c>
      <c r="BK139" s="36" t="s">
        <v>869</v>
      </c>
      <c r="BL139" s="36" t="s">
        <v>861</v>
      </c>
      <c r="BM139" s="36" t="s">
        <v>868</v>
      </c>
      <c r="BN139" s="36" t="s">
        <v>831</v>
      </c>
      <c r="BO139" s="36" t="s">
        <v>819</v>
      </c>
      <c r="BP139" s="36" t="s">
        <v>874</v>
      </c>
      <c r="BQ139" s="36">
        <f t="shared" si="26"/>
        <v>3.83</v>
      </c>
      <c r="BR139" s="36">
        <f t="shared" si="27"/>
        <v>2.65</v>
      </c>
      <c r="BS139" s="101">
        <f t="shared" si="28"/>
        <v>0.30809399477806787</v>
      </c>
      <c r="BT139" s="238">
        <f t="shared" si="29"/>
        <v>77203.389830508473</v>
      </c>
      <c r="BU139" s="238">
        <f t="shared" si="30"/>
        <v>67824.624049259161</v>
      </c>
    </row>
    <row r="140" spans="1:73">
      <c r="B140" s="36" t="s">
        <v>914</v>
      </c>
      <c r="C140" s="65" t="s">
        <v>886</v>
      </c>
      <c r="D140" s="65" t="s">
        <v>925</v>
      </c>
      <c r="E140" s="65" t="s">
        <v>10</v>
      </c>
      <c r="F140" s="94"/>
      <c r="G140" s="94"/>
      <c r="H140" s="65"/>
      <c r="I140" s="65"/>
      <c r="J140" s="65" t="s">
        <v>66</v>
      </c>
      <c r="K140" s="95"/>
      <c r="L140" s="65" t="s">
        <v>178</v>
      </c>
      <c r="M140" s="65"/>
      <c r="N140" s="65"/>
      <c r="O140" s="65"/>
      <c r="P140" s="65"/>
      <c r="Q140" s="65" t="s">
        <v>119</v>
      </c>
      <c r="R140" s="65" t="s">
        <v>146</v>
      </c>
      <c r="S140" s="65" t="str">
        <f>IFERROR(VLOOKUP('BMP P Tracking Table'!$R140,Dropdowns!$Q$3:$R$23,2,FALSE),"")</f>
        <v>Main Lake</v>
      </c>
      <c r="T140" s="65" t="s">
        <v>66</v>
      </c>
      <c r="U140" s="65" t="s">
        <v>164</v>
      </c>
      <c r="V140" s="65">
        <v>11.71</v>
      </c>
      <c r="W140" s="65" t="s">
        <v>220</v>
      </c>
      <c r="X140" s="65">
        <f>32.59-V140</f>
        <v>20.880000000000003</v>
      </c>
      <c r="Y140" s="65"/>
      <c r="Z140" s="65"/>
      <c r="AA140" s="65"/>
      <c r="AB140" s="65">
        <v>20.88</v>
      </c>
      <c r="AC140" s="97">
        <v>14244</v>
      </c>
      <c r="AD140" s="65" t="s">
        <v>205</v>
      </c>
      <c r="AE140" s="104">
        <f>IFERROR('BMP P Tracking Table'!$V140*VLOOKUP('BMP P Tracking Table'!$R140,'Loading Rates'!$B$1:$L$24,4,FALSE)+IF('BMP P Tracking Table'!$W140="By HSG",'BMP P Tracking Table'!$X140*VLOOKUP('BMP P Tracking Table'!$R140,'Loading Rates'!$B$1:$L$24,6,FALSE)+'BMP P Tracking Table'!$Y140*VLOOKUP('BMP P Tracking Table'!$R140,'Loading Rates'!$B$1:$L$24,7,FALSE)+'BMP P Tracking Table'!$Z140*VLOOKUP('BMP P Tracking Table'!$R140,'Loading Rates'!$B$1:$L$24,8,FALSE)+'BMP P Tracking Table'!$AA140*VLOOKUP('BMP P Tracking Table'!$R140,'Loading Rates'!$B$1:$L$24,9,FALSE),'BMP P Tracking Table'!$AB140*VLOOKUP('BMP P Tracking Table'!$R140,'Loading Rates'!$B$1:$L$24,10,FALSE)),"")</f>
        <v>13.497670000000001</v>
      </c>
      <c r="AF140" s="104">
        <f>IFERROR(MIN(2,IF('BMP P Tracking Table'!$W140="Total Pervious",(-(3630*'BMP P Tracking Table'!$V140+20.691*'BMP P Tracking Table'!$AB140)+SQRT((3630*'BMP P Tracking Table'!$V140+20.691*'BMP P Tracking Table'!$AB140)^2-(4*(996.798*'BMP P Tracking Table'!$AB140)*-'BMP P Tracking Table'!$AC140)))/(2*(996.798*'BMP P Tracking Table'!$AB140)),IF(SUM('BMP P Tracking Table'!$X140:$AA140)=0,'BMP P Tracking Table'!$AC140/(-3630*'BMP P Tracking Table'!$V140),(-(3630*'BMP P Tracking Table'!$V140+20.691*'BMP P Tracking Table'!$AA140-216.711*'BMP P Tracking Table'!$Z140-83.853*'BMP P Tracking Table'!$Y140-42.834*'BMP P Tracking Table'!$X140)+SQRT((3630*'BMP P Tracking Table'!$V140+20.691*'BMP P Tracking Table'!$AA140-216.711*'BMP P Tracking Table'!$Z140-83.853*'BMP P Tracking Table'!$Y140-42.834*'BMP P Tracking Table'!$X140)^2-(4*(149.919*'BMP P Tracking Table'!$X140+236.676*'BMP P Tracking Table'!$Y140+726*'BMP P Tracking Table'!$Z140+996.798*'BMP P Tracking Table'!$AA140)*-'BMP P Tracking Table'!$AC140)))/(2*(149.919*'BMP P Tracking Table'!$X140+236.676*'BMP P Tracking Table'!$Y140+726*'BMP P Tracking Table'!$Z140+996.798*'BMP P Tracking Table'!$AA140))))),"")</f>
        <v>0.33391025860370444</v>
      </c>
      <c r="AG140" s="104">
        <f>IFERROR((VLOOKUP(CONCATENATE('BMP P Tracking Table'!$U140," ",'BMP P Tracking Table'!$AD140),'Performance Curves'!$C$1:$L$46,_xlfn.SINGLE(MATCH('BMP P Tracking Table'!$AF140,'Performance Curves'!$D$1:$L$1,1))+2,FALSE)-VLOOKUP(CONCATENATE('BMP P Tracking Table'!$U140," ",'BMP P Tracking Table'!$AD140),'Performance Curves'!$C$1:$L$46,_xlfn.SINGLE(MATCH('BMP P Tracking Table'!$AF140,'Performance Curves'!$D$1:$L$1,1))+1,FALSE)),"")</f>
        <v>0.18999999999999995</v>
      </c>
      <c r="AH140" s="104">
        <f>IFERROR(('BMP P Tracking Table'!$AF140-INDEX('Performance Curves'!$D$1:$L$1,1,MATCH('BMP P Tracking Table'!$AF140,'Performance Curves'!$D$1:$L$1,1)))/(INDEX('Performance Curves'!$D$1:$L$1,1,MATCH('BMP P Tracking Table'!$AF140,'Performance Curves'!$D$1:$L$1,1)+1)-INDEX('Performance Curves'!$D$1:$L$1,1,MATCH('BMP P Tracking Table'!$AF140,'Performance Curves'!$D$1:$L$1,1))),"")</f>
        <v>0.66955129301852212</v>
      </c>
      <c r="AI140" s="103">
        <f>IFERROR(IF('BMP P Tracking Table'!$AF140=2,VLOOKUP(CONCATENATE('BMP P Tracking Table'!$U140," ",'BMP P Tracking Table'!$AD140),'Performance Curves'!$C$1:$L$46,_xlfn.SINGLE(MATCH('BMP P Tracking Table'!$AF140,'Performance Curves'!$D$1:$L$1,1))+1,FALSE),'BMP P Tracking Table'!$AG140*'BMP P Tracking Table'!$AH140+VLOOKUP(CONCATENATE('BMP P Tracking Table'!$U140," ",'BMP P Tracking Table'!$AD140),'Performance Curves'!$C$1:$L$46,_xlfn.SINGLE(MATCH('BMP P Tracking Table'!$AF140,'Performance Curves'!$D$1:$L$1,1))+1,FALSE)),"")</f>
        <v>0.8772147456735192</v>
      </c>
      <c r="AJ140" s="104">
        <f>IFERROR('BMP P Tracking Table'!$AI140*'BMP P Tracking Table'!$AE140,"")</f>
        <v>11.840355156235091</v>
      </c>
      <c r="AK140" s="65"/>
      <c r="AL140" s="98" t="s">
        <v>62</v>
      </c>
      <c r="AM140" s="98"/>
      <c r="AN140" s="64">
        <v>1</v>
      </c>
      <c r="AO140" s="102">
        <f t="shared" si="16"/>
        <v>11.840355156235091</v>
      </c>
      <c r="AP140" s="98"/>
      <c r="AQ140" s="98"/>
      <c r="AR140" s="98"/>
      <c r="AS140" s="98"/>
      <c r="AT140" s="98"/>
      <c r="AU140" s="98"/>
      <c r="AV140" s="98"/>
      <c r="AW140" s="65"/>
      <c r="AX140" s="99"/>
      <c r="AY140" s="99"/>
      <c r="AZ140" s="104" t="str">
        <f>IF('BMP P Tracking Table'!$AL140="Yes",IF('BMP P Tracking Table'!$AM140="No",'BMP P Tracking Table'!$V140*VLOOKUP('BMP P Tracking Table'!$R140,'Loading Rates'!$B$1:$L$24,4,FALSE)+IF('BMP P Tracking Table'!$W140="By HSG",'BMP P Tracking Table'!$X140*VLOOKUP('BMP P Tracking Table'!$R140,'Loading Rates'!$B$1:$L$24,6,FALSE)+'BMP P Tracking Table'!$Y140*VLOOKUP('BMP P Tracking Table'!$R140,'Loading Rates'!$B$1:$L$24,7,FALSE)+'BMP P Tracking Table'!$Z140*VLOOKUP('BMP P Tracking Table'!$R140,'Loading Rates'!$B$1:$L$24,8,FALSE)+'BMP P Tracking Table'!$AA140*VLOOKUP('BMP P Tracking Table'!$R140,'Loading Rates'!$B$1:$L$24,9,FALSE),'BMP P Tracking Table'!$AB140*VLOOKUP('BMP P Tracking Table'!$R140,'Loading Rates'!$B$1:$L$24,10,FALSE)),'BMP P Tracking Table'!$AP140*VLOOKUP('BMP P Tracking Table'!$R140,'Loading Rates'!$B$1:$L$24,4,FALSE)+IF('BMP P Tracking Table'!$AQ140="By HSG",'BMP P Tracking Table'!$AR140*VLOOKUP('BMP P Tracking Table'!$R140,'Loading Rates'!$B$1:$L$24,6,FALSE)+'BMP P Tracking Table'!$AS140*VLOOKUP('BMP P Tracking Table'!$R140,'Loading Rates'!$B$1:$L$24,7,FALSE)+'BMP P Tracking Table'!$AT140*VLOOKUP('BMP P Tracking Table'!$R140,'Loading Rates'!$B$1:$L$24,8,FALSE)+'BMP P Tracking Table'!$AU140*VLOOKUP('BMP P Tracking Table'!$R140,'Loading Rates'!$B$1:$L$24,9,FALSE),'BMP P Tracking Table'!$AV140*VLOOKUP('BMP P Tracking Table'!$R140,'Loading Rates'!$B$1:$L$24,10,FALSE))),"")</f>
        <v/>
      </c>
      <c r="BA140" s="104">
        <f>IFERROR(IF('BMP P Tracking Table'!$AM140="Yes",MIN(2,IF('BMP P Tracking Table'!$AQ140="Total Pervious",(-(3630*'BMP P Tracking Table'!$AP140+20.691*'BMP P Tracking Table'!$AV140)+SQRT((3630*'BMP P Tracking Table'!$AP140+20.691*'BMP P Tracking Table'!$AV140)^2-(4*(996.798*'BMP P Tracking Table'!$AV140)*-'BMP P Tracking Table'!$AX140)))/(2*(996.798*'BMP P Tracking Table'!$AV140)),IF(SUM('BMP P Tracking Table'!$AR140:$AU140)=0,'BMP P Tracking Table'!$AV140/(-3630*'BMP P Tracking Table'!$AP140),(-(3630*'BMP P Tracking Table'!$AP140+20.691*'BMP P Tracking Table'!$AU140-216.711*'BMP P Tracking Table'!$AT140-83.853*'BMP P Tracking Table'!$AS140-42.834*'BMP P Tracking Table'!$AR140)+SQRT((3630*'BMP P Tracking Table'!$AP140+20.691*'BMP P Tracking Table'!$AU140-216.711*'BMP P Tracking Table'!$AT140-83.853*'BMP P Tracking Table'!$AS140-42.834*'BMP P Tracking Table'!$AR140)^2-(4*(149.919*'BMP P Tracking Table'!$AR140+236.676*'BMP P Tracking Table'!$AS140+726*'BMP P Tracking Table'!$AT140+996.798*'BMP P Tracking Table'!$AU140)*-'BMP P Tracking Table'!$AX140)))/(2*(149.919*'BMP P Tracking Table'!$AR140+236.676*'BMP P Tracking Table'!$AS140+726*'BMP P Tracking Table'!$AT140+996.798*'BMP P Tracking Table'!$AU140))))),MIN(2,IF('BMP P Tracking Table'!$AQ140="Total Pervious",(-(3630*'BMP P Tracking Table'!$V140+20.691*'BMP P Tracking Table'!$AB140)+SQRT((3630*'BMP P Tracking Table'!$V140+20.691*'BMP P Tracking Table'!$AB140)^2-(4*(996.798*'BMP P Tracking Table'!$AB140)*-'BMP P Tracking Table'!$AX140)))/(2*(996.798*'BMP P Tracking Table'!$AB140)),IF(SUM('BMP P Tracking Table'!$X140:$AA140)=0,'BMP P Tracking Table'!$AX140/(-3630*'BMP P Tracking Table'!$V140),(-(3630*'BMP P Tracking Table'!$V140+20.691*'BMP P Tracking Table'!$AA140-216.711*'BMP P Tracking Table'!$Z140-83.853*'BMP P Tracking Table'!$Y140-42.834*'BMP P Tracking Table'!$X140)+SQRT((3630*'BMP P Tracking Table'!$V140+20.691*'BMP P Tracking Table'!$AA140-216.711*'BMP P Tracking Table'!$Z140-83.853*'BMP P Tracking Table'!$Y140-42.834*'BMP P Tracking Table'!$X140)^2-(4*(149.919*'BMP P Tracking Table'!$X140+236.676*'BMP P Tracking Table'!$Y140+726*'BMP P Tracking Table'!$Z140+996.798*'BMP P Tracking Table'!$AA140)*-'BMP P Tracking Table'!$AX140)))/(2*(149.919*'BMP P Tracking Table'!$X140+236.676*'BMP P Tracking Table'!$Y140+726*'BMP P Tracking Table'!$Z140+996.798*'BMP P Tracking Table'!$AA140)))))),"")</f>
        <v>0</v>
      </c>
      <c r="BB140" s="102" t="str">
        <f>IFERROR((VLOOKUP(CONCATENATE('BMP P Tracking Table'!$AW140," ",'BMP P Tracking Table'!$AY140),'Performance Curves'!$C$1:$L$46,_xlfn.SINGLE(MATCH('BMP P Tracking Table'!$BA140,'Performance Curves'!$D$1:$L$1,1))+2,FALSE)-VLOOKUP(CONCATENATE('BMP P Tracking Table'!$AW140," ",'BMP P Tracking Table'!$AY140),'Performance Curves'!$C$1:$L$46,_xlfn.SINGLE(MATCH('BMP P Tracking Table'!$BA140,'Performance Curves'!$D$1:$L$1,1))+1,FALSE)),"")</f>
        <v/>
      </c>
      <c r="BC140" s="102">
        <f>IFERROR(('BMP P Tracking Table'!$BA140-INDEX('Performance Curves'!$D$1:$L$1,1,MATCH('BMP P Tracking Table'!$BA140,'Performance Curves'!$D$1:$L$1,1)))/(INDEX('Performance Curves'!$D$1:$L$1,1,MATCH('BMP P Tracking Table'!$BA140,'Performance Curves'!$D$1:$L$1,1)+1)-INDEX('Performance Curves'!$D$1:$L$1,1,MATCH('BMP P Tracking Table'!$BA140,'Performance Curves'!$D$1:$L$1,1))),"")</f>
        <v>0</v>
      </c>
      <c r="BD140" s="103" t="str" cm="1">
        <f t="array" ref="BD140">IFERROR(IF('BMP P Tracking Table'!$BA140=2,VLOOKUP(CONCATENATE('BMP P Tracking Table'!$AW140," ",'BMP P Tracking Table'!$AY140),'Performance Curves'!$C$1:$L$44,_xlfn.SINGLE(MATCH('BMP P Tracking Table'!$BA140,'Performance Curves'!$D$1:$L$1,1))+1,FALSE),'BMP P Tracking Table'!$BB140*'BMP P Tracking Table'!$BC140+VLOOKUP(CONCATENATE('BMP P Tracking Table'!$AW140," ",'BMP P Tracking Table'!$AY140),'Performance Curves'!$C$1:$L$44,_xlfn.SINGLE(MATCH('BMP P Tracking Table'!$BA140,'Performance Curves'!$D$1:$L$1,1))+1,FALSE)),"")</f>
        <v/>
      </c>
      <c r="BE140" s="104" t="str">
        <f>IFERROR('BMP P Tracking Table'!$BD140*'BMP P Tracking Table'!$AZ140,"")</f>
        <v/>
      </c>
      <c r="BF140" s="98"/>
      <c r="BG140" s="37">
        <f t="shared" si="17"/>
        <v>0</v>
      </c>
      <c r="BI140" s="36" t="str">
        <f t="shared" si="31"/>
        <v>EJ-WR-039</v>
      </c>
      <c r="BJ140" s="36" t="str">
        <f t="shared" si="25"/>
        <v>Hiawatha Infiltration Gallery Retrofit</v>
      </c>
      <c r="BS140" s="36"/>
    </row>
    <row r="141" spans="1:73">
      <c r="A141" s="36" t="s">
        <v>891</v>
      </c>
      <c r="B141" s="36" t="s">
        <v>891</v>
      </c>
      <c r="C141" s="65" t="s">
        <v>892</v>
      </c>
      <c r="D141" s="65" t="s">
        <v>325</v>
      </c>
      <c r="E141" s="65" t="s">
        <v>10</v>
      </c>
      <c r="F141" s="94"/>
      <c r="G141" s="94"/>
      <c r="H141" s="36" t="s">
        <v>891</v>
      </c>
      <c r="I141" s="65"/>
      <c r="J141" s="65" t="s">
        <v>66</v>
      </c>
      <c r="K141" s="95"/>
      <c r="L141" s="65" t="s">
        <v>110</v>
      </c>
      <c r="M141" s="65">
        <v>2024</v>
      </c>
      <c r="N141" s="65"/>
      <c r="O141" s="65"/>
      <c r="P141" s="65"/>
      <c r="Q141" s="65" t="s">
        <v>119</v>
      </c>
      <c r="R141" s="65" t="s">
        <v>146</v>
      </c>
      <c r="S141" s="65" t="s">
        <v>129</v>
      </c>
      <c r="T141" s="65" t="s">
        <v>62</v>
      </c>
      <c r="U141" s="65" t="s">
        <v>163</v>
      </c>
      <c r="V141" s="65">
        <v>0.61799999999999999</v>
      </c>
      <c r="W141" s="65" t="s">
        <v>219</v>
      </c>
      <c r="X141" s="65"/>
      <c r="Y141" s="65"/>
      <c r="Z141" s="65"/>
      <c r="AA141" s="65"/>
      <c r="AB141" s="65">
        <v>0.27900000000000003</v>
      </c>
      <c r="AC141" s="97">
        <v>1573</v>
      </c>
      <c r="AD141" s="65"/>
      <c r="AE141" s="104">
        <f>IFERROR('BMP P Tracking Table'!$V141*VLOOKUP('BMP P Tracking Table'!$R141,'Loading Rates'!$B$1:$L$24,4,FALSE)+IF('BMP P Tracking Table'!$W141="By HSG",'BMP P Tracking Table'!$X141*VLOOKUP('BMP P Tracking Table'!$R141,'Loading Rates'!$B$1:$L$24,6,FALSE)+'BMP P Tracking Table'!$Y141*VLOOKUP('BMP P Tracking Table'!$R141,'Loading Rates'!$B$1:$L$24,7,FALSE)+'BMP P Tracking Table'!$Z141*VLOOKUP('BMP P Tracking Table'!$R141,'Loading Rates'!$B$1:$L$24,8,FALSE)+'BMP P Tracking Table'!$AA141*VLOOKUP('BMP P Tracking Table'!$R141,'Loading Rates'!$B$1:$L$24,9,FALSE),'BMP P Tracking Table'!$AB141*VLOOKUP('BMP P Tracking Table'!$R141,'Loading Rates'!$B$1:$L$24,10,FALSE)),"")</f>
        <v>0.75475499999999995</v>
      </c>
      <c r="AF141" s="104">
        <f>IFERROR(MIN(2,IF('BMP P Tracking Table'!$W141="Total Pervious",(-(3630*'BMP P Tracking Table'!$V141+20.691*'BMP P Tracking Table'!$AB141)+SQRT((3630*'BMP P Tracking Table'!$V141+20.691*'BMP P Tracking Table'!$AB141)^2-(4*(996.798*'BMP P Tracking Table'!$AB141)*-'BMP P Tracking Table'!$AC141)))/(2*(996.798*'BMP P Tracking Table'!$AB141)),IF(SUM('BMP P Tracking Table'!$X141:$AA141)=0,'BMP P Tracking Table'!$AC141/(-3630*'BMP P Tracking Table'!$V141),(-(3630*'BMP P Tracking Table'!$V141+20.691*'BMP P Tracking Table'!$AA141-216.711*'BMP P Tracking Table'!$Z141-83.853*'BMP P Tracking Table'!$Y141-42.834*'BMP P Tracking Table'!$X141)+SQRT((3630*'BMP P Tracking Table'!$V141+20.691*'BMP P Tracking Table'!$AA141-216.711*'BMP P Tracking Table'!$Z141-83.853*'BMP P Tracking Table'!$Y141-42.834*'BMP P Tracking Table'!$X141)^2-(4*(149.919*'BMP P Tracking Table'!$X141+236.676*'BMP P Tracking Table'!$Y141+726*'BMP P Tracking Table'!$Z141+996.798*'BMP P Tracking Table'!$AA141)*-'BMP P Tracking Table'!$AC141)))/(2*(149.919*'BMP P Tracking Table'!$X141+236.676*'BMP P Tracking Table'!$Y141+726*'BMP P Tracking Table'!$Z141+996.798*'BMP P Tracking Table'!$AA141))))),"")</f>
        <v>0.64753890790562829</v>
      </c>
      <c r="AG141" s="104">
        <f>IFERROR((VLOOKUP(CONCATENATE('BMP P Tracking Table'!$U141," ",'BMP P Tracking Table'!$AD141),'Performance Curves'!$C$1:$L$46,_xlfn.SINGLE(MATCH('BMP P Tracking Table'!$AF141,'Performance Curves'!$D$1:$L$1,1))+2,FALSE)-VLOOKUP(CONCATENATE('BMP P Tracking Table'!$U141," ",'BMP P Tracking Table'!$AD141),'Performance Curves'!$C$1:$L$46,_xlfn.SINGLE(MATCH('BMP P Tracking Table'!$AF141,'Performance Curves'!$D$1:$L$1,1))+1,FALSE)),"")</f>
        <v>3.999999999999998E-2</v>
      </c>
      <c r="AH141" s="104">
        <f>IFERROR(('BMP P Tracking Table'!$AF141-INDEX('Performance Curves'!$D$1:$L$1,1,MATCH('BMP P Tracking Table'!$AF141,'Performance Curves'!$D$1:$L$1,1)))/(INDEX('Performance Curves'!$D$1:$L$1,1,MATCH('BMP P Tracking Table'!$AF141,'Performance Curves'!$D$1:$L$1,1)+1)-INDEX('Performance Curves'!$D$1:$L$1,1,MATCH('BMP P Tracking Table'!$AF141,'Performance Curves'!$D$1:$L$1,1))),"")</f>
        <v>0.23769453952814149</v>
      </c>
      <c r="AI141" s="103">
        <f>IFERROR(IF('BMP P Tracking Table'!$AF141=2,VLOOKUP(CONCATENATE('BMP P Tracking Table'!$U141," ",'BMP P Tracking Table'!$AD141),'Performance Curves'!$C$1:$L$46,_xlfn.SINGLE(MATCH('BMP P Tracking Table'!$AF141,'Performance Curves'!$D$1:$L$1,1))+1,FALSE),'BMP P Tracking Table'!$AG141*'BMP P Tracking Table'!$AH141+VLOOKUP(CONCATENATE('BMP P Tracking Table'!$U141," ",'BMP P Tracking Table'!$AD141),'Performance Curves'!$C$1:$L$46,_xlfn.SINGLE(MATCH('BMP P Tracking Table'!$AF141,'Performance Curves'!$D$1:$L$1,1))+1,FALSE)),"")</f>
        <v>0.44950778158112564</v>
      </c>
      <c r="AJ141" s="104">
        <f>IFERROR('BMP P Tracking Table'!$AI141*'BMP P Tracking Table'!$AE141,"")</f>
        <v>0.33926824568726244</v>
      </c>
      <c r="AK141" s="65"/>
      <c r="AL141" s="98" t="s">
        <v>62</v>
      </c>
      <c r="AM141" s="98"/>
      <c r="AN141" s="64">
        <v>1</v>
      </c>
      <c r="AO141" s="102">
        <f t="shared" si="16"/>
        <v>0.33926824568726244</v>
      </c>
      <c r="AP141" s="98"/>
      <c r="AQ141" s="98"/>
      <c r="AR141" s="98"/>
      <c r="AS141" s="98"/>
      <c r="AT141" s="98"/>
      <c r="AU141" s="98"/>
      <c r="AV141" s="98"/>
      <c r="AW141" s="65"/>
      <c r="AX141" s="99"/>
      <c r="AY141" s="99"/>
      <c r="AZ141" s="104" t="str">
        <f>IF('BMP P Tracking Table'!$AL141="Yes",IF('BMP P Tracking Table'!$AM141="No",'BMP P Tracking Table'!$V141*VLOOKUP('BMP P Tracking Table'!$R141,'Loading Rates'!$B$1:$L$24,4,FALSE)+IF('BMP P Tracking Table'!$W141="By HSG",'BMP P Tracking Table'!$X141*VLOOKUP('BMP P Tracking Table'!$R141,'Loading Rates'!$B$1:$L$24,6,FALSE)+'BMP P Tracking Table'!$Y141*VLOOKUP('BMP P Tracking Table'!$R141,'Loading Rates'!$B$1:$L$24,7,FALSE)+'BMP P Tracking Table'!$Z141*VLOOKUP('BMP P Tracking Table'!$R141,'Loading Rates'!$B$1:$L$24,8,FALSE)+'BMP P Tracking Table'!$AA141*VLOOKUP('BMP P Tracking Table'!$R141,'Loading Rates'!$B$1:$L$24,9,FALSE),'BMP P Tracking Table'!$AB141*VLOOKUP('BMP P Tracking Table'!$R141,'Loading Rates'!$B$1:$L$24,10,FALSE)),'BMP P Tracking Table'!$AP141*VLOOKUP('BMP P Tracking Table'!$R141,'Loading Rates'!$B$1:$L$24,4,FALSE)+IF('BMP P Tracking Table'!$AQ141="By HSG",'BMP P Tracking Table'!$AR141*VLOOKUP('BMP P Tracking Table'!$R141,'Loading Rates'!$B$1:$L$24,6,FALSE)+'BMP P Tracking Table'!$AS141*VLOOKUP('BMP P Tracking Table'!$R141,'Loading Rates'!$B$1:$L$24,7,FALSE)+'BMP P Tracking Table'!$AT141*VLOOKUP('BMP P Tracking Table'!$R141,'Loading Rates'!$B$1:$L$24,8,FALSE)+'BMP P Tracking Table'!$AU141*VLOOKUP('BMP P Tracking Table'!$R141,'Loading Rates'!$B$1:$L$24,9,FALSE),'BMP P Tracking Table'!$AV141*VLOOKUP('BMP P Tracking Table'!$R141,'Loading Rates'!$B$1:$L$24,10,FALSE))),"")</f>
        <v/>
      </c>
      <c r="BA141" s="104">
        <f>IFERROR(IF('BMP P Tracking Table'!$AM141="Yes",MIN(2,IF('BMP P Tracking Table'!$AQ141="Total Pervious",(-(3630*'BMP P Tracking Table'!$AP141+20.691*'BMP P Tracking Table'!$AV141)+SQRT((3630*'BMP P Tracking Table'!$AP141+20.691*'BMP P Tracking Table'!$AV141)^2-(4*(996.798*'BMP P Tracking Table'!$AV141)*-'BMP P Tracking Table'!$AX141)))/(2*(996.798*'BMP P Tracking Table'!$AV141)),IF(SUM('BMP P Tracking Table'!$AR141:$AU141)=0,'BMP P Tracking Table'!$AV141/(-3630*'BMP P Tracking Table'!$AP141),(-(3630*'BMP P Tracking Table'!$AP141+20.691*'BMP P Tracking Table'!$AU141-216.711*'BMP P Tracking Table'!$AT141-83.853*'BMP P Tracking Table'!$AS141-42.834*'BMP P Tracking Table'!$AR141)+SQRT((3630*'BMP P Tracking Table'!$AP141+20.691*'BMP P Tracking Table'!$AU141-216.711*'BMP P Tracking Table'!$AT141-83.853*'BMP P Tracking Table'!$AS141-42.834*'BMP P Tracking Table'!$AR141)^2-(4*(149.919*'BMP P Tracking Table'!$AR141+236.676*'BMP P Tracking Table'!$AS141+726*'BMP P Tracking Table'!$AT141+996.798*'BMP P Tracking Table'!$AU141)*-'BMP P Tracking Table'!$AX141)))/(2*(149.919*'BMP P Tracking Table'!$AR141+236.676*'BMP P Tracking Table'!$AS141+726*'BMP P Tracking Table'!$AT141+996.798*'BMP P Tracking Table'!$AU141))))),MIN(2,IF('BMP P Tracking Table'!$AQ141="Total Pervious",(-(3630*'BMP P Tracking Table'!$V141+20.691*'BMP P Tracking Table'!$AB141)+SQRT((3630*'BMP P Tracking Table'!$V141+20.691*'BMP P Tracking Table'!$AB141)^2-(4*(996.798*'BMP P Tracking Table'!$AB141)*-'BMP P Tracking Table'!$AX141)))/(2*(996.798*'BMP P Tracking Table'!$AB141)),IF(SUM('BMP P Tracking Table'!$X141:$AA141)=0,'BMP P Tracking Table'!$AX141/(-3630*'BMP P Tracking Table'!$V141),(-(3630*'BMP P Tracking Table'!$V141+20.691*'BMP P Tracking Table'!$AA141-216.711*'BMP P Tracking Table'!$Z141-83.853*'BMP P Tracking Table'!$Y141-42.834*'BMP P Tracking Table'!$X141)+SQRT((3630*'BMP P Tracking Table'!$V141+20.691*'BMP P Tracking Table'!$AA141-216.711*'BMP P Tracking Table'!$Z141-83.853*'BMP P Tracking Table'!$Y141-42.834*'BMP P Tracking Table'!$X141)^2-(4*(149.919*'BMP P Tracking Table'!$X141+236.676*'BMP P Tracking Table'!$Y141+726*'BMP P Tracking Table'!$Z141+996.798*'BMP P Tracking Table'!$AA141)*-'BMP P Tracking Table'!$AX141)))/(2*(149.919*'BMP P Tracking Table'!$X141+236.676*'BMP P Tracking Table'!$Y141+726*'BMP P Tracking Table'!$Z141+996.798*'BMP P Tracking Table'!$AA141)))))),"")</f>
        <v>0</v>
      </c>
      <c r="BB141" s="102" t="str">
        <f>IFERROR((VLOOKUP(CONCATENATE('BMP P Tracking Table'!$AW141," ",'BMP P Tracking Table'!$AY141),'Performance Curves'!$C$1:$L$46,_xlfn.SINGLE(MATCH('BMP P Tracking Table'!$BA141,'Performance Curves'!$D$1:$L$1,1))+2,FALSE)-VLOOKUP(CONCATENATE('BMP P Tracking Table'!$AW141," ",'BMP P Tracking Table'!$AY141),'Performance Curves'!$C$1:$L$46,_xlfn.SINGLE(MATCH('BMP P Tracking Table'!$BA141,'Performance Curves'!$D$1:$L$1,1))+1,FALSE)),"")</f>
        <v/>
      </c>
      <c r="BC141" s="102">
        <f>IFERROR(('BMP P Tracking Table'!$BA141-INDEX('Performance Curves'!$D$1:$L$1,1,MATCH('BMP P Tracking Table'!$BA141,'Performance Curves'!$D$1:$L$1,1)))/(INDEX('Performance Curves'!$D$1:$L$1,1,MATCH('BMP P Tracking Table'!$BA141,'Performance Curves'!$D$1:$L$1,1)+1)-INDEX('Performance Curves'!$D$1:$L$1,1,MATCH('BMP P Tracking Table'!$BA141,'Performance Curves'!$D$1:$L$1,1))),"")</f>
        <v>0</v>
      </c>
      <c r="BD141" s="103" t="str" cm="1">
        <f t="array" ref="BD141">IFERROR(IF('BMP P Tracking Table'!$BA141=2,VLOOKUP(CONCATENATE('BMP P Tracking Table'!$AW141," ",'BMP P Tracking Table'!$AY141),'Performance Curves'!$C$1:$L$44,_xlfn.SINGLE(MATCH('BMP P Tracking Table'!$BA141,'Performance Curves'!$D$1:$L$1,1))+1,FALSE),'BMP P Tracking Table'!$BB141*'BMP P Tracking Table'!$BC141+VLOOKUP(CONCATENATE('BMP P Tracking Table'!$AW141," ",'BMP P Tracking Table'!$AY141),'Performance Curves'!$C$1:$L$44,_xlfn.SINGLE(MATCH('BMP P Tracking Table'!$BA141,'Performance Curves'!$D$1:$L$1,1))+1,FALSE)),"")</f>
        <v/>
      </c>
      <c r="BE141" s="104" t="str">
        <f>IFERROR('BMP P Tracking Table'!$BD141*'BMP P Tracking Table'!$AZ141,"")</f>
        <v/>
      </c>
      <c r="BF141" s="98"/>
      <c r="BG141" s="37">
        <f t="shared" si="17"/>
        <v>0</v>
      </c>
      <c r="BH141" s="216" t="s">
        <v>888</v>
      </c>
      <c r="BI141" s="36" t="str">
        <f t="shared" si="31"/>
        <v>7778-INDS.A1T</v>
      </c>
      <c r="BJ141" s="36" t="str">
        <f t="shared" si="25"/>
        <v>Crescent Connector</v>
      </c>
      <c r="BS141" s="36"/>
    </row>
    <row r="142" spans="1:73" s="121" customFormat="1">
      <c r="A142" s="110" t="s">
        <v>893</v>
      </c>
      <c r="B142" s="110" t="s">
        <v>893</v>
      </c>
      <c r="C142" s="110" t="s">
        <v>926</v>
      </c>
      <c r="D142" s="110" t="s">
        <v>327</v>
      </c>
      <c r="E142" s="110" t="s">
        <v>9</v>
      </c>
      <c r="F142" s="111"/>
      <c r="G142" s="111"/>
      <c r="H142" s="110" t="s">
        <v>893</v>
      </c>
      <c r="I142" s="110"/>
      <c r="J142" s="110" t="s">
        <v>62</v>
      </c>
      <c r="K142" s="112"/>
      <c r="L142" s="110" t="s">
        <v>49</v>
      </c>
      <c r="M142" s="110"/>
      <c r="N142" s="110"/>
      <c r="O142" s="110"/>
      <c r="P142" s="110"/>
      <c r="Q142" s="110"/>
      <c r="R142" s="110"/>
      <c r="S142" s="110"/>
      <c r="T142" s="110"/>
      <c r="U142" s="110"/>
      <c r="V142" s="110"/>
      <c r="W142" s="110"/>
      <c r="X142" s="110"/>
      <c r="Y142" s="110"/>
      <c r="Z142" s="110"/>
      <c r="AA142" s="110"/>
      <c r="AB142" s="110"/>
      <c r="AC142" s="113"/>
      <c r="AD142" s="110"/>
      <c r="AE142" s="114" t="str">
        <f>IFERROR('BMP P Tracking Table'!$V142*VLOOKUP('BMP P Tracking Table'!$R142,'Loading Rates'!$B$1:$L$24,4,FALSE)+IF('BMP P Tracking Table'!$W142="By HSG",'BMP P Tracking Table'!$X142*VLOOKUP('BMP P Tracking Table'!$R142,'Loading Rates'!$B$1:$L$24,6,FALSE)+'BMP P Tracking Table'!$Y142*VLOOKUP('BMP P Tracking Table'!$R142,'Loading Rates'!$B$1:$L$24,7,FALSE)+'BMP P Tracking Table'!$Z142*VLOOKUP('BMP P Tracking Table'!$R142,'Loading Rates'!$B$1:$L$24,8,FALSE)+'BMP P Tracking Table'!$AA142*VLOOKUP('BMP P Tracking Table'!$R142,'Loading Rates'!$B$1:$L$24,9,FALSE),'BMP P Tracking Table'!$AB142*VLOOKUP('BMP P Tracking Table'!$R142,'Loading Rates'!$B$1:$L$24,10,FALSE)),"")</f>
        <v/>
      </c>
      <c r="AF142" s="114" t="str">
        <f>IFERROR(MIN(2,IF('BMP P Tracking Table'!$W142="Total Pervious",(-(3630*'BMP P Tracking Table'!$V142+20.691*'BMP P Tracking Table'!$AB142)+SQRT((3630*'BMP P Tracking Table'!$V142+20.691*'BMP P Tracking Table'!$AB142)^2-(4*(996.798*'BMP P Tracking Table'!$AB142)*-'BMP P Tracking Table'!$AC142)))/(2*(996.798*'BMP P Tracking Table'!$AB142)),IF(SUM('BMP P Tracking Table'!$X142:$AA142)=0,'BMP P Tracking Table'!$AC142/(-3630*'BMP P Tracking Table'!$V142),(-(3630*'BMP P Tracking Table'!$V142+20.691*'BMP P Tracking Table'!$AA142-216.711*'BMP P Tracking Table'!$Z142-83.853*'BMP P Tracking Table'!$Y142-42.834*'BMP P Tracking Table'!$X142)+SQRT((3630*'BMP P Tracking Table'!$V142+20.691*'BMP P Tracking Table'!$AA142-216.711*'BMP P Tracking Table'!$Z142-83.853*'BMP P Tracking Table'!$Y142-42.834*'BMP P Tracking Table'!$X142)^2-(4*(149.919*'BMP P Tracking Table'!$X142+236.676*'BMP P Tracking Table'!$Y142+726*'BMP P Tracking Table'!$Z142+996.798*'BMP P Tracking Table'!$AA142)*-'BMP P Tracking Table'!$AC142)))/(2*(149.919*'BMP P Tracking Table'!$X142+236.676*'BMP P Tracking Table'!$Y142+726*'BMP P Tracking Table'!$Z142+996.798*'BMP P Tracking Table'!$AA142))))),"")</f>
        <v/>
      </c>
      <c r="AG142" s="114" t="str">
        <f>IFERROR((VLOOKUP(CONCATENATE('BMP P Tracking Table'!$U142," ",'BMP P Tracking Table'!$AD142),'Performance Curves'!$C$1:$L$46,_xlfn.SINGLE(MATCH('BMP P Tracking Table'!$AF142,'Performance Curves'!$D$1:$L$1,1))+2,FALSE)-VLOOKUP(CONCATENATE('BMP P Tracking Table'!$U142," ",'BMP P Tracking Table'!$AD142),'Performance Curves'!$C$1:$L$46,_xlfn.SINGLE(MATCH('BMP P Tracking Table'!$AF142,'Performance Curves'!$D$1:$L$1,1))+1,FALSE)),"")</f>
        <v/>
      </c>
      <c r="AH142" s="114" t="str">
        <f>IFERROR(('BMP P Tracking Table'!$AF142-INDEX('Performance Curves'!$D$1:$L$1,1,MATCH('BMP P Tracking Table'!$AF142,'Performance Curves'!$D$1:$L$1,1)))/(INDEX('Performance Curves'!$D$1:$L$1,1,MATCH('BMP P Tracking Table'!$AF142,'Performance Curves'!$D$1:$L$1,1)+1)-INDEX('Performance Curves'!$D$1:$L$1,1,MATCH('BMP P Tracking Table'!$AF142,'Performance Curves'!$D$1:$L$1,1))),"")</f>
        <v/>
      </c>
      <c r="AI142" s="115" t="str">
        <f>IFERROR(IF('BMP P Tracking Table'!$AF142=2,VLOOKUP(CONCATENATE('BMP P Tracking Table'!$U142," ",'BMP P Tracking Table'!$AD142),'Performance Curves'!$C$1:$L$46,_xlfn.SINGLE(MATCH('BMP P Tracking Table'!$AF142,'Performance Curves'!$D$1:$L$1,1))+1,FALSE),'BMP P Tracking Table'!$AG142*'BMP P Tracking Table'!$AH142+VLOOKUP(CONCATENATE('BMP P Tracking Table'!$U142," ",'BMP P Tracking Table'!$AD142),'Performance Curves'!$C$1:$L$46,_xlfn.SINGLE(MATCH('BMP P Tracking Table'!$AF142,'Performance Curves'!$D$1:$L$1,1))+1,FALSE)),"")</f>
        <v/>
      </c>
      <c r="AJ142" s="114" t="str">
        <f>IFERROR('BMP P Tracking Table'!$AI142*'BMP P Tracking Table'!$AE142,"")</f>
        <v/>
      </c>
      <c r="AK142" s="110"/>
      <c r="AL142" s="116"/>
      <c r="AM142" s="116"/>
      <c r="AN142" s="117">
        <v>1</v>
      </c>
      <c r="AO142" s="118" t="str">
        <f t="shared" si="16"/>
        <v/>
      </c>
      <c r="AP142" s="116"/>
      <c r="AQ142" s="116"/>
      <c r="AR142" s="116"/>
      <c r="AS142" s="116"/>
      <c r="AT142" s="116"/>
      <c r="AU142" s="116"/>
      <c r="AV142" s="116"/>
      <c r="AW142" s="110"/>
      <c r="AX142" s="119"/>
      <c r="AY142" s="119"/>
      <c r="AZ142" s="114" t="str">
        <f>IF('BMP P Tracking Table'!$AL142="Yes",IF('BMP P Tracking Table'!$AM142="No",'BMP P Tracking Table'!$V142*VLOOKUP('BMP P Tracking Table'!$R142,'Loading Rates'!$B$1:$L$24,4,FALSE)+IF('BMP P Tracking Table'!$W142="By HSG",'BMP P Tracking Table'!$X142*VLOOKUP('BMP P Tracking Table'!$R142,'Loading Rates'!$B$1:$L$24,6,FALSE)+'BMP P Tracking Table'!$Y142*VLOOKUP('BMP P Tracking Table'!$R142,'Loading Rates'!$B$1:$L$24,7,FALSE)+'BMP P Tracking Table'!$Z142*VLOOKUP('BMP P Tracking Table'!$R142,'Loading Rates'!$B$1:$L$24,8,FALSE)+'BMP P Tracking Table'!$AA142*VLOOKUP('BMP P Tracking Table'!$R142,'Loading Rates'!$B$1:$L$24,9,FALSE),'BMP P Tracking Table'!$AB142*VLOOKUP('BMP P Tracking Table'!$R142,'Loading Rates'!$B$1:$L$24,10,FALSE)),'BMP P Tracking Table'!$AP142*VLOOKUP('BMP P Tracking Table'!$R142,'Loading Rates'!$B$1:$L$24,4,FALSE)+IF('BMP P Tracking Table'!$AQ142="By HSG",'BMP P Tracking Table'!$AR142*VLOOKUP('BMP P Tracking Table'!$R142,'Loading Rates'!$B$1:$L$24,6,FALSE)+'BMP P Tracking Table'!$AS142*VLOOKUP('BMP P Tracking Table'!$R142,'Loading Rates'!$B$1:$L$24,7,FALSE)+'BMP P Tracking Table'!$AT142*VLOOKUP('BMP P Tracking Table'!$R142,'Loading Rates'!$B$1:$L$24,8,FALSE)+'BMP P Tracking Table'!$AU142*VLOOKUP('BMP P Tracking Table'!$R142,'Loading Rates'!$B$1:$L$24,9,FALSE),'BMP P Tracking Table'!$AV142*VLOOKUP('BMP P Tracking Table'!$R142,'Loading Rates'!$B$1:$L$24,10,FALSE))),"")</f>
        <v/>
      </c>
      <c r="BA142" s="114" t="str">
        <f>IFERROR(IF('BMP P Tracking Table'!$AM142="Yes",MIN(2,IF('BMP P Tracking Table'!$AQ142="Total Pervious",(-(3630*'BMP P Tracking Table'!$AP142+20.691*'BMP P Tracking Table'!$AV142)+SQRT((3630*'BMP P Tracking Table'!$AP142+20.691*'BMP P Tracking Table'!$AV142)^2-(4*(996.798*'BMP P Tracking Table'!$AV142)*-'BMP P Tracking Table'!$AX142)))/(2*(996.798*'BMP P Tracking Table'!$AV142)),IF(SUM('BMP P Tracking Table'!$AR142:$AU142)=0,'BMP P Tracking Table'!$AV142/(-3630*'BMP P Tracking Table'!$AP142),(-(3630*'BMP P Tracking Table'!$AP142+20.691*'BMP P Tracking Table'!$AU142-216.711*'BMP P Tracking Table'!$AT142-83.853*'BMP P Tracking Table'!$AS142-42.834*'BMP P Tracking Table'!$AR142)+SQRT((3630*'BMP P Tracking Table'!$AP142+20.691*'BMP P Tracking Table'!$AU142-216.711*'BMP P Tracking Table'!$AT142-83.853*'BMP P Tracking Table'!$AS142-42.834*'BMP P Tracking Table'!$AR142)^2-(4*(149.919*'BMP P Tracking Table'!$AR142+236.676*'BMP P Tracking Table'!$AS142+726*'BMP P Tracking Table'!$AT142+996.798*'BMP P Tracking Table'!$AU142)*-'BMP P Tracking Table'!$AX142)))/(2*(149.919*'BMP P Tracking Table'!$AR142+236.676*'BMP P Tracking Table'!$AS142+726*'BMP P Tracking Table'!$AT142+996.798*'BMP P Tracking Table'!$AU142))))),MIN(2,IF('BMP P Tracking Table'!$AQ142="Total Pervious",(-(3630*'BMP P Tracking Table'!$V142+20.691*'BMP P Tracking Table'!$AB142)+SQRT((3630*'BMP P Tracking Table'!$V142+20.691*'BMP P Tracking Table'!$AB142)^2-(4*(996.798*'BMP P Tracking Table'!$AB142)*-'BMP P Tracking Table'!$AX142)))/(2*(996.798*'BMP P Tracking Table'!$AB142)),IF(SUM('BMP P Tracking Table'!$X142:$AA142)=0,'BMP P Tracking Table'!$AX142/(-3630*'BMP P Tracking Table'!$V142),(-(3630*'BMP P Tracking Table'!$V142+20.691*'BMP P Tracking Table'!$AA142-216.711*'BMP P Tracking Table'!$Z142-83.853*'BMP P Tracking Table'!$Y142-42.834*'BMP P Tracking Table'!$X142)+SQRT((3630*'BMP P Tracking Table'!$V142+20.691*'BMP P Tracking Table'!$AA142-216.711*'BMP P Tracking Table'!$Z142-83.853*'BMP P Tracking Table'!$Y142-42.834*'BMP P Tracking Table'!$X142)^2-(4*(149.919*'BMP P Tracking Table'!$X142+236.676*'BMP P Tracking Table'!$Y142+726*'BMP P Tracking Table'!$Z142+996.798*'BMP P Tracking Table'!$AA142)*-'BMP P Tracking Table'!$AX142)))/(2*(149.919*'BMP P Tracking Table'!$X142+236.676*'BMP P Tracking Table'!$Y142+726*'BMP P Tracking Table'!$Z142+996.798*'BMP P Tracking Table'!$AA142)))))),"")</f>
        <v/>
      </c>
      <c r="BB142" s="118" t="str">
        <f>IFERROR((VLOOKUP(CONCATENATE('BMP P Tracking Table'!$AW142," ",'BMP P Tracking Table'!$AY142),'Performance Curves'!$C$1:$L$46,_xlfn.SINGLE(MATCH('BMP P Tracking Table'!$BA142,'Performance Curves'!$D$1:$L$1,1))+2,FALSE)-VLOOKUP(CONCATENATE('BMP P Tracking Table'!$AW142," ",'BMP P Tracking Table'!$AY142),'Performance Curves'!$C$1:$L$46,_xlfn.SINGLE(MATCH('BMP P Tracking Table'!$BA142,'Performance Curves'!$D$1:$L$1,1))+1,FALSE)),"")</f>
        <v/>
      </c>
      <c r="BC142" s="118" t="str">
        <f>IFERROR(('BMP P Tracking Table'!$BA142-INDEX('Performance Curves'!$D$1:$L$1,1,MATCH('BMP P Tracking Table'!$BA142,'Performance Curves'!$D$1:$L$1,1)))/(INDEX('Performance Curves'!$D$1:$L$1,1,MATCH('BMP P Tracking Table'!$BA142,'Performance Curves'!$D$1:$L$1,1)+1)-INDEX('Performance Curves'!$D$1:$L$1,1,MATCH('BMP P Tracking Table'!$BA142,'Performance Curves'!$D$1:$L$1,1))),"")</f>
        <v/>
      </c>
      <c r="BD142" s="115" t="str" cm="1">
        <f t="array" ref="BD142">IFERROR(IF('BMP P Tracking Table'!$BA142=2,VLOOKUP(CONCATENATE('BMP P Tracking Table'!$AW142," ",'BMP P Tracking Table'!$AY142),'Performance Curves'!$C$1:$L$44,_xlfn.SINGLE(MATCH('BMP P Tracking Table'!$BA142,'Performance Curves'!$D$1:$L$1,1))+1,FALSE),'BMP P Tracking Table'!$BB142*'BMP P Tracking Table'!$BC142+VLOOKUP(CONCATENATE('BMP P Tracking Table'!$AW142," ",'BMP P Tracking Table'!$AY142),'Performance Curves'!$C$1:$L$44,_xlfn.SINGLE(MATCH('BMP P Tracking Table'!$BA142,'Performance Curves'!$D$1:$L$1,1))+1,FALSE)),"")</f>
        <v/>
      </c>
      <c r="BE142" s="114" t="str">
        <f>IFERROR('BMP P Tracking Table'!$BD142*'BMP P Tracking Table'!$AZ142,"")</f>
        <v/>
      </c>
      <c r="BF142" s="116"/>
      <c r="BG142" s="120">
        <f t="shared" si="17"/>
        <v>0</v>
      </c>
      <c r="BI142" s="121" t="str">
        <f t="shared" si="31"/>
        <v>3426-9050</v>
      </c>
      <c r="BJ142" s="121" t="str">
        <f t="shared" si="25"/>
        <v>Pinewood Manor Section H 3-Acre Permit</v>
      </c>
    </row>
    <row r="143" spans="1:73">
      <c r="B143" s="65"/>
      <c r="C143" s="65"/>
      <c r="D143" s="65"/>
      <c r="E143" s="65"/>
      <c r="F143" s="94"/>
      <c r="G143" s="94"/>
      <c r="H143" s="65"/>
      <c r="I143" s="65"/>
      <c r="J143" s="65"/>
      <c r="K143" s="95"/>
      <c r="L143" s="65"/>
      <c r="M143" s="65"/>
      <c r="N143" s="65"/>
      <c r="O143" s="65"/>
      <c r="P143" s="65"/>
      <c r="Q143" s="65"/>
      <c r="R143" s="65"/>
      <c r="S143" s="65"/>
      <c r="T143" s="65"/>
      <c r="U143" s="65"/>
      <c r="V143" s="65"/>
      <c r="W143" s="65"/>
      <c r="X143" s="65"/>
      <c r="Y143" s="65"/>
      <c r="Z143" s="65"/>
      <c r="AA143" s="65"/>
      <c r="AB143" s="65"/>
      <c r="AC143" s="97"/>
      <c r="AD143" s="65"/>
      <c r="AE143" s="104" t="str">
        <f>IFERROR('BMP P Tracking Table'!$V143*VLOOKUP('BMP P Tracking Table'!$R143,'Loading Rates'!$B$1:$L$24,4,FALSE)+IF('BMP P Tracking Table'!$W143="By HSG",'BMP P Tracking Table'!$X143*VLOOKUP('BMP P Tracking Table'!$R143,'Loading Rates'!$B$1:$L$24,6,FALSE)+'BMP P Tracking Table'!$Y143*VLOOKUP('BMP P Tracking Table'!$R143,'Loading Rates'!$B$1:$L$24,7,FALSE)+'BMP P Tracking Table'!$Z143*VLOOKUP('BMP P Tracking Table'!$R143,'Loading Rates'!$B$1:$L$24,8,FALSE)+'BMP P Tracking Table'!$AA143*VLOOKUP('BMP P Tracking Table'!$R143,'Loading Rates'!$B$1:$L$24,9,FALSE),'BMP P Tracking Table'!$AB143*VLOOKUP('BMP P Tracking Table'!$R143,'Loading Rates'!$B$1:$L$24,10,FALSE)),"")</f>
        <v/>
      </c>
      <c r="AF143" s="104" t="str">
        <f>IFERROR(MIN(2,IF('BMP P Tracking Table'!$W143="Total Pervious",(-(3630*'BMP P Tracking Table'!$V143+20.691*'BMP P Tracking Table'!$AB143)+SQRT((3630*'BMP P Tracking Table'!$V143+20.691*'BMP P Tracking Table'!$AB143)^2-(4*(996.798*'BMP P Tracking Table'!$AB143)*-'BMP P Tracking Table'!$AC143)))/(2*(996.798*'BMP P Tracking Table'!$AB143)),IF(SUM('BMP P Tracking Table'!$X143:$AA143)=0,'BMP P Tracking Table'!$AC143/(-3630*'BMP P Tracking Table'!$V143),(-(3630*'BMP P Tracking Table'!$V143+20.691*'BMP P Tracking Table'!$AA143-216.711*'BMP P Tracking Table'!$Z143-83.853*'BMP P Tracking Table'!$Y143-42.834*'BMP P Tracking Table'!$X143)+SQRT((3630*'BMP P Tracking Table'!$V143+20.691*'BMP P Tracking Table'!$AA143-216.711*'BMP P Tracking Table'!$Z143-83.853*'BMP P Tracking Table'!$Y143-42.834*'BMP P Tracking Table'!$X143)^2-(4*(149.919*'BMP P Tracking Table'!$X143+236.676*'BMP P Tracking Table'!$Y143+726*'BMP P Tracking Table'!$Z143+996.798*'BMP P Tracking Table'!$AA143)*-'BMP P Tracking Table'!$AC143)))/(2*(149.919*'BMP P Tracking Table'!$X143+236.676*'BMP P Tracking Table'!$Y143+726*'BMP P Tracking Table'!$Z143+996.798*'BMP P Tracking Table'!$AA143))))),"")</f>
        <v/>
      </c>
      <c r="AG143" s="104" t="str">
        <f>IFERROR((VLOOKUP(CONCATENATE('BMP P Tracking Table'!$U143," ",'BMP P Tracking Table'!$AD143),'Performance Curves'!$C$1:$L$46,_xlfn.SINGLE(MATCH('BMP P Tracking Table'!$AF143,'Performance Curves'!$D$1:$L$1,1))+2,FALSE)-VLOOKUP(CONCATENATE('BMP P Tracking Table'!$U143," ",'BMP P Tracking Table'!$AD143),'Performance Curves'!$C$1:$L$46,_xlfn.SINGLE(MATCH('BMP P Tracking Table'!$AF143,'Performance Curves'!$D$1:$L$1,1))+1,FALSE)),"")</f>
        <v/>
      </c>
      <c r="AH143" s="104" t="str">
        <f>IFERROR(('BMP P Tracking Table'!$AF143-INDEX('Performance Curves'!$D$1:$L$1,1,MATCH('BMP P Tracking Table'!$AF143,'Performance Curves'!$D$1:$L$1,1)))/(INDEX('Performance Curves'!$D$1:$L$1,1,MATCH('BMP P Tracking Table'!$AF143,'Performance Curves'!$D$1:$L$1,1)+1)-INDEX('Performance Curves'!$D$1:$L$1,1,MATCH('BMP P Tracking Table'!$AF143,'Performance Curves'!$D$1:$L$1,1))),"")</f>
        <v/>
      </c>
      <c r="AI143" s="103" t="str">
        <f>IFERROR(IF('BMP P Tracking Table'!$AF143=2,VLOOKUP(CONCATENATE('BMP P Tracking Table'!$U143," ",'BMP P Tracking Table'!$AD143),'Performance Curves'!$C$1:$L$46,_xlfn.SINGLE(MATCH('BMP P Tracking Table'!$AF143,'Performance Curves'!$D$1:$L$1,1))+1,FALSE),'BMP P Tracking Table'!$AG143*'BMP P Tracking Table'!$AH143+VLOOKUP(CONCATENATE('BMP P Tracking Table'!$U143," ",'BMP P Tracking Table'!$AD143),'Performance Curves'!$C$1:$L$46,_xlfn.SINGLE(MATCH('BMP P Tracking Table'!$AF143,'Performance Curves'!$D$1:$L$1,1))+1,FALSE)),"")</f>
        <v/>
      </c>
      <c r="AJ143" s="104" t="str">
        <f>IFERROR('BMP P Tracking Table'!$AI143*'BMP P Tracking Table'!$AE143,"")</f>
        <v/>
      </c>
      <c r="AK143" s="65"/>
      <c r="AL143" s="98"/>
      <c r="AM143" s="98"/>
      <c r="AN143" s="64">
        <v>1</v>
      </c>
      <c r="AO143" s="102" t="str">
        <f t="shared" si="16"/>
        <v/>
      </c>
      <c r="AP143" s="98"/>
      <c r="AQ143" s="98"/>
      <c r="AR143" s="98"/>
      <c r="AS143" s="98"/>
      <c r="AT143" s="98"/>
      <c r="AU143" s="98"/>
      <c r="AV143" s="98"/>
      <c r="AW143" s="65"/>
      <c r="AX143" s="99"/>
      <c r="AY143" s="99"/>
      <c r="AZ143" s="104" t="str">
        <f>IF('BMP P Tracking Table'!$AL143="Yes",IF('BMP P Tracking Table'!$AM143="No",'BMP P Tracking Table'!$V143*VLOOKUP('BMP P Tracking Table'!$R143,'Loading Rates'!$B$1:$L$24,4,FALSE)+IF('BMP P Tracking Table'!$W143="By HSG",'BMP P Tracking Table'!$X143*VLOOKUP('BMP P Tracking Table'!$R143,'Loading Rates'!$B$1:$L$24,6,FALSE)+'BMP P Tracking Table'!$Y143*VLOOKUP('BMP P Tracking Table'!$R143,'Loading Rates'!$B$1:$L$24,7,FALSE)+'BMP P Tracking Table'!$Z143*VLOOKUP('BMP P Tracking Table'!$R143,'Loading Rates'!$B$1:$L$24,8,FALSE)+'BMP P Tracking Table'!$AA143*VLOOKUP('BMP P Tracking Table'!$R143,'Loading Rates'!$B$1:$L$24,9,FALSE),'BMP P Tracking Table'!$AB143*VLOOKUP('BMP P Tracking Table'!$R143,'Loading Rates'!$B$1:$L$24,10,FALSE)),'BMP P Tracking Table'!$AP143*VLOOKUP('BMP P Tracking Table'!$R143,'Loading Rates'!$B$1:$L$24,4,FALSE)+IF('BMP P Tracking Table'!$AQ143="By HSG",'BMP P Tracking Table'!$AR143*VLOOKUP('BMP P Tracking Table'!$R143,'Loading Rates'!$B$1:$L$24,6,FALSE)+'BMP P Tracking Table'!$AS143*VLOOKUP('BMP P Tracking Table'!$R143,'Loading Rates'!$B$1:$L$24,7,FALSE)+'BMP P Tracking Table'!$AT143*VLOOKUP('BMP P Tracking Table'!$R143,'Loading Rates'!$B$1:$L$24,8,FALSE)+'BMP P Tracking Table'!$AU143*VLOOKUP('BMP P Tracking Table'!$R143,'Loading Rates'!$B$1:$L$24,9,FALSE),'BMP P Tracking Table'!$AV143*VLOOKUP('BMP P Tracking Table'!$R143,'Loading Rates'!$B$1:$L$24,10,FALSE))),"")</f>
        <v/>
      </c>
      <c r="BA143" s="104" t="str">
        <f>IFERROR(IF('BMP P Tracking Table'!$AM143="Yes",MIN(2,IF('BMP P Tracking Table'!$AQ143="Total Pervious",(-(3630*'BMP P Tracking Table'!$AP143+20.691*'BMP P Tracking Table'!$AV143)+SQRT((3630*'BMP P Tracking Table'!$AP143+20.691*'BMP P Tracking Table'!$AV143)^2-(4*(996.798*'BMP P Tracking Table'!$AV143)*-'BMP P Tracking Table'!$AX143)))/(2*(996.798*'BMP P Tracking Table'!$AV143)),IF(SUM('BMP P Tracking Table'!$AR143:$AU143)=0,'BMP P Tracking Table'!$AV143/(-3630*'BMP P Tracking Table'!$AP143),(-(3630*'BMP P Tracking Table'!$AP143+20.691*'BMP P Tracking Table'!$AU143-216.711*'BMP P Tracking Table'!$AT143-83.853*'BMP P Tracking Table'!$AS143-42.834*'BMP P Tracking Table'!$AR143)+SQRT((3630*'BMP P Tracking Table'!$AP143+20.691*'BMP P Tracking Table'!$AU143-216.711*'BMP P Tracking Table'!$AT143-83.853*'BMP P Tracking Table'!$AS143-42.834*'BMP P Tracking Table'!$AR143)^2-(4*(149.919*'BMP P Tracking Table'!$AR143+236.676*'BMP P Tracking Table'!$AS143+726*'BMP P Tracking Table'!$AT143+996.798*'BMP P Tracking Table'!$AU143)*-'BMP P Tracking Table'!$AX143)))/(2*(149.919*'BMP P Tracking Table'!$AR143+236.676*'BMP P Tracking Table'!$AS143+726*'BMP P Tracking Table'!$AT143+996.798*'BMP P Tracking Table'!$AU143))))),MIN(2,IF('BMP P Tracking Table'!$AQ143="Total Pervious",(-(3630*'BMP P Tracking Table'!$V143+20.691*'BMP P Tracking Table'!$AB143)+SQRT((3630*'BMP P Tracking Table'!$V143+20.691*'BMP P Tracking Table'!$AB143)^2-(4*(996.798*'BMP P Tracking Table'!$AB143)*-'BMP P Tracking Table'!$AX143)))/(2*(996.798*'BMP P Tracking Table'!$AB143)),IF(SUM('BMP P Tracking Table'!$X143:$AA143)=0,'BMP P Tracking Table'!$AX143/(-3630*'BMP P Tracking Table'!$V143),(-(3630*'BMP P Tracking Table'!$V143+20.691*'BMP P Tracking Table'!$AA143-216.711*'BMP P Tracking Table'!$Z143-83.853*'BMP P Tracking Table'!$Y143-42.834*'BMP P Tracking Table'!$X143)+SQRT((3630*'BMP P Tracking Table'!$V143+20.691*'BMP P Tracking Table'!$AA143-216.711*'BMP P Tracking Table'!$Z143-83.853*'BMP P Tracking Table'!$Y143-42.834*'BMP P Tracking Table'!$X143)^2-(4*(149.919*'BMP P Tracking Table'!$X143+236.676*'BMP P Tracking Table'!$Y143+726*'BMP P Tracking Table'!$Z143+996.798*'BMP P Tracking Table'!$AA143)*-'BMP P Tracking Table'!$AX143)))/(2*(149.919*'BMP P Tracking Table'!$X143+236.676*'BMP P Tracking Table'!$Y143+726*'BMP P Tracking Table'!$Z143+996.798*'BMP P Tracking Table'!$AA143)))))),"")</f>
        <v/>
      </c>
      <c r="BB143" s="102" t="str">
        <f>IFERROR((VLOOKUP(CONCATENATE('BMP P Tracking Table'!$AW143," ",'BMP P Tracking Table'!$AY143),'Performance Curves'!$C$1:$L$46,_xlfn.SINGLE(MATCH('BMP P Tracking Table'!$BA143,'Performance Curves'!$D$1:$L$1,1))+2,FALSE)-VLOOKUP(CONCATENATE('BMP P Tracking Table'!$AW143," ",'BMP P Tracking Table'!$AY143),'Performance Curves'!$C$1:$L$46,_xlfn.SINGLE(MATCH('BMP P Tracking Table'!$BA143,'Performance Curves'!$D$1:$L$1,1))+1,FALSE)),"")</f>
        <v/>
      </c>
      <c r="BC143" s="102" t="str">
        <f>IFERROR(('BMP P Tracking Table'!$BA143-INDEX('Performance Curves'!$D$1:$L$1,1,MATCH('BMP P Tracking Table'!$BA143,'Performance Curves'!$D$1:$L$1,1)))/(INDEX('Performance Curves'!$D$1:$L$1,1,MATCH('BMP P Tracking Table'!$BA143,'Performance Curves'!$D$1:$L$1,1)+1)-INDEX('Performance Curves'!$D$1:$L$1,1,MATCH('BMP P Tracking Table'!$BA143,'Performance Curves'!$D$1:$L$1,1))),"")</f>
        <v/>
      </c>
      <c r="BD143" s="103" t="str" cm="1">
        <f t="array" ref="BD143">IFERROR(IF('BMP P Tracking Table'!$BA143=2,VLOOKUP(CONCATENATE('BMP P Tracking Table'!$AW143," ",'BMP P Tracking Table'!$AY143),'Performance Curves'!$C$1:$L$44,_xlfn.SINGLE(MATCH('BMP P Tracking Table'!$BA143,'Performance Curves'!$D$1:$L$1,1))+1,FALSE),'BMP P Tracking Table'!$BB143*'BMP P Tracking Table'!$BC143+VLOOKUP(CONCATENATE('BMP P Tracking Table'!$AW143," ",'BMP P Tracking Table'!$AY143),'Performance Curves'!$C$1:$L$44,_xlfn.SINGLE(MATCH('BMP P Tracking Table'!$BA143,'Performance Curves'!$D$1:$L$1,1))+1,FALSE)),"")</f>
        <v/>
      </c>
      <c r="BE143" s="104" t="str">
        <f>IFERROR('BMP P Tracking Table'!$BD143*'BMP P Tracking Table'!$AZ143,"")</f>
        <v/>
      </c>
      <c r="BF143" s="92"/>
      <c r="BG143" s="37">
        <f t="shared" si="17"/>
        <v>0</v>
      </c>
      <c r="BS143" s="36"/>
    </row>
    <row r="144" spans="1:73">
      <c r="B144" s="65"/>
      <c r="C144" s="65"/>
      <c r="D144" s="65"/>
      <c r="E144" s="65"/>
      <c r="F144" s="94"/>
      <c r="G144" s="94"/>
      <c r="H144" s="65"/>
      <c r="I144" s="65"/>
      <c r="J144" s="65"/>
      <c r="K144" s="95"/>
      <c r="L144" s="65"/>
      <c r="M144" s="65"/>
      <c r="N144" s="65"/>
      <c r="O144" s="65"/>
      <c r="P144" s="65"/>
      <c r="Q144" s="65"/>
      <c r="R144" s="65"/>
      <c r="S144" s="65"/>
      <c r="T144" s="65"/>
      <c r="U144" s="65"/>
      <c r="V144" s="65"/>
      <c r="W144" s="65"/>
      <c r="X144" s="65"/>
      <c r="Y144" s="65"/>
      <c r="Z144" s="65"/>
      <c r="AA144" s="65"/>
      <c r="AB144" s="65"/>
      <c r="AC144" s="97"/>
      <c r="AD144" s="65"/>
      <c r="AE144" s="104" t="str">
        <f>IFERROR('BMP P Tracking Table'!$V144*VLOOKUP('BMP P Tracking Table'!$R144,'Loading Rates'!$B$1:$L$24,4,FALSE)+IF('BMP P Tracking Table'!$W144="By HSG",'BMP P Tracking Table'!$X144*VLOOKUP('BMP P Tracking Table'!$R144,'Loading Rates'!$B$1:$L$24,6,FALSE)+'BMP P Tracking Table'!$Y144*VLOOKUP('BMP P Tracking Table'!$R144,'Loading Rates'!$B$1:$L$24,7,FALSE)+'BMP P Tracking Table'!$Z144*VLOOKUP('BMP P Tracking Table'!$R144,'Loading Rates'!$B$1:$L$24,8,FALSE)+'BMP P Tracking Table'!$AA144*VLOOKUP('BMP P Tracking Table'!$R144,'Loading Rates'!$B$1:$L$24,9,FALSE),'BMP P Tracking Table'!$AB144*VLOOKUP('BMP P Tracking Table'!$R144,'Loading Rates'!$B$1:$L$24,10,FALSE)),"")</f>
        <v/>
      </c>
      <c r="AF144" s="104" t="str">
        <f>IFERROR(MIN(2,IF('BMP P Tracking Table'!$W144="Total Pervious",(-(3630*'BMP P Tracking Table'!$V144+20.691*'BMP P Tracking Table'!$AB144)+SQRT((3630*'BMP P Tracking Table'!$V144+20.691*'BMP P Tracking Table'!$AB144)^2-(4*(996.798*'BMP P Tracking Table'!$AB144)*-'BMP P Tracking Table'!$AC144)))/(2*(996.798*'BMP P Tracking Table'!$AB144)),IF(SUM('BMP P Tracking Table'!$X144:$AA144)=0,'BMP P Tracking Table'!$AC144/(-3630*'BMP P Tracking Table'!$V144),(-(3630*'BMP P Tracking Table'!$V144+20.691*'BMP P Tracking Table'!$AA144-216.711*'BMP P Tracking Table'!$Z144-83.853*'BMP P Tracking Table'!$Y144-42.834*'BMP P Tracking Table'!$X144)+SQRT((3630*'BMP P Tracking Table'!$V144+20.691*'BMP P Tracking Table'!$AA144-216.711*'BMP P Tracking Table'!$Z144-83.853*'BMP P Tracking Table'!$Y144-42.834*'BMP P Tracking Table'!$X144)^2-(4*(149.919*'BMP P Tracking Table'!$X144+236.676*'BMP P Tracking Table'!$Y144+726*'BMP P Tracking Table'!$Z144+996.798*'BMP P Tracking Table'!$AA144)*-'BMP P Tracking Table'!$AC144)))/(2*(149.919*'BMP P Tracking Table'!$X144+236.676*'BMP P Tracking Table'!$Y144+726*'BMP P Tracking Table'!$Z144+996.798*'BMP P Tracking Table'!$AA144))))),"")</f>
        <v/>
      </c>
      <c r="AG144" s="104" t="str">
        <f>IFERROR((VLOOKUP(CONCATENATE('BMP P Tracking Table'!$U144," ",'BMP P Tracking Table'!$AD144),'Performance Curves'!$C$1:$L$46,_xlfn.SINGLE(MATCH('BMP P Tracking Table'!$AF144,'Performance Curves'!$D$1:$L$1,1))+2,FALSE)-VLOOKUP(CONCATENATE('BMP P Tracking Table'!$U144," ",'BMP P Tracking Table'!$AD144),'Performance Curves'!$C$1:$L$46,_xlfn.SINGLE(MATCH('BMP P Tracking Table'!$AF144,'Performance Curves'!$D$1:$L$1,1))+1,FALSE)),"")</f>
        <v/>
      </c>
      <c r="AH144" s="104" t="str">
        <f>IFERROR(('BMP P Tracking Table'!$AF144-INDEX('Performance Curves'!$D$1:$L$1,1,MATCH('BMP P Tracking Table'!$AF144,'Performance Curves'!$D$1:$L$1,1)))/(INDEX('Performance Curves'!$D$1:$L$1,1,MATCH('BMP P Tracking Table'!$AF144,'Performance Curves'!$D$1:$L$1,1)+1)-INDEX('Performance Curves'!$D$1:$L$1,1,MATCH('BMP P Tracking Table'!$AF144,'Performance Curves'!$D$1:$L$1,1))),"")</f>
        <v/>
      </c>
      <c r="AI144" s="103" t="str">
        <f>IFERROR(IF('BMP P Tracking Table'!$AF144=2,VLOOKUP(CONCATENATE('BMP P Tracking Table'!$U144," ",'BMP P Tracking Table'!$AD144),'Performance Curves'!$C$1:$L$46,_xlfn.SINGLE(MATCH('BMP P Tracking Table'!$AF144,'Performance Curves'!$D$1:$L$1,1))+1,FALSE),'BMP P Tracking Table'!$AG144*'BMP P Tracking Table'!$AH144+VLOOKUP(CONCATENATE('BMP P Tracking Table'!$U144," ",'BMP P Tracking Table'!$AD144),'Performance Curves'!$C$1:$L$46,_xlfn.SINGLE(MATCH('BMP P Tracking Table'!$AF144,'Performance Curves'!$D$1:$L$1,1))+1,FALSE)),"")</f>
        <v/>
      </c>
      <c r="AJ144" s="104" t="str">
        <f>IFERROR('BMP P Tracking Table'!$AI144*'BMP P Tracking Table'!$AE144,"")</f>
        <v/>
      </c>
      <c r="AK144" s="65"/>
      <c r="AL144" s="98"/>
      <c r="AM144" s="98"/>
      <c r="AN144" s="64">
        <v>1</v>
      </c>
      <c r="AO144" s="102" t="str">
        <f t="shared" si="16"/>
        <v/>
      </c>
      <c r="AP144" s="98"/>
      <c r="AQ144" s="98"/>
      <c r="AR144" s="98"/>
      <c r="AS144" s="98"/>
      <c r="AT144" s="98"/>
      <c r="AU144" s="98"/>
      <c r="AV144" s="98"/>
      <c r="AW144" s="65"/>
      <c r="AX144" s="99"/>
      <c r="AY144" s="99"/>
      <c r="AZ144" s="104" t="str">
        <f>IF('BMP P Tracking Table'!$AL144="Yes",IF('BMP P Tracking Table'!$AM144="No",'BMP P Tracking Table'!$V144*VLOOKUP('BMP P Tracking Table'!$R144,'Loading Rates'!$B$1:$L$24,4,FALSE)+IF('BMP P Tracking Table'!$W144="By HSG",'BMP P Tracking Table'!$X144*VLOOKUP('BMP P Tracking Table'!$R144,'Loading Rates'!$B$1:$L$24,6,FALSE)+'BMP P Tracking Table'!$Y144*VLOOKUP('BMP P Tracking Table'!$R144,'Loading Rates'!$B$1:$L$24,7,FALSE)+'BMP P Tracking Table'!$Z144*VLOOKUP('BMP P Tracking Table'!$R144,'Loading Rates'!$B$1:$L$24,8,FALSE)+'BMP P Tracking Table'!$AA144*VLOOKUP('BMP P Tracking Table'!$R144,'Loading Rates'!$B$1:$L$24,9,FALSE),'BMP P Tracking Table'!$AB144*VLOOKUP('BMP P Tracking Table'!$R144,'Loading Rates'!$B$1:$L$24,10,FALSE)),'BMP P Tracking Table'!$AP144*VLOOKUP('BMP P Tracking Table'!$R144,'Loading Rates'!$B$1:$L$24,4,FALSE)+IF('BMP P Tracking Table'!$AQ144="By HSG",'BMP P Tracking Table'!$AR144*VLOOKUP('BMP P Tracking Table'!$R144,'Loading Rates'!$B$1:$L$24,6,FALSE)+'BMP P Tracking Table'!$AS144*VLOOKUP('BMP P Tracking Table'!$R144,'Loading Rates'!$B$1:$L$24,7,FALSE)+'BMP P Tracking Table'!$AT144*VLOOKUP('BMP P Tracking Table'!$R144,'Loading Rates'!$B$1:$L$24,8,FALSE)+'BMP P Tracking Table'!$AU144*VLOOKUP('BMP P Tracking Table'!$R144,'Loading Rates'!$B$1:$L$24,9,FALSE),'BMP P Tracking Table'!$AV144*VLOOKUP('BMP P Tracking Table'!$R144,'Loading Rates'!$B$1:$L$24,10,FALSE))),"")</f>
        <v/>
      </c>
      <c r="BA144" s="104" t="str">
        <f>IFERROR(IF('BMP P Tracking Table'!$AM144="Yes",MIN(2,IF('BMP P Tracking Table'!$AQ144="Total Pervious",(-(3630*'BMP P Tracking Table'!$AP144+20.691*'BMP P Tracking Table'!$AV144)+SQRT((3630*'BMP P Tracking Table'!$AP144+20.691*'BMP P Tracking Table'!$AV144)^2-(4*(996.798*'BMP P Tracking Table'!$AV144)*-'BMP P Tracking Table'!$AX144)))/(2*(996.798*'BMP P Tracking Table'!$AV144)),IF(SUM('BMP P Tracking Table'!$AR144:$AU144)=0,'BMP P Tracking Table'!$AV144/(-3630*'BMP P Tracking Table'!$AP144),(-(3630*'BMP P Tracking Table'!$AP144+20.691*'BMP P Tracking Table'!$AU144-216.711*'BMP P Tracking Table'!$AT144-83.853*'BMP P Tracking Table'!$AS144-42.834*'BMP P Tracking Table'!$AR144)+SQRT((3630*'BMP P Tracking Table'!$AP144+20.691*'BMP P Tracking Table'!$AU144-216.711*'BMP P Tracking Table'!$AT144-83.853*'BMP P Tracking Table'!$AS144-42.834*'BMP P Tracking Table'!$AR144)^2-(4*(149.919*'BMP P Tracking Table'!$AR144+236.676*'BMP P Tracking Table'!$AS144+726*'BMP P Tracking Table'!$AT144+996.798*'BMP P Tracking Table'!$AU144)*-'BMP P Tracking Table'!$AX144)))/(2*(149.919*'BMP P Tracking Table'!$AR144+236.676*'BMP P Tracking Table'!$AS144+726*'BMP P Tracking Table'!$AT144+996.798*'BMP P Tracking Table'!$AU144))))),MIN(2,IF('BMP P Tracking Table'!$AQ144="Total Pervious",(-(3630*'BMP P Tracking Table'!$V144+20.691*'BMP P Tracking Table'!$AB144)+SQRT((3630*'BMP P Tracking Table'!$V144+20.691*'BMP P Tracking Table'!$AB144)^2-(4*(996.798*'BMP P Tracking Table'!$AB144)*-'BMP P Tracking Table'!$AX144)))/(2*(996.798*'BMP P Tracking Table'!$AB144)),IF(SUM('BMP P Tracking Table'!$X144:$AA144)=0,'BMP P Tracking Table'!$AX144/(-3630*'BMP P Tracking Table'!$V144),(-(3630*'BMP P Tracking Table'!$V144+20.691*'BMP P Tracking Table'!$AA144-216.711*'BMP P Tracking Table'!$Z144-83.853*'BMP P Tracking Table'!$Y144-42.834*'BMP P Tracking Table'!$X144)+SQRT((3630*'BMP P Tracking Table'!$V144+20.691*'BMP P Tracking Table'!$AA144-216.711*'BMP P Tracking Table'!$Z144-83.853*'BMP P Tracking Table'!$Y144-42.834*'BMP P Tracking Table'!$X144)^2-(4*(149.919*'BMP P Tracking Table'!$X144+236.676*'BMP P Tracking Table'!$Y144+726*'BMP P Tracking Table'!$Z144+996.798*'BMP P Tracking Table'!$AA144)*-'BMP P Tracking Table'!$AX144)))/(2*(149.919*'BMP P Tracking Table'!$X144+236.676*'BMP P Tracking Table'!$Y144+726*'BMP P Tracking Table'!$Z144+996.798*'BMP P Tracking Table'!$AA144)))))),"")</f>
        <v/>
      </c>
      <c r="BB144" s="102" t="str">
        <f>IFERROR((VLOOKUP(CONCATENATE('BMP P Tracking Table'!$AW144," ",'BMP P Tracking Table'!$AY144),'Performance Curves'!$C$1:$L$46,_xlfn.SINGLE(MATCH('BMP P Tracking Table'!$BA144,'Performance Curves'!$D$1:$L$1,1))+2,FALSE)-VLOOKUP(CONCATENATE('BMP P Tracking Table'!$AW144," ",'BMP P Tracking Table'!$AY144),'Performance Curves'!$C$1:$L$46,_xlfn.SINGLE(MATCH('BMP P Tracking Table'!$BA144,'Performance Curves'!$D$1:$L$1,1))+1,FALSE)),"")</f>
        <v/>
      </c>
      <c r="BC144" s="102" t="str">
        <f>IFERROR(('BMP P Tracking Table'!$BA144-INDEX('Performance Curves'!$D$1:$L$1,1,MATCH('BMP P Tracking Table'!$BA144,'Performance Curves'!$D$1:$L$1,1)))/(INDEX('Performance Curves'!$D$1:$L$1,1,MATCH('BMP P Tracking Table'!$BA144,'Performance Curves'!$D$1:$L$1,1)+1)-INDEX('Performance Curves'!$D$1:$L$1,1,MATCH('BMP P Tracking Table'!$BA144,'Performance Curves'!$D$1:$L$1,1))),"")</f>
        <v/>
      </c>
      <c r="BD144" s="103" t="str" cm="1">
        <f t="array" ref="BD144">IFERROR(IF('BMP P Tracking Table'!$BA144=2,VLOOKUP(CONCATENATE('BMP P Tracking Table'!$AW144," ",'BMP P Tracking Table'!$AY144),'Performance Curves'!$C$1:$L$44,_xlfn.SINGLE(MATCH('BMP P Tracking Table'!$BA144,'Performance Curves'!$D$1:$L$1,1))+1,FALSE),'BMP P Tracking Table'!$BB144*'BMP P Tracking Table'!$BC144+VLOOKUP(CONCATENATE('BMP P Tracking Table'!$AW144," ",'BMP P Tracking Table'!$AY144),'Performance Curves'!$C$1:$L$44,_xlfn.SINGLE(MATCH('BMP P Tracking Table'!$BA144,'Performance Curves'!$D$1:$L$1,1))+1,FALSE)),"")</f>
        <v/>
      </c>
      <c r="BE144" s="104" t="str">
        <f>IFERROR('BMP P Tracking Table'!$BD144*'BMP P Tracking Table'!$AZ144,"")</f>
        <v/>
      </c>
      <c r="BF144" s="98"/>
      <c r="BG144" s="37">
        <f t="shared" si="17"/>
        <v>0</v>
      </c>
      <c r="BS144" s="36"/>
    </row>
    <row r="145" spans="2:59" s="36" customFormat="1">
      <c r="B145" s="65"/>
      <c r="C145" s="65"/>
      <c r="D145" s="65"/>
      <c r="E145" s="65"/>
      <c r="F145" s="94"/>
      <c r="G145" s="94"/>
      <c r="H145" s="65"/>
      <c r="I145" s="65"/>
      <c r="J145" s="65"/>
      <c r="K145" s="95"/>
      <c r="L145" s="65"/>
      <c r="M145" s="65"/>
      <c r="N145" s="65"/>
      <c r="O145" s="65"/>
      <c r="P145" s="65"/>
      <c r="Q145" s="65"/>
      <c r="R145" s="65"/>
      <c r="S145" s="65"/>
      <c r="T145" s="65"/>
      <c r="U145" s="65"/>
      <c r="V145" s="65"/>
      <c r="W145" s="65"/>
      <c r="X145" s="65"/>
      <c r="Y145" s="65"/>
      <c r="Z145" s="65"/>
      <c r="AA145" s="65"/>
      <c r="AB145" s="65"/>
      <c r="AC145" s="97"/>
      <c r="AD145" s="65"/>
      <c r="AE145" s="104" t="str">
        <f>IFERROR('BMP P Tracking Table'!$V145*VLOOKUP('BMP P Tracking Table'!$R145,'Loading Rates'!$B$1:$L$24,4,FALSE)+IF('BMP P Tracking Table'!$W145="By HSG",'BMP P Tracking Table'!$X145*VLOOKUP('BMP P Tracking Table'!$R145,'Loading Rates'!$B$1:$L$24,6,FALSE)+'BMP P Tracking Table'!$Y145*VLOOKUP('BMP P Tracking Table'!$R145,'Loading Rates'!$B$1:$L$24,7,FALSE)+'BMP P Tracking Table'!$Z145*VLOOKUP('BMP P Tracking Table'!$R145,'Loading Rates'!$B$1:$L$24,8,FALSE)+'BMP P Tracking Table'!$AA145*VLOOKUP('BMP P Tracking Table'!$R145,'Loading Rates'!$B$1:$L$24,9,FALSE),'BMP P Tracking Table'!$AB145*VLOOKUP('BMP P Tracking Table'!$R145,'Loading Rates'!$B$1:$L$24,10,FALSE)),"")</f>
        <v/>
      </c>
      <c r="AF145" s="104" t="str">
        <f>IFERROR(MIN(2,IF('BMP P Tracking Table'!$W145="Total Pervious",(-(3630*'BMP P Tracking Table'!$V145+20.691*'BMP P Tracking Table'!$AB145)+SQRT((3630*'BMP P Tracking Table'!$V145+20.691*'BMP P Tracking Table'!$AB145)^2-(4*(996.798*'BMP P Tracking Table'!$AB145)*-'BMP P Tracking Table'!$AC145)))/(2*(996.798*'BMP P Tracking Table'!$AB145)),IF(SUM('BMP P Tracking Table'!$X145:$AA145)=0,'BMP P Tracking Table'!$AC145/(-3630*'BMP P Tracking Table'!$V145),(-(3630*'BMP P Tracking Table'!$V145+20.691*'BMP P Tracking Table'!$AA145-216.711*'BMP P Tracking Table'!$Z145-83.853*'BMP P Tracking Table'!$Y145-42.834*'BMP P Tracking Table'!$X145)+SQRT((3630*'BMP P Tracking Table'!$V145+20.691*'BMP P Tracking Table'!$AA145-216.711*'BMP P Tracking Table'!$Z145-83.853*'BMP P Tracking Table'!$Y145-42.834*'BMP P Tracking Table'!$X145)^2-(4*(149.919*'BMP P Tracking Table'!$X145+236.676*'BMP P Tracking Table'!$Y145+726*'BMP P Tracking Table'!$Z145+996.798*'BMP P Tracking Table'!$AA145)*-'BMP P Tracking Table'!$AC145)))/(2*(149.919*'BMP P Tracking Table'!$X145+236.676*'BMP P Tracking Table'!$Y145+726*'BMP P Tracking Table'!$Z145+996.798*'BMP P Tracking Table'!$AA145))))),"")</f>
        <v/>
      </c>
      <c r="AG145" s="104" t="str">
        <f>IFERROR((VLOOKUP(CONCATENATE('BMP P Tracking Table'!$U145," ",'BMP P Tracking Table'!$AD145),'Performance Curves'!$C$1:$L$46,_xlfn.SINGLE(MATCH('BMP P Tracking Table'!$AF145,'Performance Curves'!$D$1:$L$1,1))+2,FALSE)-VLOOKUP(CONCATENATE('BMP P Tracking Table'!$U145," ",'BMP P Tracking Table'!$AD145),'Performance Curves'!$C$1:$L$46,_xlfn.SINGLE(MATCH('BMP P Tracking Table'!$AF145,'Performance Curves'!$D$1:$L$1,1))+1,FALSE)),"")</f>
        <v/>
      </c>
      <c r="AH145" s="104" t="str">
        <f>IFERROR(('BMP P Tracking Table'!$AF145-INDEX('Performance Curves'!$D$1:$L$1,1,MATCH('BMP P Tracking Table'!$AF145,'Performance Curves'!$D$1:$L$1,1)))/(INDEX('Performance Curves'!$D$1:$L$1,1,MATCH('BMP P Tracking Table'!$AF145,'Performance Curves'!$D$1:$L$1,1)+1)-INDEX('Performance Curves'!$D$1:$L$1,1,MATCH('BMP P Tracking Table'!$AF145,'Performance Curves'!$D$1:$L$1,1))),"")</f>
        <v/>
      </c>
      <c r="AI145" s="103" t="str">
        <f>IFERROR(IF('BMP P Tracking Table'!$AF145=2,VLOOKUP(CONCATENATE('BMP P Tracking Table'!$U145," ",'BMP P Tracking Table'!$AD145),'Performance Curves'!$C$1:$L$46,_xlfn.SINGLE(MATCH('BMP P Tracking Table'!$AF145,'Performance Curves'!$D$1:$L$1,1))+1,FALSE),'BMP P Tracking Table'!$AG145*'BMP P Tracking Table'!$AH145+VLOOKUP(CONCATENATE('BMP P Tracking Table'!$U145," ",'BMP P Tracking Table'!$AD145),'Performance Curves'!$C$1:$L$46,_xlfn.SINGLE(MATCH('BMP P Tracking Table'!$AF145,'Performance Curves'!$D$1:$L$1,1))+1,FALSE)),"")</f>
        <v/>
      </c>
      <c r="AJ145" s="104" t="str">
        <f>IFERROR('BMP P Tracking Table'!$AI145*'BMP P Tracking Table'!$AE145,"")</f>
        <v/>
      </c>
      <c r="AK145" s="65"/>
      <c r="AL145" s="98"/>
      <c r="AM145" s="98"/>
      <c r="AN145" s="64">
        <v>1</v>
      </c>
      <c r="AO145" s="102" t="str">
        <f t="shared" si="16"/>
        <v/>
      </c>
      <c r="AP145" s="98"/>
      <c r="AQ145" s="98"/>
      <c r="AR145" s="98"/>
      <c r="AS145" s="98"/>
      <c r="AT145" s="98"/>
      <c r="AU145" s="98"/>
      <c r="AV145" s="98"/>
      <c r="AW145" s="65"/>
      <c r="AX145" s="99"/>
      <c r="AY145" s="99"/>
      <c r="AZ145" s="104" t="str">
        <f>IF('BMP P Tracking Table'!$AL145="Yes",IF('BMP P Tracking Table'!$AM145="No",'BMP P Tracking Table'!$V145*VLOOKUP('BMP P Tracking Table'!$R145,'Loading Rates'!$B$1:$L$24,4,FALSE)+IF('BMP P Tracking Table'!$W145="By HSG",'BMP P Tracking Table'!$X145*VLOOKUP('BMP P Tracking Table'!$R145,'Loading Rates'!$B$1:$L$24,6,FALSE)+'BMP P Tracking Table'!$Y145*VLOOKUP('BMP P Tracking Table'!$R145,'Loading Rates'!$B$1:$L$24,7,FALSE)+'BMP P Tracking Table'!$Z145*VLOOKUP('BMP P Tracking Table'!$R145,'Loading Rates'!$B$1:$L$24,8,FALSE)+'BMP P Tracking Table'!$AA145*VLOOKUP('BMP P Tracking Table'!$R145,'Loading Rates'!$B$1:$L$24,9,FALSE),'BMP P Tracking Table'!$AB145*VLOOKUP('BMP P Tracking Table'!$R145,'Loading Rates'!$B$1:$L$24,10,FALSE)),'BMP P Tracking Table'!$AP145*VLOOKUP('BMP P Tracking Table'!$R145,'Loading Rates'!$B$1:$L$24,4,FALSE)+IF('BMP P Tracking Table'!$AQ145="By HSG",'BMP P Tracking Table'!$AR145*VLOOKUP('BMP P Tracking Table'!$R145,'Loading Rates'!$B$1:$L$24,6,FALSE)+'BMP P Tracking Table'!$AS145*VLOOKUP('BMP P Tracking Table'!$R145,'Loading Rates'!$B$1:$L$24,7,FALSE)+'BMP P Tracking Table'!$AT145*VLOOKUP('BMP P Tracking Table'!$R145,'Loading Rates'!$B$1:$L$24,8,FALSE)+'BMP P Tracking Table'!$AU145*VLOOKUP('BMP P Tracking Table'!$R145,'Loading Rates'!$B$1:$L$24,9,FALSE),'BMP P Tracking Table'!$AV145*VLOOKUP('BMP P Tracking Table'!$R145,'Loading Rates'!$B$1:$L$24,10,FALSE))),"")</f>
        <v/>
      </c>
      <c r="BA145" s="104" t="str">
        <f>IFERROR(IF('BMP P Tracking Table'!$AM145="Yes",MIN(2,IF('BMP P Tracking Table'!$AQ145="Total Pervious",(-(3630*'BMP P Tracking Table'!$AP145+20.691*'BMP P Tracking Table'!$AV145)+SQRT((3630*'BMP P Tracking Table'!$AP145+20.691*'BMP P Tracking Table'!$AV145)^2-(4*(996.798*'BMP P Tracking Table'!$AV145)*-'BMP P Tracking Table'!$AX145)))/(2*(996.798*'BMP P Tracking Table'!$AV145)),IF(SUM('BMP P Tracking Table'!$AR145:$AU145)=0,'BMP P Tracking Table'!$AV145/(-3630*'BMP P Tracking Table'!$AP145),(-(3630*'BMP P Tracking Table'!$AP145+20.691*'BMP P Tracking Table'!$AU145-216.711*'BMP P Tracking Table'!$AT145-83.853*'BMP P Tracking Table'!$AS145-42.834*'BMP P Tracking Table'!$AR145)+SQRT((3630*'BMP P Tracking Table'!$AP145+20.691*'BMP P Tracking Table'!$AU145-216.711*'BMP P Tracking Table'!$AT145-83.853*'BMP P Tracking Table'!$AS145-42.834*'BMP P Tracking Table'!$AR145)^2-(4*(149.919*'BMP P Tracking Table'!$AR145+236.676*'BMP P Tracking Table'!$AS145+726*'BMP P Tracking Table'!$AT145+996.798*'BMP P Tracking Table'!$AU145)*-'BMP P Tracking Table'!$AX145)))/(2*(149.919*'BMP P Tracking Table'!$AR145+236.676*'BMP P Tracking Table'!$AS145+726*'BMP P Tracking Table'!$AT145+996.798*'BMP P Tracking Table'!$AU145))))),MIN(2,IF('BMP P Tracking Table'!$AQ145="Total Pervious",(-(3630*'BMP P Tracking Table'!$V145+20.691*'BMP P Tracking Table'!$AB145)+SQRT((3630*'BMP P Tracking Table'!$V145+20.691*'BMP P Tracking Table'!$AB145)^2-(4*(996.798*'BMP P Tracking Table'!$AB145)*-'BMP P Tracking Table'!$AX145)))/(2*(996.798*'BMP P Tracking Table'!$AB145)),IF(SUM('BMP P Tracking Table'!$X145:$AA145)=0,'BMP P Tracking Table'!$AX145/(-3630*'BMP P Tracking Table'!$V145),(-(3630*'BMP P Tracking Table'!$V145+20.691*'BMP P Tracking Table'!$AA145-216.711*'BMP P Tracking Table'!$Z145-83.853*'BMP P Tracking Table'!$Y145-42.834*'BMP P Tracking Table'!$X145)+SQRT((3630*'BMP P Tracking Table'!$V145+20.691*'BMP P Tracking Table'!$AA145-216.711*'BMP P Tracking Table'!$Z145-83.853*'BMP P Tracking Table'!$Y145-42.834*'BMP P Tracking Table'!$X145)^2-(4*(149.919*'BMP P Tracking Table'!$X145+236.676*'BMP P Tracking Table'!$Y145+726*'BMP P Tracking Table'!$Z145+996.798*'BMP P Tracking Table'!$AA145)*-'BMP P Tracking Table'!$AX145)))/(2*(149.919*'BMP P Tracking Table'!$X145+236.676*'BMP P Tracking Table'!$Y145+726*'BMP P Tracking Table'!$Z145+996.798*'BMP P Tracking Table'!$AA145)))))),"")</f>
        <v/>
      </c>
      <c r="BB145" s="102" t="str">
        <f>IFERROR((VLOOKUP(CONCATENATE('BMP P Tracking Table'!$AW145," ",'BMP P Tracking Table'!$AY145),'Performance Curves'!$C$1:$L$46,_xlfn.SINGLE(MATCH('BMP P Tracking Table'!$BA145,'Performance Curves'!$D$1:$L$1,1))+2,FALSE)-VLOOKUP(CONCATENATE('BMP P Tracking Table'!$AW145," ",'BMP P Tracking Table'!$AY145),'Performance Curves'!$C$1:$L$46,_xlfn.SINGLE(MATCH('BMP P Tracking Table'!$BA145,'Performance Curves'!$D$1:$L$1,1))+1,FALSE)),"")</f>
        <v/>
      </c>
      <c r="BC145" s="102" t="str">
        <f>IFERROR(('BMP P Tracking Table'!$BA145-INDEX('Performance Curves'!$D$1:$L$1,1,MATCH('BMP P Tracking Table'!$BA145,'Performance Curves'!$D$1:$L$1,1)))/(INDEX('Performance Curves'!$D$1:$L$1,1,MATCH('BMP P Tracking Table'!$BA145,'Performance Curves'!$D$1:$L$1,1)+1)-INDEX('Performance Curves'!$D$1:$L$1,1,MATCH('BMP P Tracking Table'!$BA145,'Performance Curves'!$D$1:$L$1,1))),"")</f>
        <v/>
      </c>
      <c r="BD145" s="103" t="str" cm="1">
        <f t="array" ref="BD145">IFERROR(IF('BMP P Tracking Table'!$BA145=2,VLOOKUP(CONCATENATE('BMP P Tracking Table'!$AW145," ",'BMP P Tracking Table'!$AY145),'Performance Curves'!$C$1:$L$44,_xlfn.SINGLE(MATCH('BMP P Tracking Table'!$BA145,'Performance Curves'!$D$1:$L$1,1))+1,FALSE),'BMP P Tracking Table'!$BB145*'BMP P Tracking Table'!$BC145+VLOOKUP(CONCATENATE('BMP P Tracking Table'!$AW145," ",'BMP P Tracking Table'!$AY145),'Performance Curves'!$C$1:$L$44,_xlfn.SINGLE(MATCH('BMP P Tracking Table'!$BA145,'Performance Curves'!$D$1:$L$1,1))+1,FALSE)),"")</f>
        <v/>
      </c>
      <c r="BE145" s="104" t="str">
        <f>IFERROR('BMP P Tracking Table'!$BD145*'BMP P Tracking Table'!$AZ145,"")</f>
        <v/>
      </c>
      <c r="BF145" s="98"/>
      <c r="BG145" s="37">
        <f t="shared" si="17"/>
        <v>0</v>
      </c>
    </row>
    <row r="146" spans="2:59" s="36" customFormat="1">
      <c r="B146" s="65"/>
      <c r="C146" s="65"/>
      <c r="D146" s="65"/>
      <c r="E146" s="65"/>
      <c r="F146" s="94"/>
      <c r="G146" s="94"/>
      <c r="H146" s="65"/>
      <c r="I146" s="65"/>
      <c r="J146" s="65"/>
      <c r="K146" s="95"/>
      <c r="L146" s="65"/>
      <c r="M146" s="65"/>
      <c r="N146" s="65"/>
      <c r="O146" s="65"/>
      <c r="P146" s="65"/>
      <c r="Q146" s="65"/>
      <c r="R146" s="65"/>
      <c r="S146" s="65"/>
      <c r="T146" s="65"/>
      <c r="U146" s="65"/>
      <c r="V146" s="65"/>
      <c r="W146" s="65"/>
      <c r="X146" s="65"/>
      <c r="Y146" s="65"/>
      <c r="Z146" s="65"/>
      <c r="AA146" s="65"/>
      <c r="AB146" s="65"/>
      <c r="AC146" s="97"/>
      <c r="AD146" s="65"/>
      <c r="AE146" s="104" t="str">
        <f>IFERROR('BMP P Tracking Table'!$V146*VLOOKUP('BMP P Tracking Table'!$R146,'Loading Rates'!$B$1:$L$24,4,FALSE)+IF('BMP P Tracking Table'!$W146="By HSG",'BMP P Tracking Table'!$X146*VLOOKUP('BMP P Tracking Table'!$R146,'Loading Rates'!$B$1:$L$24,6,FALSE)+'BMP P Tracking Table'!$Y146*VLOOKUP('BMP P Tracking Table'!$R146,'Loading Rates'!$B$1:$L$24,7,FALSE)+'BMP P Tracking Table'!$Z146*VLOOKUP('BMP P Tracking Table'!$R146,'Loading Rates'!$B$1:$L$24,8,FALSE)+'BMP P Tracking Table'!$AA146*VLOOKUP('BMP P Tracking Table'!$R146,'Loading Rates'!$B$1:$L$24,9,FALSE),'BMP P Tracking Table'!$AB146*VLOOKUP('BMP P Tracking Table'!$R146,'Loading Rates'!$B$1:$L$24,10,FALSE)),"")</f>
        <v/>
      </c>
      <c r="AF146" s="104" t="str">
        <f>IFERROR(MIN(2,IF('BMP P Tracking Table'!$W146="Total Pervious",(-(3630*'BMP P Tracking Table'!$V146+20.691*'BMP P Tracking Table'!$AB146)+SQRT((3630*'BMP P Tracking Table'!$V146+20.691*'BMP P Tracking Table'!$AB146)^2-(4*(996.798*'BMP P Tracking Table'!$AB146)*-'BMP P Tracking Table'!$AC146)))/(2*(996.798*'BMP P Tracking Table'!$AB146)),IF(SUM('BMP P Tracking Table'!$X146:$AA146)=0,'BMP P Tracking Table'!$AC146/(-3630*'BMP P Tracking Table'!$V146),(-(3630*'BMP P Tracking Table'!$V146+20.691*'BMP P Tracking Table'!$AA146-216.711*'BMP P Tracking Table'!$Z146-83.853*'BMP P Tracking Table'!$Y146-42.834*'BMP P Tracking Table'!$X146)+SQRT((3630*'BMP P Tracking Table'!$V146+20.691*'BMP P Tracking Table'!$AA146-216.711*'BMP P Tracking Table'!$Z146-83.853*'BMP P Tracking Table'!$Y146-42.834*'BMP P Tracking Table'!$X146)^2-(4*(149.919*'BMP P Tracking Table'!$X146+236.676*'BMP P Tracking Table'!$Y146+726*'BMP P Tracking Table'!$Z146+996.798*'BMP P Tracking Table'!$AA146)*-'BMP P Tracking Table'!$AC146)))/(2*(149.919*'BMP P Tracking Table'!$X146+236.676*'BMP P Tracking Table'!$Y146+726*'BMP P Tracking Table'!$Z146+996.798*'BMP P Tracking Table'!$AA146))))),"")</f>
        <v/>
      </c>
      <c r="AG146" s="104" t="str">
        <f>IFERROR((VLOOKUP(CONCATENATE('BMP P Tracking Table'!$U146," ",'BMP P Tracking Table'!$AD146),'Performance Curves'!$C$1:$L$46,_xlfn.SINGLE(MATCH('BMP P Tracking Table'!$AF146,'Performance Curves'!$D$1:$L$1,1))+2,FALSE)-VLOOKUP(CONCATENATE('BMP P Tracking Table'!$U146," ",'BMP P Tracking Table'!$AD146),'Performance Curves'!$C$1:$L$46,_xlfn.SINGLE(MATCH('BMP P Tracking Table'!$AF146,'Performance Curves'!$D$1:$L$1,1))+1,FALSE)),"")</f>
        <v/>
      </c>
      <c r="AH146" s="104" t="str">
        <f>IFERROR(('BMP P Tracking Table'!$AF146-INDEX('Performance Curves'!$D$1:$L$1,1,MATCH('BMP P Tracking Table'!$AF146,'Performance Curves'!$D$1:$L$1,1)))/(INDEX('Performance Curves'!$D$1:$L$1,1,MATCH('BMP P Tracking Table'!$AF146,'Performance Curves'!$D$1:$L$1,1)+1)-INDEX('Performance Curves'!$D$1:$L$1,1,MATCH('BMP P Tracking Table'!$AF146,'Performance Curves'!$D$1:$L$1,1))),"")</f>
        <v/>
      </c>
      <c r="AI146" s="103" t="str">
        <f>IFERROR(IF('BMP P Tracking Table'!$AF146=2,VLOOKUP(CONCATENATE('BMP P Tracking Table'!$U146," ",'BMP P Tracking Table'!$AD146),'Performance Curves'!$C$1:$L$46,_xlfn.SINGLE(MATCH('BMP P Tracking Table'!$AF146,'Performance Curves'!$D$1:$L$1,1))+1,FALSE),'BMP P Tracking Table'!$AG146*'BMP P Tracking Table'!$AH146+VLOOKUP(CONCATENATE('BMP P Tracking Table'!$U146," ",'BMP P Tracking Table'!$AD146),'Performance Curves'!$C$1:$L$46,_xlfn.SINGLE(MATCH('BMP P Tracking Table'!$AF146,'Performance Curves'!$D$1:$L$1,1))+1,FALSE)),"")</f>
        <v/>
      </c>
      <c r="AJ146" s="104" t="str">
        <f>IFERROR('BMP P Tracking Table'!$AI146*'BMP P Tracking Table'!$AE146,"")</f>
        <v/>
      </c>
      <c r="AK146" s="65"/>
      <c r="AL146" s="98"/>
      <c r="AM146" s="98"/>
      <c r="AN146" s="64">
        <v>1</v>
      </c>
      <c r="AO146" s="102" t="str">
        <f t="shared" si="16"/>
        <v/>
      </c>
      <c r="AP146" s="98"/>
      <c r="AQ146" s="98"/>
      <c r="AR146" s="98"/>
      <c r="AS146" s="98"/>
      <c r="AT146" s="98"/>
      <c r="AU146" s="98"/>
      <c r="AV146" s="98"/>
      <c r="AW146" s="65"/>
      <c r="AX146" s="99"/>
      <c r="AY146" s="99"/>
      <c r="AZ146" s="104" t="str">
        <f>IF('BMP P Tracking Table'!$AL146="Yes",IF('BMP P Tracking Table'!$AM146="No",'BMP P Tracking Table'!$V146*VLOOKUP('BMP P Tracking Table'!$R146,'Loading Rates'!$B$1:$L$24,4,FALSE)+IF('BMP P Tracking Table'!$W146="By HSG",'BMP P Tracking Table'!$X146*VLOOKUP('BMP P Tracking Table'!$R146,'Loading Rates'!$B$1:$L$24,6,FALSE)+'BMP P Tracking Table'!$Y146*VLOOKUP('BMP P Tracking Table'!$R146,'Loading Rates'!$B$1:$L$24,7,FALSE)+'BMP P Tracking Table'!$Z146*VLOOKUP('BMP P Tracking Table'!$R146,'Loading Rates'!$B$1:$L$24,8,FALSE)+'BMP P Tracking Table'!$AA146*VLOOKUP('BMP P Tracking Table'!$R146,'Loading Rates'!$B$1:$L$24,9,FALSE),'BMP P Tracking Table'!$AB146*VLOOKUP('BMP P Tracking Table'!$R146,'Loading Rates'!$B$1:$L$24,10,FALSE)),'BMP P Tracking Table'!$AP146*VLOOKUP('BMP P Tracking Table'!$R146,'Loading Rates'!$B$1:$L$24,4,FALSE)+IF('BMP P Tracking Table'!$AQ146="By HSG",'BMP P Tracking Table'!$AR146*VLOOKUP('BMP P Tracking Table'!$R146,'Loading Rates'!$B$1:$L$24,6,FALSE)+'BMP P Tracking Table'!$AS146*VLOOKUP('BMP P Tracking Table'!$R146,'Loading Rates'!$B$1:$L$24,7,FALSE)+'BMP P Tracking Table'!$AT146*VLOOKUP('BMP P Tracking Table'!$R146,'Loading Rates'!$B$1:$L$24,8,FALSE)+'BMP P Tracking Table'!$AU146*VLOOKUP('BMP P Tracking Table'!$R146,'Loading Rates'!$B$1:$L$24,9,FALSE),'BMP P Tracking Table'!$AV146*VLOOKUP('BMP P Tracking Table'!$R146,'Loading Rates'!$B$1:$L$24,10,FALSE))),"")</f>
        <v/>
      </c>
      <c r="BA146" s="104" t="str">
        <f>IFERROR(IF('BMP P Tracking Table'!$AM146="Yes",MIN(2,IF('BMP P Tracking Table'!$AQ146="Total Pervious",(-(3630*'BMP P Tracking Table'!$AP146+20.691*'BMP P Tracking Table'!$AV146)+SQRT((3630*'BMP P Tracking Table'!$AP146+20.691*'BMP P Tracking Table'!$AV146)^2-(4*(996.798*'BMP P Tracking Table'!$AV146)*-'BMP P Tracking Table'!$AX146)))/(2*(996.798*'BMP P Tracking Table'!$AV146)),IF(SUM('BMP P Tracking Table'!$AR146:$AU146)=0,'BMP P Tracking Table'!$AV146/(-3630*'BMP P Tracking Table'!$AP146),(-(3630*'BMP P Tracking Table'!$AP146+20.691*'BMP P Tracking Table'!$AU146-216.711*'BMP P Tracking Table'!$AT146-83.853*'BMP P Tracking Table'!$AS146-42.834*'BMP P Tracking Table'!$AR146)+SQRT((3630*'BMP P Tracking Table'!$AP146+20.691*'BMP P Tracking Table'!$AU146-216.711*'BMP P Tracking Table'!$AT146-83.853*'BMP P Tracking Table'!$AS146-42.834*'BMP P Tracking Table'!$AR146)^2-(4*(149.919*'BMP P Tracking Table'!$AR146+236.676*'BMP P Tracking Table'!$AS146+726*'BMP P Tracking Table'!$AT146+996.798*'BMP P Tracking Table'!$AU146)*-'BMP P Tracking Table'!$AX146)))/(2*(149.919*'BMP P Tracking Table'!$AR146+236.676*'BMP P Tracking Table'!$AS146+726*'BMP P Tracking Table'!$AT146+996.798*'BMP P Tracking Table'!$AU146))))),MIN(2,IF('BMP P Tracking Table'!$AQ146="Total Pervious",(-(3630*'BMP P Tracking Table'!$V146+20.691*'BMP P Tracking Table'!$AB146)+SQRT((3630*'BMP P Tracking Table'!$V146+20.691*'BMP P Tracking Table'!$AB146)^2-(4*(996.798*'BMP P Tracking Table'!$AB146)*-'BMP P Tracking Table'!$AX146)))/(2*(996.798*'BMP P Tracking Table'!$AB146)),IF(SUM('BMP P Tracking Table'!$X146:$AA146)=0,'BMP P Tracking Table'!$AX146/(-3630*'BMP P Tracking Table'!$V146),(-(3630*'BMP P Tracking Table'!$V146+20.691*'BMP P Tracking Table'!$AA146-216.711*'BMP P Tracking Table'!$Z146-83.853*'BMP P Tracking Table'!$Y146-42.834*'BMP P Tracking Table'!$X146)+SQRT((3630*'BMP P Tracking Table'!$V146+20.691*'BMP P Tracking Table'!$AA146-216.711*'BMP P Tracking Table'!$Z146-83.853*'BMP P Tracking Table'!$Y146-42.834*'BMP P Tracking Table'!$X146)^2-(4*(149.919*'BMP P Tracking Table'!$X146+236.676*'BMP P Tracking Table'!$Y146+726*'BMP P Tracking Table'!$Z146+996.798*'BMP P Tracking Table'!$AA146)*-'BMP P Tracking Table'!$AX146)))/(2*(149.919*'BMP P Tracking Table'!$X146+236.676*'BMP P Tracking Table'!$Y146+726*'BMP P Tracking Table'!$Z146+996.798*'BMP P Tracking Table'!$AA146)))))),"")</f>
        <v/>
      </c>
      <c r="BB146" s="102" t="str">
        <f>IFERROR((VLOOKUP(CONCATENATE('BMP P Tracking Table'!$AW146," ",'BMP P Tracking Table'!$AY146),'Performance Curves'!$C$1:$L$46,_xlfn.SINGLE(MATCH('BMP P Tracking Table'!$BA146,'Performance Curves'!$D$1:$L$1,1))+2,FALSE)-VLOOKUP(CONCATENATE('BMP P Tracking Table'!$AW146," ",'BMP P Tracking Table'!$AY146),'Performance Curves'!$C$1:$L$46,_xlfn.SINGLE(MATCH('BMP P Tracking Table'!$BA146,'Performance Curves'!$D$1:$L$1,1))+1,FALSE)),"")</f>
        <v/>
      </c>
      <c r="BC146" s="102" t="str">
        <f>IFERROR(('BMP P Tracking Table'!$BA146-INDEX('Performance Curves'!$D$1:$L$1,1,MATCH('BMP P Tracking Table'!$BA146,'Performance Curves'!$D$1:$L$1,1)))/(INDEX('Performance Curves'!$D$1:$L$1,1,MATCH('BMP P Tracking Table'!$BA146,'Performance Curves'!$D$1:$L$1,1)+1)-INDEX('Performance Curves'!$D$1:$L$1,1,MATCH('BMP P Tracking Table'!$BA146,'Performance Curves'!$D$1:$L$1,1))),"")</f>
        <v/>
      </c>
      <c r="BD146" s="103" t="str" cm="1">
        <f t="array" ref="BD146">IFERROR(IF('BMP P Tracking Table'!$BA146=2,VLOOKUP(CONCATENATE('BMP P Tracking Table'!$AW146," ",'BMP P Tracking Table'!$AY146),'Performance Curves'!$C$1:$L$44,_xlfn.SINGLE(MATCH('BMP P Tracking Table'!$BA146,'Performance Curves'!$D$1:$L$1,1))+1,FALSE),'BMP P Tracking Table'!$BB146*'BMP P Tracking Table'!$BC146+VLOOKUP(CONCATENATE('BMP P Tracking Table'!$AW146," ",'BMP P Tracking Table'!$AY146),'Performance Curves'!$C$1:$L$44,_xlfn.SINGLE(MATCH('BMP P Tracking Table'!$BA146,'Performance Curves'!$D$1:$L$1,1))+1,FALSE)),"")</f>
        <v/>
      </c>
      <c r="BE146" s="104" t="str">
        <f>IFERROR('BMP P Tracking Table'!$BD146*'BMP P Tracking Table'!$AZ146,"")</f>
        <v/>
      </c>
      <c r="BF146" s="98"/>
      <c r="BG146" s="37">
        <f t="shared" si="17"/>
        <v>0</v>
      </c>
    </row>
    <row r="147" spans="2:59" s="36" customFormat="1">
      <c r="B147" s="65"/>
      <c r="C147" s="65"/>
      <c r="D147" s="65"/>
      <c r="E147" s="65"/>
      <c r="F147" s="94"/>
      <c r="G147" s="94"/>
      <c r="H147" s="65"/>
      <c r="I147" s="65"/>
      <c r="J147" s="65"/>
      <c r="K147" s="95"/>
      <c r="L147" s="65"/>
      <c r="M147" s="65"/>
      <c r="N147" s="65"/>
      <c r="O147" s="65"/>
      <c r="P147" s="65"/>
      <c r="Q147" s="65"/>
      <c r="R147" s="65"/>
      <c r="S147" s="65"/>
      <c r="T147" s="65"/>
      <c r="U147" s="65"/>
      <c r="V147" s="65"/>
      <c r="W147" s="65"/>
      <c r="X147" s="65"/>
      <c r="Y147" s="65"/>
      <c r="Z147" s="65"/>
      <c r="AA147" s="65"/>
      <c r="AB147" s="65"/>
      <c r="AC147" s="97"/>
      <c r="AD147" s="65"/>
      <c r="AE147" s="104" t="str">
        <f>IFERROR('BMP P Tracking Table'!$V147*VLOOKUP('BMP P Tracking Table'!$R147,'Loading Rates'!$B$1:$L$24,4,FALSE)+IF('BMP P Tracking Table'!$W147="By HSG",'BMP P Tracking Table'!$X147*VLOOKUP('BMP P Tracking Table'!$R147,'Loading Rates'!$B$1:$L$24,6,FALSE)+'BMP P Tracking Table'!$Y147*VLOOKUP('BMP P Tracking Table'!$R147,'Loading Rates'!$B$1:$L$24,7,FALSE)+'BMP P Tracking Table'!$Z147*VLOOKUP('BMP P Tracking Table'!$R147,'Loading Rates'!$B$1:$L$24,8,FALSE)+'BMP P Tracking Table'!$AA147*VLOOKUP('BMP P Tracking Table'!$R147,'Loading Rates'!$B$1:$L$24,9,FALSE),'BMP P Tracking Table'!$AB147*VLOOKUP('BMP P Tracking Table'!$R147,'Loading Rates'!$B$1:$L$24,10,FALSE)),"")</f>
        <v/>
      </c>
      <c r="AF147" s="104" t="str">
        <f>IFERROR(MIN(2,IF('BMP P Tracking Table'!$W147="Total Pervious",(-(3630*'BMP P Tracking Table'!$V147+20.691*'BMP P Tracking Table'!$AB147)+SQRT((3630*'BMP P Tracking Table'!$V147+20.691*'BMP P Tracking Table'!$AB147)^2-(4*(996.798*'BMP P Tracking Table'!$AB147)*-'BMP P Tracking Table'!$AC147)))/(2*(996.798*'BMP P Tracking Table'!$AB147)),IF(SUM('BMP P Tracking Table'!$X147:$AA147)=0,'BMP P Tracking Table'!$AC147/(-3630*'BMP P Tracking Table'!$V147),(-(3630*'BMP P Tracking Table'!$V147+20.691*'BMP P Tracking Table'!$AA147-216.711*'BMP P Tracking Table'!$Z147-83.853*'BMP P Tracking Table'!$Y147-42.834*'BMP P Tracking Table'!$X147)+SQRT((3630*'BMP P Tracking Table'!$V147+20.691*'BMP P Tracking Table'!$AA147-216.711*'BMP P Tracking Table'!$Z147-83.853*'BMP P Tracking Table'!$Y147-42.834*'BMP P Tracking Table'!$X147)^2-(4*(149.919*'BMP P Tracking Table'!$X147+236.676*'BMP P Tracking Table'!$Y147+726*'BMP P Tracking Table'!$Z147+996.798*'BMP P Tracking Table'!$AA147)*-'BMP P Tracking Table'!$AC147)))/(2*(149.919*'BMP P Tracking Table'!$X147+236.676*'BMP P Tracking Table'!$Y147+726*'BMP P Tracking Table'!$Z147+996.798*'BMP P Tracking Table'!$AA147))))),"")</f>
        <v/>
      </c>
      <c r="AG147" s="104" t="str">
        <f>IFERROR((VLOOKUP(CONCATENATE('BMP P Tracking Table'!$U147," ",'BMP P Tracking Table'!$AD147),'Performance Curves'!$C$1:$L$46,_xlfn.SINGLE(MATCH('BMP P Tracking Table'!$AF147,'Performance Curves'!$D$1:$L$1,1))+2,FALSE)-VLOOKUP(CONCATENATE('BMP P Tracking Table'!$U147," ",'BMP P Tracking Table'!$AD147),'Performance Curves'!$C$1:$L$46,_xlfn.SINGLE(MATCH('BMP P Tracking Table'!$AF147,'Performance Curves'!$D$1:$L$1,1))+1,FALSE)),"")</f>
        <v/>
      </c>
      <c r="AH147" s="104" t="str">
        <f>IFERROR(('BMP P Tracking Table'!$AF147-INDEX('Performance Curves'!$D$1:$L$1,1,MATCH('BMP P Tracking Table'!$AF147,'Performance Curves'!$D$1:$L$1,1)))/(INDEX('Performance Curves'!$D$1:$L$1,1,MATCH('BMP P Tracking Table'!$AF147,'Performance Curves'!$D$1:$L$1,1)+1)-INDEX('Performance Curves'!$D$1:$L$1,1,MATCH('BMP P Tracking Table'!$AF147,'Performance Curves'!$D$1:$L$1,1))),"")</f>
        <v/>
      </c>
      <c r="AI147" s="103" t="str">
        <f>IFERROR(IF('BMP P Tracking Table'!$AF147=2,VLOOKUP(CONCATENATE('BMP P Tracking Table'!$U147," ",'BMP P Tracking Table'!$AD147),'Performance Curves'!$C$1:$L$46,_xlfn.SINGLE(MATCH('BMP P Tracking Table'!$AF147,'Performance Curves'!$D$1:$L$1,1))+1,FALSE),'BMP P Tracking Table'!$AG147*'BMP P Tracking Table'!$AH147+VLOOKUP(CONCATENATE('BMP P Tracking Table'!$U147," ",'BMP P Tracking Table'!$AD147),'Performance Curves'!$C$1:$L$46,_xlfn.SINGLE(MATCH('BMP P Tracking Table'!$AF147,'Performance Curves'!$D$1:$L$1,1))+1,FALSE)),"")</f>
        <v/>
      </c>
      <c r="AJ147" s="104" t="str">
        <f>IFERROR('BMP P Tracking Table'!$AI147*'BMP P Tracking Table'!$AE147,"")</f>
        <v/>
      </c>
      <c r="AK147" s="65"/>
      <c r="AL147" s="98"/>
      <c r="AM147" s="98"/>
      <c r="AN147" s="64">
        <v>1</v>
      </c>
      <c r="AO147" s="102" t="str">
        <f t="shared" si="16"/>
        <v/>
      </c>
      <c r="AP147" s="98"/>
      <c r="AQ147" s="98"/>
      <c r="AR147" s="98"/>
      <c r="AS147" s="98"/>
      <c r="AT147" s="98"/>
      <c r="AU147" s="98"/>
      <c r="AV147" s="98"/>
      <c r="AW147" s="65"/>
      <c r="AX147" s="99"/>
      <c r="AY147" s="99"/>
      <c r="AZ147" s="104" t="str">
        <f>IF('BMP P Tracking Table'!$AL147="Yes",IF('BMP P Tracking Table'!$AM147="No",'BMP P Tracking Table'!$V147*VLOOKUP('BMP P Tracking Table'!$R147,'Loading Rates'!$B$1:$L$24,4,FALSE)+IF('BMP P Tracking Table'!$W147="By HSG",'BMP P Tracking Table'!$X147*VLOOKUP('BMP P Tracking Table'!$R147,'Loading Rates'!$B$1:$L$24,6,FALSE)+'BMP P Tracking Table'!$Y147*VLOOKUP('BMP P Tracking Table'!$R147,'Loading Rates'!$B$1:$L$24,7,FALSE)+'BMP P Tracking Table'!$Z147*VLOOKUP('BMP P Tracking Table'!$R147,'Loading Rates'!$B$1:$L$24,8,FALSE)+'BMP P Tracking Table'!$AA147*VLOOKUP('BMP P Tracking Table'!$R147,'Loading Rates'!$B$1:$L$24,9,FALSE),'BMP P Tracking Table'!$AB147*VLOOKUP('BMP P Tracking Table'!$R147,'Loading Rates'!$B$1:$L$24,10,FALSE)),'BMP P Tracking Table'!$AP147*VLOOKUP('BMP P Tracking Table'!$R147,'Loading Rates'!$B$1:$L$24,4,FALSE)+IF('BMP P Tracking Table'!$AQ147="By HSG",'BMP P Tracking Table'!$AR147*VLOOKUP('BMP P Tracking Table'!$R147,'Loading Rates'!$B$1:$L$24,6,FALSE)+'BMP P Tracking Table'!$AS147*VLOOKUP('BMP P Tracking Table'!$R147,'Loading Rates'!$B$1:$L$24,7,FALSE)+'BMP P Tracking Table'!$AT147*VLOOKUP('BMP P Tracking Table'!$R147,'Loading Rates'!$B$1:$L$24,8,FALSE)+'BMP P Tracking Table'!$AU147*VLOOKUP('BMP P Tracking Table'!$R147,'Loading Rates'!$B$1:$L$24,9,FALSE),'BMP P Tracking Table'!$AV147*VLOOKUP('BMP P Tracking Table'!$R147,'Loading Rates'!$B$1:$L$24,10,FALSE))),"")</f>
        <v/>
      </c>
      <c r="BA147" s="104" t="str">
        <f>IFERROR(IF('BMP P Tracking Table'!$AM147="Yes",MIN(2,IF('BMP P Tracking Table'!$AQ147="Total Pervious",(-(3630*'BMP P Tracking Table'!$AP147+20.691*'BMP P Tracking Table'!$AV147)+SQRT((3630*'BMP P Tracking Table'!$AP147+20.691*'BMP P Tracking Table'!$AV147)^2-(4*(996.798*'BMP P Tracking Table'!$AV147)*-'BMP P Tracking Table'!$AX147)))/(2*(996.798*'BMP P Tracking Table'!$AV147)),IF(SUM('BMP P Tracking Table'!$AR147:$AU147)=0,'BMP P Tracking Table'!$AV147/(-3630*'BMP P Tracking Table'!$AP147),(-(3630*'BMP P Tracking Table'!$AP147+20.691*'BMP P Tracking Table'!$AU147-216.711*'BMP P Tracking Table'!$AT147-83.853*'BMP P Tracking Table'!$AS147-42.834*'BMP P Tracking Table'!$AR147)+SQRT((3630*'BMP P Tracking Table'!$AP147+20.691*'BMP P Tracking Table'!$AU147-216.711*'BMP P Tracking Table'!$AT147-83.853*'BMP P Tracking Table'!$AS147-42.834*'BMP P Tracking Table'!$AR147)^2-(4*(149.919*'BMP P Tracking Table'!$AR147+236.676*'BMP P Tracking Table'!$AS147+726*'BMP P Tracking Table'!$AT147+996.798*'BMP P Tracking Table'!$AU147)*-'BMP P Tracking Table'!$AX147)))/(2*(149.919*'BMP P Tracking Table'!$AR147+236.676*'BMP P Tracking Table'!$AS147+726*'BMP P Tracking Table'!$AT147+996.798*'BMP P Tracking Table'!$AU147))))),MIN(2,IF('BMP P Tracking Table'!$AQ147="Total Pervious",(-(3630*'BMP P Tracking Table'!$V147+20.691*'BMP P Tracking Table'!$AB147)+SQRT((3630*'BMP P Tracking Table'!$V147+20.691*'BMP P Tracking Table'!$AB147)^2-(4*(996.798*'BMP P Tracking Table'!$AB147)*-'BMP P Tracking Table'!$AX147)))/(2*(996.798*'BMP P Tracking Table'!$AB147)),IF(SUM('BMP P Tracking Table'!$X147:$AA147)=0,'BMP P Tracking Table'!$AX147/(-3630*'BMP P Tracking Table'!$V147),(-(3630*'BMP P Tracking Table'!$V147+20.691*'BMP P Tracking Table'!$AA147-216.711*'BMP P Tracking Table'!$Z147-83.853*'BMP P Tracking Table'!$Y147-42.834*'BMP P Tracking Table'!$X147)+SQRT((3630*'BMP P Tracking Table'!$V147+20.691*'BMP P Tracking Table'!$AA147-216.711*'BMP P Tracking Table'!$Z147-83.853*'BMP P Tracking Table'!$Y147-42.834*'BMP P Tracking Table'!$X147)^2-(4*(149.919*'BMP P Tracking Table'!$X147+236.676*'BMP P Tracking Table'!$Y147+726*'BMP P Tracking Table'!$Z147+996.798*'BMP P Tracking Table'!$AA147)*-'BMP P Tracking Table'!$AX147)))/(2*(149.919*'BMP P Tracking Table'!$X147+236.676*'BMP P Tracking Table'!$Y147+726*'BMP P Tracking Table'!$Z147+996.798*'BMP P Tracking Table'!$AA147)))))),"")</f>
        <v/>
      </c>
      <c r="BB147" s="102" t="str">
        <f>IFERROR((VLOOKUP(CONCATENATE('BMP P Tracking Table'!$AW147," ",'BMP P Tracking Table'!$AY147),'Performance Curves'!$C$1:$L$46,_xlfn.SINGLE(MATCH('BMP P Tracking Table'!$BA147,'Performance Curves'!$D$1:$L$1,1))+2,FALSE)-VLOOKUP(CONCATENATE('BMP P Tracking Table'!$AW147," ",'BMP P Tracking Table'!$AY147),'Performance Curves'!$C$1:$L$46,_xlfn.SINGLE(MATCH('BMP P Tracking Table'!$BA147,'Performance Curves'!$D$1:$L$1,1))+1,FALSE)),"")</f>
        <v/>
      </c>
      <c r="BC147" s="102" t="str">
        <f>IFERROR(('BMP P Tracking Table'!$BA147-INDEX('Performance Curves'!$D$1:$L$1,1,MATCH('BMP P Tracking Table'!$BA147,'Performance Curves'!$D$1:$L$1,1)))/(INDEX('Performance Curves'!$D$1:$L$1,1,MATCH('BMP P Tracking Table'!$BA147,'Performance Curves'!$D$1:$L$1,1)+1)-INDEX('Performance Curves'!$D$1:$L$1,1,MATCH('BMP P Tracking Table'!$BA147,'Performance Curves'!$D$1:$L$1,1))),"")</f>
        <v/>
      </c>
      <c r="BD147" s="103" t="str" cm="1">
        <f t="array" ref="BD147">IFERROR(IF('BMP P Tracking Table'!$BA147=2,VLOOKUP(CONCATENATE('BMP P Tracking Table'!$AW147," ",'BMP P Tracking Table'!$AY147),'Performance Curves'!$C$1:$L$44,_xlfn.SINGLE(MATCH('BMP P Tracking Table'!$BA147,'Performance Curves'!$D$1:$L$1,1))+1,FALSE),'BMP P Tracking Table'!$BB147*'BMP P Tracking Table'!$BC147+VLOOKUP(CONCATENATE('BMP P Tracking Table'!$AW147," ",'BMP P Tracking Table'!$AY147),'Performance Curves'!$C$1:$L$44,_xlfn.SINGLE(MATCH('BMP P Tracking Table'!$BA147,'Performance Curves'!$D$1:$L$1,1))+1,FALSE)),"")</f>
        <v/>
      </c>
      <c r="BE147" s="104" t="str">
        <f>IFERROR('BMP P Tracking Table'!$BD147*'BMP P Tracking Table'!$AZ147,"")</f>
        <v/>
      </c>
      <c r="BF147" s="98"/>
      <c r="BG147" s="37">
        <f t="shared" si="17"/>
        <v>0</v>
      </c>
    </row>
    <row r="148" spans="2:59" s="36" customFormat="1">
      <c r="B148" s="65"/>
      <c r="C148" s="65"/>
      <c r="D148" s="65"/>
      <c r="E148" s="65"/>
      <c r="F148" s="94"/>
      <c r="G148" s="94"/>
      <c r="H148" s="65"/>
      <c r="I148" s="65"/>
      <c r="J148" s="65"/>
      <c r="K148" s="95"/>
      <c r="L148" s="65"/>
      <c r="M148" s="65"/>
      <c r="N148" s="65"/>
      <c r="O148" s="65"/>
      <c r="P148" s="65"/>
      <c r="Q148" s="65"/>
      <c r="R148" s="65" t="str">
        <f>IFERROR(VLOOKUP('BMP P Tracking Table'!$Q148,Dropdowns!$C$2:$E$15,3,FALSE),"")</f>
        <v/>
      </c>
      <c r="S148" s="65" t="str">
        <f>IFERROR(VLOOKUP('BMP P Tracking Table'!$R148,Dropdowns!$Q$3:$R$23,2,FALSE),"")</f>
        <v/>
      </c>
      <c r="T148" s="65"/>
      <c r="U148" s="65"/>
      <c r="V148" s="65"/>
      <c r="W148" s="65"/>
      <c r="X148" s="65"/>
      <c r="Y148" s="65"/>
      <c r="Z148" s="65"/>
      <c r="AA148" s="65"/>
      <c r="AB148" s="65"/>
      <c r="AC148" s="97"/>
      <c r="AD148" s="65"/>
      <c r="AE148" s="104" t="str">
        <f>IFERROR('BMP P Tracking Table'!$V148*VLOOKUP('BMP P Tracking Table'!$R148,'Loading Rates'!$B$1:$L$24,4,FALSE)+IF('BMP P Tracking Table'!$W148="By HSG",'BMP P Tracking Table'!$X148*VLOOKUP('BMP P Tracking Table'!$R148,'Loading Rates'!$B$1:$L$24,6,FALSE)+'BMP P Tracking Table'!$Y148*VLOOKUP('BMP P Tracking Table'!$R148,'Loading Rates'!$B$1:$L$24,7,FALSE)+'BMP P Tracking Table'!$Z148*VLOOKUP('BMP P Tracking Table'!$R148,'Loading Rates'!$B$1:$L$24,8,FALSE)+'BMP P Tracking Table'!$AA148*VLOOKUP('BMP P Tracking Table'!$R148,'Loading Rates'!$B$1:$L$24,9,FALSE),'BMP P Tracking Table'!$AB148*VLOOKUP('BMP P Tracking Table'!$R148,'Loading Rates'!$B$1:$L$24,10,FALSE)),"")</f>
        <v/>
      </c>
      <c r="AF148" s="104" t="str">
        <f>IFERROR(MIN(2,IF('BMP P Tracking Table'!$W148="Total Pervious",(-(3630*'BMP P Tracking Table'!$V148+20.691*'BMP P Tracking Table'!$AB148)+SQRT((3630*'BMP P Tracking Table'!$V148+20.691*'BMP P Tracking Table'!$AB148)^2-(4*(996.798*'BMP P Tracking Table'!$AB148)*-'BMP P Tracking Table'!$AC148)))/(2*(996.798*'BMP P Tracking Table'!$AB148)),IF(SUM('BMP P Tracking Table'!$X148:$AA148)=0,'BMP P Tracking Table'!$AC148/(-3630*'BMP P Tracking Table'!$V148),(-(3630*'BMP P Tracking Table'!$V148+20.691*'BMP P Tracking Table'!$AA148-216.711*'BMP P Tracking Table'!$Z148-83.853*'BMP P Tracking Table'!$Y148-42.834*'BMP P Tracking Table'!$X148)+SQRT((3630*'BMP P Tracking Table'!$V148+20.691*'BMP P Tracking Table'!$AA148-216.711*'BMP P Tracking Table'!$Z148-83.853*'BMP P Tracking Table'!$Y148-42.834*'BMP P Tracking Table'!$X148)^2-(4*(149.919*'BMP P Tracking Table'!$X148+236.676*'BMP P Tracking Table'!$Y148+726*'BMP P Tracking Table'!$Z148+996.798*'BMP P Tracking Table'!$AA148)*-'BMP P Tracking Table'!$AC148)))/(2*(149.919*'BMP P Tracking Table'!$X148+236.676*'BMP P Tracking Table'!$Y148+726*'BMP P Tracking Table'!$Z148+996.798*'BMP P Tracking Table'!$AA148))))),"")</f>
        <v/>
      </c>
      <c r="AG148" s="104" t="str">
        <f>IFERROR((VLOOKUP(CONCATENATE('BMP P Tracking Table'!$U148," ",'BMP P Tracking Table'!$AD148),'Performance Curves'!$C$1:$L$46,_xlfn.SINGLE(MATCH('BMP P Tracking Table'!$AF148,'Performance Curves'!$D$1:$L$1,1))+2,FALSE)-VLOOKUP(CONCATENATE('BMP P Tracking Table'!$U148," ",'BMP P Tracking Table'!$AD148),'Performance Curves'!$C$1:$L$46,_xlfn.SINGLE(MATCH('BMP P Tracking Table'!$AF148,'Performance Curves'!$D$1:$L$1,1))+1,FALSE)),"")</f>
        <v/>
      </c>
      <c r="AH148" s="104" t="str">
        <f>IFERROR(('BMP P Tracking Table'!$AF148-INDEX('Performance Curves'!$D$1:$L$1,1,MATCH('BMP P Tracking Table'!$AF148,'Performance Curves'!$D$1:$L$1,1)))/(INDEX('Performance Curves'!$D$1:$L$1,1,MATCH('BMP P Tracking Table'!$AF148,'Performance Curves'!$D$1:$L$1,1)+1)-INDEX('Performance Curves'!$D$1:$L$1,1,MATCH('BMP P Tracking Table'!$AF148,'Performance Curves'!$D$1:$L$1,1))),"")</f>
        <v/>
      </c>
      <c r="AI148" s="103" t="str">
        <f>IFERROR(IF('BMP P Tracking Table'!$AF148=2,VLOOKUP(CONCATENATE('BMP P Tracking Table'!$U148," ",'BMP P Tracking Table'!$AD148),'Performance Curves'!$C$1:$L$46,_xlfn.SINGLE(MATCH('BMP P Tracking Table'!$AF148,'Performance Curves'!$D$1:$L$1,1))+1,FALSE),'BMP P Tracking Table'!$AG148*'BMP P Tracking Table'!$AH148+VLOOKUP(CONCATENATE('BMP P Tracking Table'!$U148," ",'BMP P Tracking Table'!$AD148),'Performance Curves'!$C$1:$L$46,_xlfn.SINGLE(MATCH('BMP P Tracking Table'!$AF148,'Performance Curves'!$D$1:$L$1,1))+1,FALSE)),"")</f>
        <v/>
      </c>
      <c r="AJ148" s="104" t="str">
        <f>IFERROR('BMP P Tracking Table'!$AI148*'BMP P Tracking Table'!$AE148,"")</f>
        <v/>
      </c>
      <c r="AK148" s="65"/>
      <c r="AL148" s="98"/>
      <c r="AM148" s="98"/>
      <c r="AN148" s="64">
        <v>1</v>
      </c>
      <c r="AO148" s="102" t="str">
        <f t="shared" si="16"/>
        <v/>
      </c>
      <c r="AP148" s="98"/>
      <c r="AQ148" s="98"/>
      <c r="AR148" s="98"/>
      <c r="AS148" s="98"/>
      <c r="AT148" s="98"/>
      <c r="AU148" s="98"/>
      <c r="AV148" s="98"/>
      <c r="AW148" s="65"/>
      <c r="AX148" s="99"/>
      <c r="AY148" s="99"/>
      <c r="AZ148" s="104" t="str">
        <f>IF('BMP P Tracking Table'!$AL148="Yes",IF('BMP P Tracking Table'!$AM148="No",'BMP P Tracking Table'!$V148*VLOOKUP('BMP P Tracking Table'!$R148,'Loading Rates'!$B$1:$L$24,4,FALSE)+IF('BMP P Tracking Table'!$W148="By HSG",'BMP P Tracking Table'!$X148*VLOOKUP('BMP P Tracking Table'!$R148,'Loading Rates'!$B$1:$L$24,6,FALSE)+'BMP P Tracking Table'!$Y148*VLOOKUP('BMP P Tracking Table'!$R148,'Loading Rates'!$B$1:$L$24,7,FALSE)+'BMP P Tracking Table'!$Z148*VLOOKUP('BMP P Tracking Table'!$R148,'Loading Rates'!$B$1:$L$24,8,FALSE)+'BMP P Tracking Table'!$AA148*VLOOKUP('BMP P Tracking Table'!$R148,'Loading Rates'!$B$1:$L$24,9,FALSE),'BMP P Tracking Table'!$AB148*VLOOKUP('BMP P Tracking Table'!$R148,'Loading Rates'!$B$1:$L$24,10,FALSE)),'BMP P Tracking Table'!$AP148*VLOOKUP('BMP P Tracking Table'!$R148,'Loading Rates'!$B$1:$L$24,4,FALSE)+IF('BMP P Tracking Table'!$AQ148="By HSG",'BMP P Tracking Table'!$AR148*VLOOKUP('BMP P Tracking Table'!$R148,'Loading Rates'!$B$1:$L$24,6,FALSE)+'BMP P Tracking Table'!$AS148*VLOOKUP('BMP P Tracking Table'!$R148,'Loading Rates'!$B$1:$L$24,7,FALSE)+'BMP P Tracking Table'!$AT148*VLOOKUP('BMP P Tracking Table'!$R148,'Loading Rates'!$B$1:$L$24,8,FALSE)+'BMP P Tracking Table'!$AU148*VLOOKUP('BMP P Tracking Table'!$R148,'Loading Rates'!$B$1:$L$24,9,FALSE),'BMP P Tracking Table'!$AV148*VLOOKUP('BMP P Tracking Table'!$R148,'Loading Rates'!$B$1:$L$24,10,FALSE))),"")</f>
        <v/>
      </c>
      <c r="BA148" s="104" t="str">
        <f>IFERROR(IF('BMP P Tracking Table'!$AM148="Yes",MIN(2,IF('BMP P Tracking Table'!$AQ148="Total Pervious",(-(3630*'BMP P Tracking Table'!$AP148+20.691*'BMP P Tracking Table'!$AV148)+SQRT((3630*'BMP P Tracking Table'!$AP148+20.691*'BMP P Tracking Table'!$AV148)^2-(4*(996.798*'BMP P Tracking Table'!$AV148)*-'BMP P Tracking Table'!$AX148)))/(2*(996.798*'BMP P Tracking Table'!$AV148)),IF(SUM('BMP P Tracking Table'!$AR148:$AU148)=0,'BMP P Tracking Table'!$AV148/(-3630*'BMP P Tracking Table'!$AP148),(-(3630*'BMP P Tracking Table'!$AP148+20.691*'BMP P Tracking Table'!$AU148-216.711*'BMP P Tracking Table'!$AT148-83.853*'BMP P Tracking Table'!$AS148-42.834*'BMP P Tracking Table'!$AR148)+SQRT((3630*'BMP P Tracking Table'!$AP148+20.691*'BMP P Tracking Table'!$AU148-216.711*'BMP P Tracking Table'!$AT148-83.853*'BMP P Tracking Table'!$AS148-42.834*'BMP P Tracking Table'!$AR148)^2-(4*(149.919*'BMP P Tracking Table'!$AR148+236.676*'BMP P Tracking Table'!$AS148+726*'BMP P Tracking Table'!$AT148+996.798*'BMP P Tracking Table'!$AU148)*-'BMP P Tracking Table'!$AX148)))/(2*(149.919*'BMP P Tracking Table'!$AR148+236.676*'BMP P Tracking Table'!$AS148+726*'BMP P Tracking Table'!$AT148+996.798*'BMP P Tracking Table'!$AU148))))),MIN(2,IF('BMP P Tracking Table'!$AQ148="Total Pervious",(-(3630*'BMP P Tracking Table'!$V148+20.691*'BMP P Tracking Table'!$AB148)+SQRT((3630*'BMP P Tracking Table'!$V148+20.691*'BMP P Tracking Table'!$AB148)^2-(4*(996.798*'BMP P Tracking Table'!$AB148)*-'BMP P Tracking Table'!$AX148)))/(2*(996.798*'BMP P Tracking Table'!$AB148)),IF(SUM('BMP P Tracking Table'!$X148:$AA148)=0,'BMP P Tracking Table'!$AX148/(-3630*'BMP P Tracking Table'!$V148),(-(3630*'BMP P Tracking Table'!$V148+20.691*'BMP P Tracking Table'!$AA148-216.711*'BMP P Tracking Table'!$Z148-83.853*'BMP P Tracking Table'!$Y148-42.834*'BMP P Tracking Table'!$X148)+SQRT((3630*'BMP P Tracking Table'!$V148+20.691*'BMP P Tracking Table'!$AA148-216.711*'BMP P Tracking Table'!$Z148-83.853*'BMP P Tracking Table'!$Y148-42.834*'BMP P Tracking Table'!$X148)^2-(4*(149.919*'BMP P Tracking Table'!$X148+236.676*'BMP P Tracking Table'!$Y148+726*'BMP P Tracking Table'!$Z148+996.798*'BMP P Tracking Table'!$AA148)*-'BMP P Tracking Table'!$AX148)))/(2*(149.919*'BMP P Tracking Table'!$X148+236.676*'BMP P Tracking Table'!$Y148+726*'BMP P Tracking Table'!$Z148+996.798*'BMP P Tracking Table'!$AA148)))))),"")</f>
        <v/>
      </c>
      <c r="BB148" s="102" t="str">
        <f>IFERROR((VLOOKUP(CONCATENATE('BMP P Tracking Table'!$AW148," ",'BMP P Tracking Table'!$AY148),'Performance Curves'!$C$1:$L$46,_xlfn.SINGLE(MATCH('BMP P Tracking Table'!$BA148,'Performance Curves'!$D$1:$L$1,1))+2,FALSE)-VLOOKUP(CONCATENATE('BMP P Tracking Table'!$AW148," ",'BMP P Tracking Table'!$AY148),'Performance Curves'!$C$1:$L$46,_xlfn.SINGLE(MATCH('BMP P Tracking Table'!$BA148,'Performance Curves'!$D$1:$L$1,1))+1,FALSE)),"")</f>
        <v/>
      </c>
      <c r="BC148" s="102" t="str">
        <f>IFERROR(('BMP P Tracking Table'!$BA148-INDEX('Performance Curves'!$D$1:$L$1,1,MATCH('BMP P Tracking Table'!$BA148,'Performance Curves'!$D$1:$L$1,1)))/(INDEX('Performance Curves'!$D$1:$L$1,1,MATCH('BMP P Tracking Table'!$BA148,'Performance Curves'!$D$1:$L$1,1)+1)-INDEX('Performance Curves'!$D$1:$L$1,1,MATCH('BMP P Tracking Table'!$BA148,'Performance Curves'!$D$1:$L$1,1))),"")</f>
        <v/>
      </c>
      <c r="BD148" s="103" t="str" cm="1">
        <f t="array" ref="BD148">IFERROR(IF('BMP P Tracking Table'!$BA148=2,VLOOKUP(CONCATENATE('BMP P Tracking Table'!$AW148," ",'BMP P Tracking Table'!$AY148),'Performance Curves'!$C$1:$L$44,_xlfn.SINGLE(MATCH('BMP P Tracking Table'!$BA148,'Performance Curves'!$D$1:$L$1,1))+1,FALSE),'BMP P Tracking Table'!$BB148*'BMP P Tracking Table'!$BC148+VLOOKUP(CONCATENATE('BMP P Tracking Table'!$AW148," ",'BMP P Tracking Table'!$AY148),'Performance Curves'!$C$1:$L$44,_xlfn.SINGLE(MATCH('BMP P Tracking Table'!$BA148,'Performance Curves'!$D$1:$L$1,1))+1,FALSE)),"")</f>
        <v/>
      </c>
      <c r="BE148" s="104" t="str">
        <f>IFERROR('BMP P Tracking Table'!$BD148*'BMP P Tracking Table'!$AZ148,"")</f>
        <v/>
      </c>
      <c r="BF148" s="98"/>
      <c r="BG148" s="37">
        <f t="shared" si="17"/>
        <v>0</v>
      </c>
    </row>
    <row r="149" spans="2:59" s="36" customFormat="1">
      <c r="B149" s="65"/>
      <c r="C149" s="65"/>
      <c r="D149" s="65"/>
      <c r="E149" s="65"/>
      <c r="F149" s="94"/>
      <c r="G149" s="94"/>
      <c r="H149" s="65"/>
      <c r="I149" s="65"/>
      <c r="J149" s="65"/>
      <c r="K149" s="95"/>
      <c r="L149" s="65"/>
      <c r="M149" s="65"/>
      <c r="N149" s="65"/>
      <c r="O149" s="65"/>
      <c r="P149" s="65"/>
      <c r="Q149" s="65"/>
      <c r="R149" s="65" t="str">
        <f>IFERROR(VLOOKUP('BMP P Tracking Table'!$Q149,Dropdowns!$C$2:$E$15,3,FALSE),"")</f>
        <v/>
      </c>
      <c r="S149" s="65" t="str">
        <f>IFERROR(VLOOKUP('BMP P Tracking Table'!$R149,Dropdowns!$Q$3:$R$23,2,FALSE),"")</f>
        <v/>
      </c>
      <c r="T149" s="65"/>
      <c r="U149" s="65"/>
      <c r="V149" s="65"/>
      <c r="W149" s="65"/>
      <c r="X149" s="65"/>
      <c r="Y149" s="65"/>
      <c r="Z149" s="65"/>
      <c r="AA149" s="65"/>
      <c r="AB149" s="65"/>
      <c r="AC149" s="97"/>
      <c r="AD149" s="65"/>
      <c r="AE149" s="104" t="str">
        <f>IFERROR('BMP P Tracking Table'!$V149*VLOOKUP('BMP P Tracking Table'!$R149,'Loading Rates'!$B$1:$L$24,4,FALSE)+IF('BMP P Tracking Table'!$W149="By HSG",'BMP P Tracking Table'!$X149*VLOOKUP('BMP P Tracking Table'!$R149,'Loading Rates'!$B$1:$L$24,6,FALSE)+'BMP P Tracking Table'!$Y149*VLOOKUP('BMP P Tracking Table'!$R149,'Loading Rates'!$B$1:$L$24,7,FALSE)+'BMP P Tracking Table'!$Z149*VLOOKUP('BMP P Tracking Table'!$R149,'Loading Rates'!$B$1:$L$24,8,FALSE)+'BMP P Tracking Table'!$AA149*VLOOKUP('BMP P Tracking Table'!$R149,'Loading Rates'!$B$1:$L$24,9,FALSE),'BMP P Tracking Table'!$AB149*VLOOKUP('BMP P Tracking Table'!$R149,'Loading Rates'!$B$1:$L$24,10,FALSE)),"")</f>
        <v/>
      </c>
      <c r="AF149" s="104" t="str">
        <f>IFERROR(MIN(2,IF('BMP P Tracking Table'!$W149="Total Pervious",(-(3630*'BMP P Tracking Table'!$V149+20.691*'BMP P Tracking Table'!$AB149)+SQRT((3630*'BMP P Tracking Table'!$V149+20.691*'BMP P Tracking Table'!$AB149)^2-(4*(996.798*'BMP P Tracking Table'!$AB149)*-'BMP P Tracking Table'!$AC149)))/(2*(996.798*'BMP P Tracking Table'!$AB149)),IF(SUM('BMP P Tracking Table'!$X149:$AA149)=0,'BMP P Tracking Table'!$AC149/(-3630*'BMP P Tracking Table'!$V149),(-(3630*'BMP P Tracking Table'!$V149+20.691*'BMP P Tracking Table'!$AA149-216.711*'BMP P Tracking Table'!$Z149-83.853*'BMP P Tracking Table'!$Y149-42.834*'BMP P Tracking Table'!$X149)+SQRT((3630*'BMP P Tracking Table'!$V149+20.691*'BMP P Tracking Table'!$AA149-216.711*'BMP P Tracking Table'!$Z149-83.853*'BMP P Tracking Table'!$Y149-42.834*'BMP P Tracking Table'!$X149)^2-(4*(149.919*'BMP P Tracking Table'!$X149+236.676*'BMP P Tracking Table'!$Y149+726*'BMP P Tracking Table'!$Z149+996.798*'BMP P Tracking Table'!$AA149)*-'BMP P Tracking Table'!$AC149)))/(2*(149.919*'BMP P Tracking Table'!$X149+236.676*'BMP P Tracking Table'!$Y149+726*'BMP P Tracking Table'!$Z149+996.798*'BMP P Tracking Table'!$AA149))))),"")</f>
        <v/>
      </c>
      <c r="AG149" s="104" t="str">
        <f>IFERROR((VLOOKUP(CONCATENATE('BMP P Tracking Table'!$U149," ",'BMP P Tracking Table'!$AD149),'Performance Curves'!$C$1:$L$46,_xlfn.SINGLE(MATCH('BMP P Tracking Table'!$AF149,'Performance Curves'!$D$1:$L$1,1))+2,FALSE)-VLOOKUP(CONCATENATE('BMP P Tracking Table'!$U149," ",'BMP P Tracking Table'!$AD149),'Performance Curves'!$C$1:$L$46,_xlfn.SINGLE(MATCH('BMP P Tracking Table'!$AF149,'Performance Curves'!$D$1:$L$1,1))+1,FALSE)),"")</f>
        <v/>
      </c>
      <c r="AH149" s="104" t="str">
        <f>IFERROR(('BMP P Tracking Table'!$AF149-INDEX('Performance Curves'!$D$1:$L$1,1,MATCH('BMP P Tracking Table'!$AF149,'Performance Curves'!$D$1:$L$1,1)))/(INDEX('Performance Curves'!$D$1:$L$1,1,MATCH('BMP P Tracking Table'!$AF149,'Performance Curves'!$D$1:$L$1,1)+1)-INDEX('Performance Curves'!$D$1:$L$1,1,MATCH('BMP P Tracking Table'!$AF149,'Performance Curves'!$D$1:$L$1,1))),"")</f>
        <v/>
      </c>
      <c r="AI149" s="103" t="str">
        <f>IFERROR(IF('BMP P Tracking Table'!$AF149=2,VLOOKUP(CONCATENATE('BMP P Tracking Table'!$U149," ",'BMP P Tracking Table'!$AD149),'Performance Curves'!$C$1:$L$46,_xlfn.SINGLE(MATCH('BMP P Tracking Table'!$AF149,'Performance Curves'!$D$1:$L$1,1))+1,FALSE),'BMP P Tracking Table'!$AG149*'BMP P Tracking Table'!$AH149+VLOOKUP(CONCATENATE('BMP P Tracking Table'!$U149," ",'BMP P Tracking Table'!$AD149),'Performance Curves'!$C$1:$L$46,_xlfn.SINGLE(MATCH('BMP P Tracking Table'!$AF149,'Performance Curves'!$D$1:$L$1,1))+1,FALSE)),"")</f>
        <v/>
      </c>
      <c r="AJ149" s="104" t="str">
        <f>IFERROR('BMP P Tracking Table'!$AI149*'BMP P Tracking Table'!$AE149,"")</f>
        <v/>
      </c>
      <c r="AK149" s="65"/>
      <c r="AL149" s="98"/>
      <c r="AM149" s="98"/>
      <c r="AN149" s="64">
        <v>1</v>
      </c>
      <c r="AO149" s="102" t="str">
        <f t="shared" si="16"/>
        <v/>
      </c>
      <c r="AP149" s="98"/>
      <c r="AQ149" s="98"/>
      <c r="AR149" s="98"/>
      <c r="AS149" s="98"/>
      <c r="AT149" s="98"/>
      <c r="AU149" s="98"/>
      <c r="AV149" s="98"/>
      <c r="AW149" s="65"/>
      <c r="AX149" s="99"/>
      <c r="AY149" s="99"/>
      <c r="AZ149" s="104" t="str">
        <f>IF('BMP P Tracking Table'!$AL149="Yes",IF('BMP P Tracking Table'!$AM149="No",'BMP P Tracking Table'!$V149*VLOOKUP('BMP P Tracking Table'!$R149,'Loading Rates'!$B$1:$L$24,4,FALSE)+IF('BMP P Tracking Table'!$W149="By HSG",'BMP P Tracking Table'!$X149*VLOOKUP('BMP P Tracking Table'!$R149,'Loading Rates'!$B$1:$L$24,6,FALSE)+'BMP P Tracking Table'!$Y149*VLOOKUP('BMP P Tracking Table'!$R149,'Loading Rates'!$B$1:$L$24,7,FALSE)+'BMP P Tracking Table'!$Z149*VLOOKUP('BMP P Tracking Table'!$R149,'Loading Rates'!$B$1:$L$24,8,FALSE)+'BMP P Tracking Table'!$AA149*VLOOKUP('BMP P Tracking Table'!$R149,'Loading Rates'!$B$1:$L$24,9,FALSE),'BMP P Tracking Table'!$AB149*VLOOKUP('BMP P Tracking Table'!$R149,'Loading Rates'!$B$1:$L$24,10,FALSE)),'BMP P Tracking Table'!$AP149*VLOOKUP('BMP P Tracking Table'!$R149,'Loading Rates'!$B$1:$L$24,4,FALSE)+IF('BMP P Tracking Table'!$AQ149="By HSG",'BMP P Tracking Table'!$AR149*VLOOKUP('BMP P Tracking Table'!$R149,'Loading Rates'!$B$1:$L$24,6,FALSE)+'BMP P Tracking Table'!$AS149*VLOOKUP('BMP P Tracking Table'!$R149,'Loading Rates'!$B$1:$L$24,7,FALSE)+'BMP P Tracking Table'!$AT149*VLOOKUP('BMP P Tracking Table'!$R149,'Loading Rates'!$B$1:$L$24,8,FALSE)+'BMP P Tracking Table'!$AU149*VLOOKUP('BMP P Tracking Table'!$R149,'Loading Rates'!$B$1:$L$24,9,FALSE),'BMP P Tracking Table'!$AV149*VLOOKUP('BMP P Tracking Table'!$R149,'Loading Rates'!$B$1:$L$24,10,FALSE))),"")</f>
        <v/>
      </c>
      <c r="BA149" s="104" t="str">
        <f>IFERROR(IF('BMP P Tracking Table'!$AM149="Yes",MIN(2,IF('BMP P Tracking Table'!$AQ149="Total Pervious",(-(3630*'BMP P Tracking Table'!$AP149+20.691*'BMP P Tracking Table'!$AV149)+SQRT((3630*'BMP P Tracking Table'!$AP149+20.691*'BMP P Tracking Table'!$AV149)^2-(4*(996.798*'BMP P Tracking Table'!$AV149)*-'BMP P Tracking Table'!$AX149)))/(2*(996.798*'BMP P Tracking Table'!$AV149)),IF(SUM('BMP P Tracking Table'!$AR149:$AU149)=0,'BMP P Tracking Table'!$AV149/(-3630*'BMP P Tracking Table'!$AP149),(-(3630*'BMP P Tracking Table'!$AP149+20.691*'BMP P Tracking Table'!$AU149-216.711*'BMP P Tracking Table'!$AT149-83.853*'BMP P Tracking Table'!$AS149-42.834*'BMP P Tracking Table'!$AR149)+SQRT((3630*'BMP P Tracking Table'!$AP149+20.691*'BMP P Tracking Table'!$AU149-216.711*'BMP P Tracking Table'!$AT149-83.853*'BMP P Tracking Table'!$AS149-42.834*'BMP P Tracking Table'!$AR149)^2-(4*(149.919*'BMP P Tracking Table'!$AR149+236.676*'BMP P Tracking Table'!$AS149+726*'BMP P Tracking Table'!$AT149+996.798*'BMP P Tracking Table'!$AU149)*-'BMP P Tracking Table'!$AX149)))/(2*(149.919*'BMP P Tracking Table'!$AR149+236.676*'BMP P Tracking Table'!$AS149+726*'BMP P Tracking Table'!$AT149+996.798*'BMP P Tracking Table'!$AU149))))),MIN(2,IF('BMP P Tracking Table'!$AQ149="Total Pervious",(-(3630*'BMP P Tracking Table'!$V149+20.691*'BMP P Tracking Table'!$AB149)+SQRT((3630*'BMP P Tracking Table'!$V149+20.691*'BMP P Tracking Table'!$AB149)^2-(4*(996.798*'BMP P Tracking Table'!$AB149)*-'BMP P Tracking Table'!$AX149)))/(2*(996.798*'BMP P Tracking Table'!$AB149)),IF(SUM('BMP P Tracking Table'!$X149:$AA149)=0,'BMP P Tracking Table'!$AX149/(-3630*'BMP P Tracking Table'!$V149),(-(3630*'BMP P Tracking Table'!$V149+20.691*'BMP P Tracking Table'!$AA149-216.711*'BMP P Tracking Table'!$Z149-83.853*'BMP P Tracking Table'!$Y149-42.834*'BMP P Tracking Table'!$X149)+SQRT((3630*'BMP P Tracking Table'!$V149+20.691*'BMP P Tracking Table'!$AA149-216.711*'BMP P Tracking Table'!$Z149-83.853*'BMP P Tracking Table'!$Y149-42.834*'BMP P Tracking Table'!$X149)^2-(4*(149.919*'BMP P Tracking Table'!$X149+236.676*'BMP P Tracking Table'!$Y149+726*'BMP P Tracking Table'!$Z149+996.798*'BMP P Tracking Table'!$AA149)*-'BMP P Tracking Table'!$AX149)))/(2*(149.919*'BMP P Tracking Table'!$X149+236.676*'BMP P Tracking Table'!$Y149+726*'BMP P Tracking Table'!$Z149+996.798*'BMP P Tracking Table'!$AA149)))))),"")</f>
        <v/>
      </c>
      <c r="BB149" s="102" t="str">
        <f>IFERROR((VLOOKUP(CONCATENATE('BMP P Tracking Table'!$AW149," ",'BMP P Tracking Table'!$AY149),'Performance Curves'!$C$1:$L$46,_xlfn.SINGLE(MATCH('BMP P Tracking Table'!$BA149,'Performance Curves'!$D$1:$L$1,1))+2,FALSE)-VLOOKUP(CONCATENATE('BMP P Tracking Table'!$AW149," ",'BMP P Tracking Table'!$AY149),'Performance Curves'!$C$1:$L$46,_xlfn.SINGLE(MATCH('BMP P Tracking Table'!$BA149,'Performance Curves'!$D$1:$L$1,1))+1,FALSE)),"")</f>
        <v/>
      </c>
      <c r="BC149" s="102" t="str">
        <f>IFERROR(('BMP P Tracking Table'!$BA149-INDEX('Performance Curves'!$D$1:$L$1,1,MATCH('BMP P Tracking Table'!$BA149,'Performance Curves'!$D$1:$L$1,1)))/(INDEX('Performance Curves'!$D$1:$L$1,1,MATCH('BMP P Tracking Table'!$BA149,'Performance Curves'!$D$1:$L$1,1)+1)-INDEX('Performance Curves'!$D$1:$L$1,1,MATCH('BMP P Tracking Table'!$BA149,'Performance Curves'!$D$1:$L$1,1))),"")</f>
        <v/>
      </c>
      <c r="BD149" s="103" t="str" cm="1">
        <f t="array" ref="BD149">IFERROR(IF('BMP P Tracking Table'!$BA149=2,VLOOKUP(CONCATENATE('BMP P Tracking Table'!$AW149," ",'BMP P Tracking Table'!$AY149),'Performance Curves'!$C$1:$L$44,_xlfn.SINGLE(MATCH('BMP P Tracking Table'!$BA149,'Performance Curves'!$D$1:$L$1,1))+1,FALSE),'BMP P Tracking Table'!$BB149*'BMP P Tracking Table'!$BC149+VLOOKUP(CONCATENATE('BMP P Tracking Table'!$AW149," ",'BMP P Tracking Table'!$AY149),'Performance Curves'!$C$1:$L$44,_xlfn.SINGLE(MATCH('BMP P Tracking Table'!$BA149,'Performance Curves'!$D$1:$L$1,1))+1,FALSE)),"")</f>
        <v/>
      </c>
      <c r="BE149" s="104" t="str">
        <f>IFERROR('BMP P Tracking Table'!$BD149*'BMP P Tracking Table'!$AZ149,"")</f>
        <v/>
      </c>
      <c r="BF149" s="98"/>
      <c r="BG149" s="37">
        <f t="shared" si="17"/>
        <v>0</v>
      </c>
    </row>
    <row r="150" spans="2:59" s="36" customFormat="1">
      <c r="B150" s="65"/>
      <c r="C150" s="65"/>
      <c r="D150" s="65"/>
      <c r="E150" s="65"/>
      <c r="F150" s="94"/>
      <c r="G150" s="94"/>
      <c r="H150" s="65"/>
      <c r="I150" s="65"/>
      <c r="J150" s="65"/>
      <c r="K150" s="95"/>
      <c r="L150" s="65"/>
      <c r="M150" s="65"/>
      <c r="N150" s="65"/>
      <c r="O150" s="65"/>
      <c r="P150" s="65"/>
      <c r="Q150" s="65"/>
      <c r="R150" s="65" t="str">
        <f>IFERROR(VLOOKUP('BMP P Tracking Table'!$Q150,Dropdowns!$C$2:$E$15,3,FALSE),"")</f>
        <v/>
      </c>
      <c r="S150" s="65" t="str">
        <f>IFERROR(VLOOKUP('BMP P Tracking Table'!$R150,Dropdowns!$Q$3:$R$23,2,FALSE),"")</f>
        <v/>
      </c>
      <c r="T150" s="65"/>
      <c r="U150" s="65"/>
      <c r="V150" s="65"/>
      <c r="W150" s="65"/>
      <c r="X150" s="65"/>
      <c r="Y150" s="65"/>
      <c r="Z150" s="65"/>
      <c r="AA150" s="65"/>
      <c r="AB150" s="65"/>
      <c r="AC150" s="97"/>
      <c r="AD150" s="65"/>
      <c r="AE150" s="104" t="str">
        <f>IFERROR('BMP P Tracking Table'!$V150*VLOOKUP('BMP P Tracking Table'!$R150,'Loading Rates'!$B$1:$L$24,4,FALSE)+IF('BMP P Tracking Table'!$W150="By HSG",'BMP P Tracking Table'!$X150*VLOOKUP('BMP P Tracking Table'!$R150,'Loading Rates'!$B$1:$L$24,6,FALSE)+'BMP P Tracking Table'!$Y150*VLOOKUP('BMP P Tracking Table'!$R150,'Loading Rates'!$B$1:$L$24,7,FALSE)+'BMP P Tracking Table'!$Z150*VLOOKUP('BMP P Tracking Table'!$R150,'Loading Rates'!$B$1:$L$24,8,FALSE)+'BMP P Tracking Table'!$AA150*VLOOKUP('BMP P Tracking Table'!$R150,'Loading Rates'!$B$1:$L$24,9,FALSE),'BMP P Tracking Table'!$AB150*VLOOKUP('BMP P Tracking Table'!$R150,'Loading Rates'!$B$1:$L$24,10,FALSE)),"")</f>
        <v/>
      </c>
      <c r="AF150" s="104" t="str">
        <f>IFERROR(MIN(2,IF('BMP P Tracking Table'!$W150="Total Pervious",(-(3630*'BMP P Tracking Table'!$V150+20.691*'BMP P Tracking Table'!$AB150)+SQRT((3630*'BMP P Tracking Table'!$V150+20.691*'BMP P Tracking Table'!$AB150)^2-(4*(996.798*'BMP P Tracking Table'!$AB150)*-'BMP P Tracking Table'!$AC150)))/(2*(996.798*'BMP P Tracking Table'!$AB150)),IF(SUM('BMP P Tracking Table'!$X150:$AA150)=0,'BMP P Tracking Table'!$AC150/(-3630*'BMP P Tracking Table'!$V150),(-(3630*'BMP P Tracking Table'!$V150+20.691*'BMP P Tracking Table'!$AA150-216.711*'BMP P Tracking Table'!$Z150-83.853*'BMP P Tracking Table'!$Y150-42.834*'BMP P Tracking Table'!$X150)+SQRT((3630*'BMP P Tracking Table'!$V150+20.691*'BMP P Tracking Table'!$AA150-216.711*'BMP P Tracking Table'!$Z150-83.853*'BMP P Tracking Table'!$Y150-42.834*'BMP P Tracking Table'!$X150)^2-(4*(149.919*'BMP P Tracking Table'!$X150+236.676*'BMP P Tracking Table'!$Y150+726*'BMP P Tracking Table'!$Z150+996.798*'BMP P Tracking Table'!$AA150)*-'BMP P Tracking Table'!$AC150)))/(2*(149.919*'BMP P Tracking Table'!$X150+236.676*'BMP P Tracking Table'!$Y150+726*'BMP P Tracking Table'!$Z150+996.798*'BMP P Tracking Table'!$AA150))))),"")</f>
        <v/>
      </c>
      <c r="AG150" s="104" t="str">
        <f>IFERROR((VLOOKUP(CONCATENATE('BMP P Tracking Table'!$U150," ",'BMP P Tracking Table'!$AD150),'Performance Curves'!$C$1:$L$46,_xlfn.SINGLE(MATCH('BMP P Tracking Table'!$AF150,'Performance Curves'!$D$1:$L$1,1))+2,FALSE)-VLOOKUP(CONCATENATE('BMP P Tracking Table'!$U150," ",'BMP P Tracking Table'!$AD150),'Performance Curves'!$C$1:$L$46,_xlfn.SINGLE(MATCH('BMP P Tracking Table'!$AF150,'Performance Curves'!$D$1:$L$1,1))+1,FALSE)),"")</f>
        <v/>
      </c>
      <c r="AH150" s="104" t="str">
        <f>IFERROR(('BMP P Tracking Table'!$AF150-INDEX('Performance Curves'!$D$1:$L$1,1,MATCH('BMP P Tracking Table'!$AF150,'Performance Curves'!$D$1:$L$1,1)))/(INDEX('Performance Curves'!$D$1:$L$1,1,MATCH('BMP P Tracking Table'!$AF150,'Performance Curves'!$D$1:$L$1,1)+1)-INDEX('Performance Curves'!$D$1:$L$1,1,MATCH('BMP P Tracking Table'!$AF150,'Performance Curves'!$D$1:$L$1,1))),"")</f>
        <v/>
      </c>
      <c r="AI150" s="103" t="str">
        <f>IFERROR(IF('BMP P Tracking Table'!$AF150=2,VLOOKUP(CONCATENATE('BMP P Tracking Table'!$U150," ",'BMP P Tracking Table'!$AD150),'Performance Curves'!$C$1:$L$46,_xlfn.SINGLE(MATCH('BMP P Tracking Table'!$AF150,'Performance Curves'!$D$1:$L$1,1))+1,FALSE),'BMP P Tracking Table'!$AG150*'BMP P Tracking Table'!$AH150+VLOOKUP(CONCATENATE('BMP P Tracking Table'!$U150," ",'BMP P Tracking Table'!$AD150),'Performance Curves'!$C$1:$L$46,_xlfn.SINGLE(MATCH('BMP P Tracking Table'!$AF150,'Performance Curves'!$D$1:$L$1,1))+1,FALSE)),"")</f>
        <v/>
      </c>
      <c r="AJ150" s="104" t="str">
        <f>IFERROR('BMP P Tracking Table'!$AI150*'BMP P Tracking Table'!$AE150,"")</f>
        <v/>
      </c>
      <c r="AK150" s="65"/>
      <c r="AL150" s="98"/>
      <c r="AM150" s="98"/>
      <c r="AN150" s="64">
        <v>1</v>
      </c>
      <c r="AO150" s="102" t="str">
        <f t="shared" si="16"/>
        <v/>
      </c>
      <c r="AP150" s="98"/>
      <c r="AQ150" s="98"/>
      <c r="AR150" s="98"/>
      <c r="AS150" s="98"/>
      <c r="AT150" s="98"/>
      <c r="AU150" s="98"/>
      <c r="AV150" s="98"/>
      <c r="AW150" s="65"/>
      <c r="AX150" s="99"/>
      <c r="AY150" s="99"/>
      <c r="AZ150" s="104" t="str">
        <f>IF('BMP P Tracking Table'!$AL150="Yes",IF('BMP P Tracking Table'!$AM150="No",'BMP P Tracking Table'!$V150*VLOOKUP('BMP P Tracking Table'!$R150,'Loading Rates'!$B$1:$L$24,4,FALSE)+IF('BMP P Tracking Table'!$W150="By HSG",'BMP P Tracking Table'!$X150*VLOOKUP('BMP P Tracking Table'!$R150,'Loading Rates'!$B$1:$L$24,6,FALSE)+'BMP P Tracking Table'!$Y150*VLOOKUP('BMP P Tracking Table'!$R150,'Loading Rates'!$B$1:$L$24,7,FALSE)+'BMP P Tracking Table'!$Z150*VLOOKUP('BMP P Tracking Table'!$R150,'Loading Rates'!$B$1:$L$24,8,FALSE)+'BMP P Tracking Table'!$AA150*VLOOKUP('BMP P Tracking Table'!$R150,'Loading Rates'!$B$1:$L$24,9,FALSE),'BMP P Tracking Table'!$AB150*VLOOKUP('BMP P Tracking Table'!$R150,'Loading Rates'!$B$1:$L$24,10,FALSE)),'BMP P Tracking Table'!$AP150*VLOOKUP('BMP P Tracking Table'!$R150,'Loading Rates'!$B$1:$L$24,4,FALSE)+IF('BMP P Tracking Table'!$AQ150="By HSG",'BMP P Tracking Table'!$AR150*VLOOKUP('BMP P Tracking Table'!$R150,'Loading Rates'!$B$1:$L$24,6,FALSE)+'BMP P Tracking Table'!$AS150*VLOOKUP('BMP P Tracking Table'!$R150,'Loading Rates'!$B$1:$L$24,7,FALSE)+'BMP P Tracking Table'!$AT150*VLOOKUP('BMP P Tracking Table'!$R150,'Loading Rates'!$B$1:$L$24,8,FALSE)+'BMP P Tracking Table'!$AU150*VLOOKUP('BMP P Tracking Table'!$R150,'Loading Rates'!$B$1:$L$24,9,FALSE),'BMP P Tracking Table'!$AV150*VLOOKUP('BMP P Tracking Table'!$R150,'Loading Rates'!$B$1:$L$24,10,FALSE))),"")</f>
        <v/>
      </c>
      <c r="BA150" s="104" t="str">
        <f>IFERROR(IF('BMP P Tracking Table'!$AM150="Yes",MIN(2,IF('BMP P Tracking Table'!$AQ150="Total Pervious",(-(3630*'BMP P Tracking Table'!$AP150+20.691*'BMP P Tracking Table'!$AV150)+SQRT((3630*'BMP P Tracking Table'!$AP150+20.691*'BMP P Tracking Table'!$AV150)^2-(4*(996.798*'BMP P Tracking Table'!$AV150)*-'BMP P Tracking Table'!$AX150)))/(2*(996.798*'BMP P Tracking Table'!$AV150)),IF(SUM('BMP P Tracking Table'!$AR150:$AU150)=0,'BMP P Tracking Table'!$AV150/(-3630*'BMP P Tracking Table'!$AP150),(-(3630*'BMP P Tracking Table'!$AP150+20.691*'BMP P Tracking Table'!$AU150-216.711*'BMP P Tracking Table'!$AT150-83.853*'BMP P Tracking Table'!$AS150-42.834*'BMP P Tracking Table'!$AR150)+SQRT((3630*'BMP P Tracking Table'!$AP150+20.691*'BMP P Tracking Table'!$AU150-216.711*'BMP P Tracking Table'!$AT150-83.853*'BMP P Tracking Table'!$AS150-42.834*'BMP P Tracking Table'!$AR150)^2-(4*(149.919*'BMP P Tracking Table'!$AR150+236.676*'BMP P Tracking Table'!$AS150+726*'BMP P Tracking Table'!$AT150+996.798*'BMP P Tracking Table'!$AU150)*-'BMP P Tracking Table'!$AX150)))/(2*(149.919*'BMP P Tracking Table'!$AR150+236.676*'BMP P Tracking Table'!$AS150+726*'BMP P Tracking Table'!$AT150+996.798*'BMP P Tracking Table'!$AU150))))),MIN(2,IF('BMP P Tracking Table'!$AQ150="Total Pervious",(-(3630*'BMP P Tracking Table'!$V150+20.691*'BMP P Tracking Table'!$AB150)+SQRT((3630*'BMP P Tracking Table'!$V150+20.691*'BMP P Tracking Table'!$AB150)^2-(4*(996.798*'BMP P Tracking Table'!$AB150)*-'BMP P Tracking Table'!$AX150)))/(2*(996.798*'BMP P Tracking Table'!$AB150)),IF(SUM('BMP P Tracking Table'!$X150:$AA150)=0,'BMP P Tracking Table'!$AX150/(-3630*'BMP P Tracking Table'!$V150),(-(3630*'BMP P Tracking Table'!$V150+20.691*'BMP P Tracking Table'!$AA150-216.711*'BMP P Tracking Table'!$Z150-83.853*'BMP P Tracking Table'!$Y150-42.834*'BMP P Tracking Table'!$X150)+SQRT((3630*'BMP P Tracking Table'!$V150+20.691*'BMP P Tracking Table'!$AA150-216.711*'BMP P Tracking Table'!$Z150-83.853*'BMP P Tracking Table'!$Y150-42.834*'BMP P Tracking Table'!$X150)^2-(4*(149.919*'BMP P Tracking Table'!$X150+236.676*'BMP P Tracking Table'!$Y150+726*'BMP P Tracking Table'!$Z150+996.798*'BMP P Tracking Table'!$AA150)*-'BMP P Tracking Table'!$AX150)))/(2*(149.919*'BMP P Tracking Table'!$X150+236.676*'BMP P Tracking Table'!$Y150+726*'BMP P Tracking Table'!$Z150+996.798*'BMP P Tracking Table'!$AA150)))))),"")</f>
        <v/>
      </c>
      <c r="BB150" s="102" t="str">
        <f>IFERROR((VLOOKUP(CONCATENATE('BMP P Tracking Table'!$AW150," ",'BMP P Tracking Table'!$AY150),'Performance Curves'!$C$1:$L$46,_xlfn.SINGLE(MATCH('BMP P Tracking Table'!$BA150,'Performance Curves'!$D$1:$L$1,1))+2,FALSE)-VLOOKUP(CONCATENATE('BMP P Tracking Table'!$AW150," ",'BMP P Tracking Table'!$AY150),'Performance Curves'!$C$1:$L$46,_xlfn.SINGLE(MATCH('BMP P Tracking Table'!$BA150,'Performance Curves'!$D$1:$L$1,1))+1,FALSE)),"")</f>
        <v/>
      </c>
      <c r="BC150" s="102" t="str">
        <f>IFERROR(('BMP P Tracking Table'!$BA150-INDEX('Performance Curves'!$D$1:$L$1,1,MATCH('BMP P Tracking Table'!$BA150,'Performance Curves'!$D$1:$L$1,1)))/(INDEX('Performance Curves'!$D$1:$L$1,1,MATCH('BMP P Tracking Table'!$BA150,'Performance Curves'!$D$1:$L$1,1)+1)-INDEX('Performance Curves'!$D$1:$L$1,1,MATCH('BMP P Tracking Table'!$BA150,'Performance Curves'!$D$1:$L$1,1))),"")</f>
        <v/>
      </c>
      <c r="BD150" s="103" t="str" cm="1">
        <f t="array" ref="BD150">IFERROR(IF('BMP P Tracking Table'!$BA150=2,VLOOKUP(CONCATENATE('BMP P Tracking Table'!$AW150," ",'BMP P Tracking Table'!$AY150),'Performance Curves'!$C$1:$L$44,_xlfn.SINGLE(MATCH('BMP P Tracking Table'!$BA150,'Performance Curves'!$D$1:$L$1,1))+1,FALSE),'BMP P Tracking Table'!$BB150*'BMP P Tracking Table'!$BC150+VLOOKUP(CONCATENATE('BMP P Tracking Table'!$AW150," ",'BMP P Tracking Table'!$AY150),'Performance Curves'!$C$1:$L$44,_xlfn.SINGLE(MATCH('BMP P Tracking Table'!$BA150,'Performance Curves'!$D$1:$L$1,1))+1,FALSE)),"")</f>
        <v/>
      </c>
      <c r="BE150" s="104" t="str">
        <f>IFERROR('BMP P Tracking Table'!$BD150*'BMP P Tracking Table'!$AZ150,"")</f>
        <v/>
      </c>
      <c r="BF150" s="98"/>
      <c r="BG150" s="37">
        <f t="shared" si="17"/>
        <v>0</v>
      </c>
    </row>
    <row r="151" spans="2:59" s="36" customFormat="1">
      <c r="B151" s="65"/>
      <c r="C151" s="65"/>
      <c r="D151" s="65"/>
      <c r="E151" s="65"/>
      <c r="F151" s="94"/>
      <c r="G151" s="94"/>
      <c r="H151" s="65"/>
      <c r="I151" s="65"/>
      <c r="J151" s="65"/>
      <c r="K151" s="95"/>
      <c r="L151" s="65"/>
      <c r="M151" s="65"/>
      <c r="N151" s="65"/>
      <c r="O151" s="65"/>
      <c r="P151" s="65"/>
      <c r="Q151" s="65"/>
      <c r="R151" s="65" t="str">
        <f>IFERROR(VLOOKUP('BMP P Tracking Table'!$Q151,Dropdowns!$C$2:$E$15,3,FALSE),"")</f>
        <v/>
      </c>
      <c r="S151" s="65" t="str">
        <f>IFERROR(VLOOKUP('BMP P Tracking Table'!$R151,Dropdowns!$Q$3:$R$23,2,FALSE),"")</f>
        <v/>
      </c>
      <c r="T151" s="65"/>
      <c r="U151" s="65"/>
      <c r="V151" s="65"/>
      <c r="W151" s="65"/>
      <c r="X151" s="65"/>
      <c r="Y151" s="65"/>
      <c r="Z151" s="65"/>
      <c r="AA151" s="65"/>
      <c r="AB151" s="65"/>
      <c r="AC151" s="97"/>
      <c r="AD151" s="65"/>
      <c r="AE151" s="104" t="str">
        <f>IFERROR('BMP P Tracking Table'!$V151*VLOOKUP('BMP P Tracking Table'!$R151,'Loading Rates'!$B$1:$L$24,4,FALSE)+IF('BMP P Tracking Table'!$W151="By HSG",'BMP P Tracking Table'!$X151*VLOOKUP('BMP P Tracking Table'!$R151,'Loading Rates'!$B$1:$L$24,6,FALSE)+'BMP P Tracking Table'!$Y151*VLOOKUP('BMP P Tracking Table'!$R151,'Loading Rates'!$B$1:$L$24,7,FALSE)+'BMP P Tracking Table'!$Z151*VLOOKUP('BMP P Tracking Table'!$R151,'Loading Rates'!$B$1:$L$24,8,FALSE)+'BMP P Tracking Table'!$AA151*VLOOKUP('BMP P Tracking Table'!$R151,'Loading Rates'!$B$1:$L$24,9,FALSE),'BMP P Tracking Table'!$AB151*VLOOKUP('BMP P Tracking Table'!$R151,'Loading Rates'!$B$1:$L$24,10,FALSE)),"")</f>
        <v/>
      </c>
      <c r="AF151" s="104" t="str">
        <f>IFERROR(MIN(2,IF('BMP P Tracking Table'!$W151="Total Pervious",(-(3630*'BMP P Tracking Table'!$V151+20.691*'BMP P Tracking Table'!$AB151)+SQRT((3630*'BMP P Tracking Table'!$V151+20.691*'BMP P Tracking Table'!$AB151)^2-(4*(996.798*'BMP P Tracking Table'!$AB151)*-'BMP P Tracking Table'!$AC151)))/(2*(996.798*'BMP P Tracking Table'!$AB151)),IF(SUM('BMP P Tracking Table'!$X151:$AA151)=0,'BMP P Tracking Table'!$AC151/(-3630*'BMP P Tracking Table'!$V151),(-(3630*'BMP P Tracking Table'!$V151+20.691*'BMP P Tracking Table'!$AA151-216.711*'BMP P Tracking Table'!$Z151-83.853*'BMP P Tracking Table'!$Y151-42.834*'BMP P Tracking Table'!$X151)+SQRT((3630*'BMP P Tracking Table'!$V151+20.691*'BMP P Tracking Table'!$AA151-216.711*'BMP P Tracking Table'!$Z151-83.853*'BMP P Tracking Table'!$Y151-42.834*'BMP P Tracking Table'!$X151)^2-(4*(149.919*'BMP P Tracking Table'!$X151+236.676*'BMP P Tracking Table'!$Y151+726*'BMP P Tracking Table'!$Z151+996.798*'BMP P Tracking Table'!$AA151)*-'BMP P Tracking Table'!$AC151)))/(2*(149.919*'BMP P Tracking Table'!$X151+236.676*'BMP P Tracking Table'!$Y151+726*'BMP P Tracking Table'!$Z151+996.798*'BMP P Tracking Table'!$AA151))))),"")</f>
        <v/>
      </c>
      <c r="AG151" s="104" t="str">
        <f>IFERROR((VLOOKUP(CONCATENATE('BMP P Tracking Table'!$U151," ",'BMP P Tracking Table'!$AD151),'Performance Curves'!$C$1:$L$46,_xlfn.SINGLE(MATCH('BMP P Tracking Table'!$AF151,'Performance Curves'!$D$1:$L$1,1))+2,FALSE)-VLOOKUP(CONCATENATE('BMP P Tracking Table'!$U151," ",'BMP P Tracking Table'!$AD151),'Performance Curves'!$C$1:$L$46,_xlfn.SINGLE(MATCH('BMP P Tracking Table'!$AF151,'Performance Curves'!$D$1:$L$1,1))+1,FALSE)),"")</f>
        <v/>
      </c>
      <c r="AH151" s="104" t="str">
        <f>IFERROR(('BMP P Tracking Table'!$AF151-INDEX('Performance Curves'!$D$1:$L$1,1,MATCH('BMP P Tracking Table'!$AF151,'Performance Curves'!$D$1:$L$1,1)))/(INDEX('Performance Curves'!$D$1:$L$1,1,MATCH('BMP P Tracking Table'!$AF151,'Performance Curves'!$D$1:$L$1,1)+1)-INDEX('Performance Curves'!$D$1:$L$1,1,MATCH('BMP P Tracking Table'!$AF151,'Performance Curves'!$D$1:$L$1,1))),"")</f>
        <v/>
      </c>
      <c r="AI151" s="103" t="str">
        <f>IFERROR(IF('BMP P Tracking Table'!$AF151=2,VLOOKUP(CONCATENATE('BMP P Tracking Table'!$U151," ",'BMP P Tracking Table'!$AD151),'Performance Curves'!$C$1:$L$46,_xlfn.SINGLE(MATCH('BMP P Tracking Table'!$AF151,'Performance Curves'!$D$1:$L$1,1))+1,FALSE),'BMP P Tracking Table'!$AG151*'BMP P Tracking Table'!$AH151+VLOOKUP(CONCATENATE('BMP P Tracking Table'!$U151," ",'BMP P Tracking Table'!$AD151),'Performance Curves'!$C$1:$L$46,_xlfn.SINGLE(MATCH('BMP P Tracking Table'!$AF151,'Performance Curves'!$D$1:$L$1,1))+1,FALSE)),"")</f>
        <v/>
      </c>
      <c r="AJ151" s="104" t="str">
        <f>IFERROR('BMP P Tracking Table'!$AI151*'BMP P Tracking Table'!$AE151,"")</f>
        <v/>
      </c>
      <c r="AK151" s="65"/>
      <c r="AL151" s="98"/>
      <c r="AM151" s="98"/>
      <c r="AN151" s="64">
        <v>1</v>
      </c>
      <c r="AO151" s="102" t="str">
        <f t="shared" si="16"/>
        <v/>
      </c>
      <c r="AP151" s="98"/>
      <c r="AQ151" s="98"/>
      <c r="AR151" s="98"/>
      <c r="AS151" s="98"/>
      <c r="AT151" s="98"/>
      <c r="AU151" s="98"/>
      <c r="AV151" s="98"/>
      <c r="AW151" s="65"/>
      <c r="AX151" s="99"/>
      <c r="AY151" s="99"/>
      <c r="AZ151" s="104" t="str">
        <f>IF('BMP P Tracking Table'!$AL151="Yes",IF('BMP P Tracking Table'!$AM151="No",'BMP P Tracking Table'!$V151*VLOOKUP('BMP P Tracking Table'!$R151,'Loading Rates'!$B$1:$L$24,4,FALSE)+IF('BMP P Tracking Table'!$W151="By HSG",'BMP P Tracking Table'!$X151*VLOOKUP('BMP P Tracking Table'!$R151,'Loading Rates'!$B$1:$L$24,6,FALSE)+'BMP P Tracking Table'!$Y151*VLOOKUP('BMP P Tracking Table'!$R151,'Loading Rates'!$B$1:$L$24,7,FALSE)+'BMP P Tracking Table'!$Z151*VLOOKUP('BMP P Tracking Table'!$R151,'Loading Rates'!$B$1:$L$24,8,FALSE)+'BMP P Tracking Table'!$AA151*VLOOKUP('BMP P Tracking Table'!$R151,'Loading Rates'!$B$1:$L$24,9,FALSE),'BMP P Tracking Table'!$AB151*VLOOKUP('BMP P Tracking Table'!$R151,'Loading Rates'!$B$1:$L$24,10,FALSE)),'BMP P Tracking Table'!$AP151*VLOOKUP('BMP P Tracking Table'!$R151,'Loading Rates'!$B$1:$L$24,4,FALSE)+IF('BMP P Tracking Table'!$AQ151="By HSG",'BMP P Tracking Table'!$AR151*VLOOKUP('BMP P Tracking Table'!$R151,'Loading Rates'!$B$1:$L$24,6,FALSE)+'BMP P Tracking Table'!$AS151*VLOOKUP('BMP P Tracking Table'!$R151,'Loading Rates'!$B$1:$L$24,7,FALSE)+'BMP P Tracking Table'!$AT151*VLOOKUP('BMP P Tracking Table'!$R151,'Loading Rates'!$B$1:$L$24,8,FALSE)+'BMP P Tracking Table'!$AU151*VLOOKUP('BMP P Tracking Table'!$R151,'Loading Rates'!$B$1:$L$24,9,FALSE),'BMP P Tracking Table'!$AV151*VLOOKUP('BMP P Tracking Table'!$R151,'Loading Rates'!$B$1:$L$24,10,FALSE))),"")</f>
        <v/>
      </c>
      <c r="BA151" s="104" t="str">
        <f>IFERROR(IF('BMP P Tracking Table'!$AM151="Yes",MIN(2,IF('BMP P Tracking Table'!$AQ151="Total Pervious",(-(3630*'BMP P Tracking Table'!$AP151+20.691*'BMP P Tracking Table'!$AV151)+SQRT((3630*'BMP P Tracking Table'!$AP151+20.691*'BMP P Tracking Table'!$AV151)^2-(4*(996.798*'BMP P Tracking Table'!$AV151)*-'BMP P Tracking Table'!$AX151)))/(2*(996.798*'BMP P Tracking Table'!$AV151)),IF(SUM('BMP P Tracking Table'!$AR151:$AU151)=0,'BMP P Tracking Table'!$AV151/(-3630*'BMP P Tracking Table'!$AP151),(-(3630*'BMP P Tracking Table'!$AP151+20.691*'BMP P Tracking Table'!$AU151-216.711*'BMP P Tracking Table'!$AT151-83.853*'BMP P Tracking Table'!$AS151-42.834*'BMP P Tracking Table'!$AR151)+SQRT((3630*'BMP P Tracking Table'!$AP151+20.691*'BMP P Tracking Table'!$AU151-216.711*'BMP P Tracking Table'!$AT151-83.853*'BMP P Tracking Table'!$AS151-42.834*'BMP P Tracking Table'!$AR151)^2-(4*(149.919*'BMP P Tracking Table'!$AR151+236.676*'BMP P Tracking Table'!$AS151+726*'BMP P Tracking Table'!$AT151+996.798*'BMP P Tracking Table'!$AU151)*-'BMP P Tracking Table'!$AX151)))/(2*(149.919*'BMP P Tracking Table'!$AR151+236.676*'BMP P Tracking Table'!$AS151+726*'BMP P Tracking Table'!$AT151+996.798*'BMP P Tracking Table'!$AU151))))),MIN(2,IF('BMP P Tracking Table'!$AQ151="Total Pervious",(-(3630*'BMP P Tracking Table'!$V151+20.691*'BMP P Tracking Table'!$AB151)+SQRT((3630*'BMP P Tracking Table'!$V151+20.691*'BMP P Tracking Table'!$AB151)^2-(4*(996.798*'BMP P Tracking Table'!$AB151)*-'BMP P Tracking Table'!$AX151)))/(2*(996.798*'BMP P Tracking Table'!$AB151)),IF(SUM('BMP P Tracking Table'!$X151:$AA151)=0,'BMP P Tracking Table'!$AX151/(-3630*'BMP P Tracking Table'!$V151),(-(3630*'BMP P Tracking Table'!$V151+20.691*'BMP P Tracking Table'!$AA151-216.711*'BMP P Tracking Table'!$Z151-83.853*'BMP P Tracking Table'!$Y151-42.834*'BMP P Tracking Table'!$X151)+SQRT((3630*'BMP P Tracking Table'!$V151+20.691*'BMP P Tracking Table'!$AA151-216.711*'BMP P Tracking Table'!$Z151-83.853*'BMP P Tracking Table'!$Y151-42.834*'BMP P Tracking Table'!$X151)^2-(4*(149.919*'BMP P Tracking Table'!$X151+236.676*'BMP P Tracking Table'!$Y151+726*'BMP P Tracking Table'!$Z151+996.798*'BMP P Tracking Table'!$AA151)*-'BMP P Tracking Table'!$AX151)))/(2*(149.919*'BMP P Tracking Table'!$X151+236.676*'BMP P Tracking Table'!$Y151+726*'BMP P Tracking Table'!$Z151+996.798*'BMP P Tracking Table'!$AA151)))))),"")</f>
        <v/>
      </c>
      <c r="BB151" s="102" t="str">
        <f>IFERROR((VLOOKUP(CONCATENATE('BMP P Tracking Table'!$AW151," ",'BMP P Tracking Table'!$AY151),'Performance Curves'!$C$1:$L$46,_xlfn.SINGLE(MATCH('BMP P Tracking Table'!$BA151,'Performance Curves'!$D$1:$L$1,1))+2,FALSE)-VLOOKUP(CONCATENATE('BMP P Tracking Table'!$AW151," ",'BMP P Tracking Table'!$AY151),'Performance Curves'!$C$1:$L$46,_xlfn.SINGLE(MATCH('BMP P Tracking Table'!$BA151,'Performance Curves'!$D$1:$L$1,1))+1,FALSE)),"")</f>
        <v/>
      </c>
      <c r="BC151" s="102" t="str">
        <f>IFERROR(('BMP P Tracking Table'!$BA151-INDEX('Performance Curves'!$D$1:$L$1,1,MATCH('BMP P Tracking Table'!$BA151,'Performance Curves'!$D$1:$L$1,1)))/(INDEX('Performance Curves'!$D$1:$L$1,1,MATCH('BMP P Tracking Table'!$BA151,'Performance Curves'!$D$1:$L$1,1)+1)-INDEX('Performance Curves'!$D$1:$L$1,1,MATCH('BMP P Tracking Table'!$BA151,'Performance Curves'!$D$1:$L$1,1))),"")</f>
        <v/>
      </c>
      <c r="BD151" s="103" t="str" cm="1">
        <f t="array" ref="BD151">IFERROR(IF('BMP P Tracking Table'!$BA151=2,VLOOKUP(CONCATENATE('BMP P Tracking Table'!$AW151," ",'BMP P Tracking Table'!$AY151),'Performance Curves'!$C$1:$L$44,_xlfn.SINGLE(MATCH('BMP P Tracking Table'!$BA151,'Performance Curves'!$D$1:$L$1,1))+1,FALSE),'BMP P Tracking Table'!$BB151*'BMP P Tracking Table'!$BC151+VLOOKUP(CONCATENATE('BMP P Tracking Table'!$AW151," ",'BMP P Tracking Table'!$AY151),'Performance Curves'!$C$1:$L$44,_xlfn.SINGLE(MATCH('BMP P Tracking Table'!$BA151,'Performance Curves'!$D$1:$L$1,1))+1,FALSE)),"")</f>
        <v/>
      </c>
      <c r="BE151" s="104" t="str">
        <f>IFERROR('BMP P Tracking Table'!$BD151*'BMP P Tracking Table'!$AZ151,"")</f>
        <v/>
      </c>
      <c r="BF151" s="98"/>
      <c r="BG151" s="37">
        <f t="shared" si="17"/>
        <v>0</v>
      </c>
    </row>
    <row r="152" spans="2:59" s="36" customFormat="1">
      <c r="B152" s="65"/>
      <c r="C152" s="65"/>
      <c r="D152" s="65"/>
      <c r="E152" s="65"/>
      <c r="F152" s="94"/>
      <c r="G152" s="94"/>
      <c r="H152" s="65"/>
      <c r="I152" s="65"/>
      <c r="J152" s="65"/>
      <c r="K152" s="95"/>
      <c r="L152" s="65"/>
      <c r="M152" s="65"/>
      <c r="N152" s="65"/>
      <c r="O152" s="65"/>
      <c r="P152" s="65"/>
      <c r="Q152" s="65"/>
      <c r="R152" s="65" t="str">
        <f>IFERROR(VLOOKUP('BMP P Tracking Table'!$Q152,Dropdowns!$C$2:$E$15,3,FALSE),"")</f>
        <v/>
      </c>
      <c r="S152" s="65" t="str">
        <f>IFERROR(VLOOKUP('BMP P Tracking Table'!$R152,Dropdowns!$Q$3:$R$23,2,FALSE),"")</f>
        <v/>
      </c>
      <c r="T152" s="65"/>
      <c r="U152" s="65"/>
      <c r="V152" s="65"/>
      <c r="W152" s="65"/>
      <c r="X152" s="65"/>
      <c r="Y152" s="65"/>
      <c r="Z152" s="65"/>
      <c r="AA152" s="65"/>
      <c r="AB152" s="65"/>
      <c r="AC152" s="97"/>
      <c r="AD152" s="65"/>
      <c r="AE152" s="104" t="str">
        <f>IFERROR('BMP P Tracking Table'!$V152*VLOOKUP('BMP P Tracking Table'!$R152,'Loading Rates'!$B$1:$L$24,4,FALSE)+IF('BMP P Tracking Table'!$W152="By HSG",'BMP P Tracking Table'!$X152*VLOOKUP('BMP P Tracking Table'!$R152,'Loading Rates'!$B$1:$L$24,6,FALSE)+'BMP P Tracking Table'!$Y152*VLOOKUP('BMP P Tracking Table'!$R152,'Loading Rates'!$B$1:$L$24,7,FALSE)+'BMP P Tracking Table'!$Z152*VLOOKUP('BMP P Tracking Table'!$R152,'Loading Rates'!$B$1:$L$24,8,FALSE)+'BMP P Tracking Table'!$AA152*VLOOKUP('BMP P Tracking Table'!$R152,'Loading Rates'!$B$1:$L$24,9,FALSE),'BMP P Tracking Table'!$AB152*VLOOKUP('BMP P Tracking Table'!$R152,'Loading Rates'!$B$1:$L$24,10,FALSE)),"")</f>
        <v/>
      </c>
      <c r="AF152" s="104" t="str">
        <f>IFERROR(MIN(2,IF('BMP P Tracking Table'!$W152="Total Pervious",(-(3630*'BMP P Tracking Table'!$V152+20.691*'BMP P Tracking Table'!$AB152)+SQRT((3630*'BMP P Tracking Table'!$V152+20.691*'BMP P Tracking Table'!$AB152)^2-(4*(996.798*'BMP P Tracking Table'!$AB152)*-'BMP P Tracking Table'!$AC152)))/(2*(996.798*'BMP P Tracking Table'!$AB152)),IF(SUM('BMP P Tracking Table'!$X152:$AA152)=0,'BMP P Tracking Table'!$AC152/(-3630*'BMP P Tracking Table'!$V152),(-(3630*'BMP P Tracking Table'!$V152+20.691*'BMP P Tracking Table'!$AA152-216.711*'BMP P Tracking Table'!$Z152-83.853*'BMP P Tracking Table'!$Y152-42.834*'BMP P Tracking Table'!$X152)+SQRT((3630*'BMP P Tracking Table'!$V152+20.691*'BMP P Tracking Table'!$AA152-216.711*'BMP P Tracking Table'!$Z152-83.853*'BMP P Tracking Table'!$Y152-42.834*'BMP P Tracking Table'!$X152)^2-(4*(149.919*'BMP P Tracking Table'!$X152+236.676*'BMP P Tracking Table'!$Y152+726*'BMP P Tracking Table'!$Z152+996.798*'BMP P Tracking Table'!$AA152)*-'BMP P Tracking Table'!$AC152)))/(2*(149.919*'BMP P Tracking Table'!$X152+236.676*'BMP P Tracking Table'!$Y152+726*'BMP P Tracking Table'!$Z152+996.798*'BMP P Tracking Table'!$AA152))))),"")</f>
        <v/>
      </c>
      <c r="AG152" s="104" t="str">
        <f>IFERROR((VLOOKUP(CONCATENATE('BMP P Tracking Table'!$U152," ",'BMP P Tracking Table'!$AD152),'Performance Curves'!$C$1:$L$46,_xlfn.SINGLE(MATCH('BMP P Tracking Table'!$AF152,'Performance Curves'!$D$1:$L$1,1))+2,FALSE)-VLOOKUP(CONCATENATE('BMP P Tracking Table'!$U152," ",'BMP P Tracking Table'!$AD152),'Performance Curves'!$C$1:$L$46,_xlfn.SINGLE(MATCH('BMP P Tracking Table'!$AF152,'Performance Curves'!$D$1:$L$1,1))+1,FALSE)),"")</f>
        <v/>
      </c>
      <c r="AH152" s="104" t="str">
        <f>IFERROR(('BMP P Tracking Table'!$AF152-INDEX('Performance Curves'!$D$1:$L$1,1,MATCH('BMP P Tracking Table'!$AF152,'Performance Curves'!$D$1:$L$1,1)))/(INDEX('Performance Curves'!$D$1:$L$1,1,MATCH('BMP P Tracking Table'!$AF152,'Performance Curves'!$D$1:$L$1,1)+1)-INDEX('Performance Curves'!$D$1:$L$1,1,MATCH('BMP P Tracking Table'!$AF152,'Performance Curves'!$D$1:$L$1,1))),"")</f>
        <v/>
      </c>
      <c r="AI152" s="103" t="str">
        <f>IFERROR(IF('BMP P Tracking Table'!$AF152=2,VLOOKUP(CONCATENATE('BMP P Tracking Table'!$U152," ",'BMP P Tracking Table'!$AD152),'Performance Curves'!$C$1:$L$46,_xlfn.SINGLE(MATCH('BMP P Tracking Table'!$AF152,'Performance Curves'!$D$1:$L$1,1))+1,FALSE),'BMP P Tracking Table'!$AG152*'BMP P Tracking Table'!$AH152+VLOOKUP(CONCATENATE('BMP P Tracking Table'!$U152," ",'BMP P Tracking Table'!$AD152),'Performance Curves'!$C$1:$L$46,_xlfn.SINGLE(MATCH('BMP P Tracking Table'!$AF152,'Performance Curves'!$D$1:$L$1,1))+1,FALSE)),"")</f>
        <v/>
      </c>
      <c r="AJ152" s="104" t="str">
        <f>IFERROR('BMP P Tracking Table'!$AI152*'BMP P Tracking Table'!$AE152,"")</f>
        <v/>
      </c>
      <c r="AK152" s="65"/>
      <c r="AL152" s="98"/>
      <c r="AM152" s="98"/>
      <c r="AN152" s="64">
        <v>1</v>
      </c>
      <c r="AO152" s="102" t="str">
        <f t="shared" si="16"/>
        <v/>
      </c>
      <c r="AP152" s="98"/>
      <c r="AQ152" s="98"/>
      <c r="AR152" s="98"/>
      <c r="AS152" s="98"/>
      <c r="AT152" s="98"/>
      <c r="AU152" s="98"/>
      <c r="AV152" s="98"/>
      <c r="AW152" s="65"/>
      <c r="AX152" s="99"/>
      <c r="AY152" s="99"/>
      <c r="AZ152" s="104" t="str">
        <f>IF('BMP P Tracking Table'!$AL152="Yes",IF('BMP P Tracking Table'!$AM152="No",'BMP P Tracking Table'!$V152*VLOOKUP('BMP P Tracking Table'!$R152,'Loading Rates'!$B$1:$L$24,4,FALSE)+IF('BMP P Tracking Table'!$W152="By HSG",'BMP P Tracking Table'!$X152*VLOOKUP('BMP P Tracking Table'!$R152,'Loading Rates'!$B$1:$L$24,6,FALSE)+'BMP P Tracking Table'!$Y152*VLOOKUP('BMP P Tracking Table'!$R152,'Loading Rates'!$B$1:$L$24,7,FALSE)+'BMP P Tracking Table'!$Z152*VLOOKUP('BMP P Tracking Table'!$R152,'Loading Rates'!$B$1:$L$24,8,FALSE)+'BMP P Tracking Table'!$AA152*VLOOKUP('BMP P Tracking Table'!$R152,'Loading Rates'!$B$1:$L$24,9,FALSE),'BMP P Tracking Table'!$AB152*VLOOKUP('BMP P Tracking Table'!$R152,'Loading Rates'!$B$1:$L$24,10,FALSE)),'BMP P Tracking Table'!$AP152*VLOOKUP('BMP P Tracking Table'!$R152,'Loading Rates'!$B$1:$L$24,4,FALSE)+IF('BMP P Tracking Table'!$AQ152="By HSG",'BMP P Tracking Table'!$AR152*VLOOKUP('BMP P Tracking Table'!$R152,'Loading Rates'!$B$1:$L$24,6,FALSE)+'BMP P Tracking Table'!$AS152*VLOOKUP('BMP P Tracking Table'!$R152,'Loading Rates'!$B$1:$L$24,7,FALSE)+'BMP P Tracking Table'!$AT152*VLOOKUP('BMP P Tracking Table'!$R152,'Loading Rates'!$B$1:$L$24,8,FALSE)+'BMP P Tracking Table'!$AU152*VLOOKUP('BMP P Tracking Table'!$R152,'Loading Rates'!$B$1:$L$24,9,FALSE),'BMP P Tracking Table'!$AV152*VLOOKUP('BMP P Tracking Table'!$R152,'Loading Rates'!$B$1:$L$24,10,FALSE))),"")</f>
        <v/>
      </c>
      <c r="BA152" s="104" t="str">
        <f>IFERROR(IF('BMP P Tracking Table'!$AM152="Yes",MIN(2,IF('BMP P Tracking Table'!$AQ152="Total Pervious",(-(3630*'BMP P Tracking Table'!$AP152+20.691*'BMP P Tracking Table'!$AV152)+SQRT((3630*'BMP P Tracking Table'!$AP152+20.691*'BMP P Tracking Table'!$AV152)^2-(4*(996.798*'BMP P Tracking Table'!$AV152)*-'BMP P Tracking Table'!$AX152)))/(2*(996.798*'BMP P Tracking Table'!$AV152)),IF(SUM('BMP P Tracking Table'!$AR152:$AU152)=0,'BMP P Tracking Table'!$AV152/(-3630*'BMP P Tracking Table'!$AP152),(-(3630*'BMP P Tracking Table'!$AP152+20.691*'BMP P Tracking Table'!$AU152-216.711*'BMP P Tracking Table'!$AT152-83.853*'BMP P Tracking Table'!$AS152-42.834*'BMP P Tracking Table'!$AR152)+SQRT((3630*'BMP P Tracking Table'!$AP152+20.691*'BMP P Tracking Table'!$AU152-216.711*'BMP P Tracking Table'!$AT152-83.853*'BMP P Tracking Table'!$AS152-42.834*'BMP P Tracking Table'!$AR152)^2-(4*(149.919*'BMP P Tracking Table'!$AR152+236.676*'BMP P Tracking Table'!$AS152+726*'BMP P Tracking Table'!$AT152+996.798*'BMP P Tracking Table'!$AU152)*-'BMP P Tracking Table'!$AX152)))/(2*(149.919*'BMP P Tracking Table'!$AR152+236.676*'BMP P Tracking Table'!$AS152+726*'BMP P Tracking Table'!$AT152+996.798*'BMP P Tracking Table'!$AU152))))),MIN(2,IF('BMP P Tracking Table'!$AQ152="Total Pervious",(-(3630*'BMP P Tracking Table'!$V152+20.691*'BMP P Tracking Table'!$AB152)+SQRT((3630*'BMP P Tracking Table'!$V152+20.691*'BMP P Tracking Table'!$AB152)^2-(4*(996.798*'BMP P Tracking Table'!$AB152)*-'BMP P Tracking Table'!$AX152)))/(2*(996.798*'BMP P Tracking Table'!$AB152)),IF(SUM('BMP P Tracking Table'!$X152:$AA152)=0,'BMP P Tracking Table'!$AX152/(-3630*'BMP P Tracking Table'!$V152),(-(3630*'BMP P Tracking Table'!$V152+20.691*'BMP P Tracking Table'!$AA152-216.711*'BMP P Tracking Table'!$Z152-83.853*'BMP P Tracking Table'!$Y152-42.834*'BMP P Tracking Table'!$X152)+SQRT((3630*'BMP P Tracking Table'!$V152+20.691*'BMP P Tracking Table'!$AA152-216.711*'BMP P Tracking Table'!$Z152-83.853*'BMP P Tracking Table'!$Y152-42.834*'BMP P Tracking Table'!$X152)^2-(4*(149.919*'BMP P Tracking Table'!$X152+236.676*'BMP P Tracking Table'!$Y152+726*'BMP P Tracking Table'!$Z152+996.798*'BMP P Tracking Table'!$AA152)*-'BMP P Tracking Table'!$AX152)))/(2*(149.919*'BMP P Tracking Table'!$X152+236.676*'BMP P Tracking Table'!$Y152+726*'BMP P Tracking Table'!$Z152+996.798*'BMP P Tracking Table'!$AA152)))))),"")</f>
        <v/>
      </c>
      <c r="BB152" s="102" t="str">
        <f>IFERROR((VLOOKUP(CONCATENATE('BMP P Tracking Table'!$AW152," ",'BMP P Tracking Table'!$AY152),'Performance Curves'!$C$1:$L$46,_xlfn.SINGLE(MATCH('BMP P Tracking Table'!$BA152,'Performance Curves'!$D$1:$L$1,1))+2,FALSE)-VLOOKUP(CONCATENATE('BMP P Tracking Table'!$AW152," ",'BMP P Tracking Table'!$AY152),'Performance Curves'!$C$1:$L$46,_xlfn.SINGLE(MATCH('BMP P Tracking Table'!$BA152,'Performance Curves'!$D$1:$L$1,1))+1,FALSE)),"")</f>
        <v/>
      </c>
      <c r="BC152" s="102" t="str">
        <f>IFERROR(('BMP P Tracking Table'!$BA152-INDEX('Performance Curves'!$D$1:$L$1,1,MATCH('BMP P Tracking Table'!$BA152,'Performance Curves'!$D$1:$L$1,1)))/(INDEX('Performance Curves'!$D$1:$L$1,1,MATCH('BMP P Tracking Table'!$BA152,'Performance Curves'!$D$1:$L$1,1)+1)-INDEX('Performance Curves'!$D$1:$L$1,1,MATCH('BMP P Tracking Table'!$BA152,'Performance Curves'!$D$1:$L$1,1))),"")</f>
        <v/>
      </c>
      <c r="BD152" s="103" t="str" cm="1">
        <f t="array" ref="BD152">IFERROR(IF('BMP P Tracking Table'!$BA152=2,VLOOKUP(CONCATENATE('BMP P Tracking Table'!$AW152," ",'BMP P Tracking Table'!$AY152),'Performance Curves'!$C$1:$L$44,_xlfn.SINGLE(MATCH('BMP P Tracking Table'!$BA152,'Performance Curves'!$D$1:$L$1,1))+1,FALSE),'BMP P Tracking Table'!$BB152*'BMP P Tracking Table'!$BC152+VLOOKUP(CONCATENATE('BMP P Tracking Table'!$AW152," ",'BMP P Tracking Table'!$AY152),'Performance Curves'!$C$1:$L$44,_xlfn.SINGLE(MATCH('BMP P Tracking Table'!$BA152,'Performance Curves'!$D$1:$L$1,1))+1,FALSE)),"")</f>
        <v/>
      </c>
      <c r="BE152" s="104" t="str">
        <f>IFERROR('BMP P Tracking Table'!$BD152*'BMP P Tracking Table'!$AZ152,"")</f>
        <v/>
      </c>
      <c r="BF152" s="98"/>
      <c r="BG152" s="37">
        <f t="shared" si="17"/>
        <v>0</v>
      </c>
    </row>
    <row r="153" spans="2:59" s="36" customFormat="1">
      <c r="B153" s="65"/>
      <c r="C153" s="65"/>
      <c r="D153" s="65"/>
      <c r="E153" s="65"/>
      <c r="F153" s="94"/>
      <c r="G153" s="94"/>
      <c r="H153" s="65"/>
      <c r="I153" s="65"/>
      <c r="J153" s="65"/>
      <c r="K153" s="95"/>
      <c r="L153" s="65"/>
      <c r="M153" s="65"/>
      <c r="N153" s="65"/>
      <c r="O153" s="65"/>
      <c r="P153" s="65"/>
      <c r="Q153" s="65"/>
      <c r="R153" s="65" t="str">
        <f>IFERROR(VLOOKUP('BMP P Tracking Table'!$Q153,Dropdowns!$C$2:$E$15,3,FALSE),"")</f>
        <v/>
      </c>
      <c r="S153" s="65" t="str">
        <f>IFERROR(VLOOKUP('BMP P Tracking Table'!$R153,Dropdowns!$Q$3:$R$23,2,FALSE),"")</f>
        <v/>
      </c>
      <c r="T153" s="65"/>
      <c r="U153" s="65"/>
      <c r="V153" s="65"/>
      <c r="W153" s="65"/>
      <c r="X153" s="65"/>
      <c r="Y153" s="65"/>
      <c r="Z153" s="65"/>
      <c r="AA153" s="65"/>
      <c r="AB153" s="65"/>
      <c r="AC153" s="97"/>
      <c r="AD153" s="65"/>
      <c r="AE153" s="104" t="str">
        <f>IFERROR('BMP P Tracking Table'!$V153*VLOOKUP('BMP P Tracking Table'!$R153,'Loading Rates'!$B$1:$L$24,4,FALSE)+IF('BMP P Tracking Table'!$W153="By HSG",'BMP P Tracking Table'!$X153*VLOOKUP('BMP P Tracking Table'!$R153,'Loading Rates'!$B$1:$L$24,6,FALSE)+'BMP P Tracking Table'!$Y153*VLOOKUP('BMP P Tracking Table'!$R153,'Loading Rates'!$B$1:$L$24,7,FALSE)+'BMP P Tracking Table'!$Z153*VLOOKUP('BMP P Tracking Table'!$R153,'Loading Rates'!$B$1:$L$24,8,FALSE)+'BMP P Tracking Table'!$AA153*VLOOKUP('BMP P Tracking Table'!$R153,'Loading Rates'!$B$1:$L$24,9,FALSE),'BMP P Tracking Table'!$AB153*VLOOKUP('BMP P Tracking Table'!$R153,'Loading Rates'!$B$1:$L$24,10,FALSE)),"")</f>
        <v/>
      </c>
      <c r="AF153" s="104" t="str">
        <f>IFERROR(MIN(2,IF('BMP P Tracking Table'!$W153="Total Pervious",(-(3630*'BMP P Tracking Table'!$V153+20.691*'BMP P Tracking Table'!$AB153)+SQRT((3630*'BMP P Tracking Table'!$V153+20.691*'BMP P Tracking Table'!$AB153)^2-(4*(996.798*'BMP P Tracking Table'!$AB153)*-'BMP P Tracking Table'!$AC153)))/(2*(996.798*'BMP P Tracking Table'!$AB153)),IF(SUM('BMP P Tracking Table'!$X153:$AA153)=0,'BMP P Tracking Table'!$AC153/(-3630*'BMP P Tracking Table'!$V153),(-(3630*'BMP P Tracking Table'!$V153+20.691*'BMP P Tracking Table'!$AA153-216.711*'BMP P Tracking Table'!$Z153-83.853*'BMP P Tracking Table'!$Y153-42.834*'BMP P Tracking Table'!$X153)+SQRT((3630*'BMP P Tracking Table'!$V153+20.691*'BMP P Tracking Table'!$AA153-216.711*'BMP P Tracking Table'!$Z153-83.853*'BMP P Tracking Table'!$Y153-42.834*'BMP P Tracking Table'!$X153)^2-(4*(149.919*'BMP P Tracking Table'!$X153+236.676*'BMP P Tracking Table'!$Y153+726*'BMP P Tracking Table'!$Z153+996.798*'BMP P Tracking Table'!$AA153)*-'BMP P Tracking Table'!$AC153)))/(2*(149.919*'BMP P Tracking Table'!$X153+236.676*'BMP P Tracking Table'!$Y153+726*'BMP P Tracking Table'!$Z153+996.798*'BMP P Tracking Table'!$AA153))))),"")</f>
        <v/>
      </c>
      <c r="AG153" s="104" t="str">
        <f>IFERROR((VLOOKUP(CONCATENATE('BMP P Tracking Table'!$U153," ",'BMP P Tracking Table'!$AD153),'Performance Curves'!$C$1:$L$46,_xlfn.SINGLE(MATCH('BMP P Tracking Table'!$AF153,'Performance Curves'!$D$1:$L$1,1))+2,FALSE)-VLOOKUP(CONCATENATE('BMP P Tracking Table'!$U153," ",'BMP P Tracking Table'!$AD153),'Performance Curves'!$C$1:$L$46,_xlfn.SINGLE(MATCH('BMP P Tracking Table'!$AF153,'Performance Curves'!$D$1:$L$1,1))+1,FALSE)),"")</f>
        <v/>
      </c>
      <c r="AH153" s="104" t="str">
        <f>IFERROR(('BMP P Tracking Table'!$AF153-INDEX('Performance Curves'!$D$1:$L$1,1,MATCH('BMP P Tracking Table'!$AF153,'Performance Curves'!$D$1:$L$1,1)))/(INDEX('Performance Curves'!$D$1:$L$1,1,MATCH('BMP P Tracking Table'!$AF153,'Performance Curves'!$D$1:$L$1,1)+1)-INDEX('Performance Curves'!$D$1:$L$1,1,MATCH('BMP P Tracking Table'!$AF153,'Performance Curves'!$D$1:$L$1,1))),"")</f>
        <v/>
      </c>
      <c r="AI153" s="103" t="str">
        <f>IFERROR(IF('BMP P Tracking Table'!$AF153=2,VLOOKUP(CONCATENATE('BMP P Tracking Table'!$U153," ",'BMP P Tracking Table'!$AD153),'Performance Curves'!$C$1:$L$46,_xlfn.SINGLE(MATCH('BMP P Tracking Table'!$AF153,'Performance Curves'!$D$1:$L$1,1))+1,FALSE),'BMP P Tracking Table'!$AG153*'BMP P Tracking Table'!$AH153+VLOOKUP(CONCATENATE('BMP P Tracking Table'!$U153," ",'BMP P Tracking Table'!$AD153),'Performance Curves'!$C$1:$L$46,_xlfn.SINGLE(MATCH('BMP P Tracking Table'!$AF153,'Performance Curves'!$D$1:$L$1,1))+1,FALSE)),"")</f>
        <v/>
      </c>
      <c r="AJ153" s="104" t="str">
        <f>IFERROR('BMP P Tracking Table'!$AI153*'BMP P Tracking Table'!$AE153,"")</f>
        <v/>
      </c>
      <c r="AK153" s="65"/>
      <c r="AL153" s="98"/>
      <c r="AM153" s="98"/>
      <c r="AN153" s="64">
        <v>1</v>
      </c>
      <c r="AO153" s="102" t="str">
        <f t="shared" si="16"/>
        <v/>
      </c>
      <c r="AP153" s="98"/>
      <c r="AQ153" s="98"/>
      <c r="AR153" s="98"/>
      <c r="AS153" s="98"/>
      <c r="AT153" s="98"/>
      <c r="AU153" s="98"/>
      <c r="AV153" s="98"/>
      <c r="AW153" s="65"/>
      <c r="AX153" s="99"/>
      <c r="AY153" s="99"/>
      <c r="AZ153" s="104" t="str">
        <f>IF('BMP P Tracking Table'!$AL153="Yes",IF('BMP P Tracking Table'!$AM153="No",'BMP P Tracking Table'!$V153*VLOOKUP('BMP P Tracking Table'!$R153,'Loading Rates'!$B$1:$L$24,4,FALSE)+IF('BMP P Tracking Table'!$W153="By HSG",'BMP P Tracking Table'!$X153*VLOOKUP('BMP P Tracking Table'!$R153,'Loading Rates'!$B$1:$L$24,6,FALSE)+'BMP P Tracking Table'!$Y153*VLOOKUP('BMP P Tracking Table'!$R153,'Loading Rates'!$B$1:$L$24,7,FALSE)+'BMP P Tracking Table'!$Z153*VLOOKUP('BMP P Tracking Table'!$R153,'Loading Rates'!$B$1:$L$24,8,FALSE)+'BMP P Tracking Table'!$AA153*VLOOKUP('BMP P Tracking Table'!$R153,'Loading Rates'!$B$1:$L$24,9,FALSE),'BMP P Tracking Table'!$AB153*VLOOKUP('BMP P Tracking Table'!$R153,'Loading Rates'!$B$1:$L$24,10,FALSE)),'BMP P Tracking Table'!$AP153*VLOOKUP('BMP P Tracking Table'!$R153,'Loading Rates'!$B$1:$L$24,4,FALSE)+IF('BMP P Tracking Table'!$AQ153="By HSG",'BMP P Tracking Table'!$AR153*VLOOKUP('BMP P Tracking Table'!$R153,'Loading Rates'!$B$1:$L$24,6,FALSE)+'BMP P Tracking Table'!$AS153*VLOOKUP('BMP P Tracking Table'!$R153,'Loading Rates'!$B$1:$L$24,7,FALSE)+'BMP P Tracking Table'!$AT153*VLOOKUP('BMP P Tracking Table'!$R153,'Loading Rates'!$B$1:$L$24,8,FALSE)+'BMP P Tracking Table'!$AU153*VLOOKUP('BMP P Tracking Table'!$R153,'Loading Rates'!$B$1:$L$24,9,FALSE),'BMP P Tracking Table'!$AV153*VLOOKUP('BMP P Tracking Table'!$R153,'Loading Rates'!$B$1:$L$24,10,FALSE))),"")</f>
        <v/>
      </c>
      <c r="BA153" s="104" t="str">
        <f>IFERROR(IF('BMP P Tracking Table'!$AM153="Yes",MIN(2,IF('BMP P Tracking Table'!$AQ153="Total Pervious",(-(3630*'BMP P Tracking Table'!$AP153+20.691*'BMP P Tracking Table'!$AV153)+SQRT((3630*'BMP P Tracking Table'!$AP153+20.691*'BMP P Tracking Table'!$AV153)^2-(4*(996.798*'BMP P Tracking Table'!$AV153)*-'BMP P Tracking Table'!$AX153)))/(2*(996.798*'BMP P Tracking Table'!$AV153)),IF(SUM('BMP P Tracking Table'!$AR153:$AU153)=0,'BMP P Tracking Table'!$AV153/(-3630*'BMP P Tracking Table'!$AP153),(-(3630*'BMP P Tracking Table'!$AP153+20.691*'BMP P Tracking Table'!$AU153-216.711*'BMP P Tracking Table'!$AT153-83.853*'BMP P Tracking Table'!$AS153-42.834*'BMP P Tracking Table'!$AR153)+SQRT((3630*'BMP P Tracking Table'!$AP153+20.691*'BMP P Tracking Table'!$AU153-216.711*'BMP P Tracking Table'!$AT153-83.853*'BMP P Tracking Table'!$AS153-42.834*'BMP P Tracking Table'!$AR153)^2-(4*(149.919*'BMP P Tracking Table'!$AR153+236.676*'BMP P Tracking Table'!$AS153+726*'BMP P Tracking Table'!$AT153+996.798*'BMP P Tracking Table'!$AU153)*-'BMP P Tracking Table'!$AX153)))/(2*(149.919*'BMP P Tracking Table'!$AR153+236.676*'BMP P Tracking Table'!$AS153+726*'BMP P Tracking Table'!$AT153+996.798*'BMP P Tracking Table'!$AU153))))),MIN(2,IF('BMP P Tracking Table'!$AQ153="Total Pervious",(-(3630*'BMP P Tracking Table'!$V153+20.691*'BMP P Tracking Table'!$AB153)+SQRT((3630*'BMP P Tracking Table'!$V153+20.691*'BMP P Tracking Table'!$AB153)^2-(4*(996.798*'BMP P Tracking Table'!$AB153)*-'BMP P Tracking Table'!$AX153)))/(2*(996.798*'BMP P Tracking Table'!$AB153)),IF(SUM('BMP P Tracking Table'!$X153:$AA153)=0,'BMP P Tracking Table'!$AX153/(-3630*'BMP P Tracking Table'!$V153),(-(3630*'BMP P Tracking Table'!$V153+20.691*'BMP P Tracking Table'!$AA153-216.711*'BMP P Tracking Table'!$Z153-83.853*'BMP P Tracking Table'!$Y153-42.834*'BMP P Tracking Table'!$X153)+SQRT((3630*'BMP P Tracking Table'!$V153+20.691*'BMP P Tracking Table'!$AA153-216.711*'BMP P Tracking Table'!$Z153-83.853*'BMP P Tracking Table'!$Y153-42.834*'BMP P Tracking Table'!$X153)^2-(4*(149.919*'BMP P Tracking Table'!$X153+236.676*'BMP P Tracking Table'!$Y153+726*'BMP P Tracking Table'!$Z153+996.798*'BMP P Tracking Table'!$AA153)*-'BMP P Tracking Table'!$AX153)))/(2*(149.919*'BMP P Tracking Table'!$X153+236.676*'BMP P Tracking Table'!$Y153+726*'BMP P Tracking Table'!$Z153+996.798*'BMP P Tracking Table'!$AA153)))))),"")</f>
        <v/>
      </c>
      <c r="BB153" s="102" t="str">
        <f>IFERROR((VLOOKUP(CONCATENATE('BMP P Tracking Table'!$AW153," ",'BMP P Tracking Table'!$AY153),'Performance Curves'!$C$1:$L$46,_xlfn.SINGLE(MATCH('BMP P Tracking Table'!$BA153,'Performance Curves'!$D$1:$L$1,1))+2,FALSE)-VLOOKUP(CONCATENATE('BMP P Tracking Table'!$AW153," ",'BMP P Tracking Table'!$AY153),'Performance Curves'!$C$1:$L$46,_xlfn.SINGLE(MATCH('BMP P Tracking Table'!$BA153,'Performance Curves'!$D$1:$L$1,1))+1,FALSE)),"")</f>
        <v/>
      </c>
      <c r="BC153" s="102" t="str">
        <f>IFERROR(('BMP P Tracking Table'!$BA153-INDEX('Performance Curves'!$D$1:$L$1,1,MATCH('BMP P Tracking Table'!$BA153,'Performance Curves'!$D$1:$L$1,1)))/(INDEX('Performance Curves'!$D$1:$L$1,1,MATCH('BMP P Tracking Table'!$BA153,'Performance Curves'!$D$1:$L$1,1)+1)-INDEX('Performance Curves'!$D$1:$L$1,1,MATCH('BMP P Tracking Table'!$BA153,'Performance Curves'!$D$1:$L$1,1))),"")</f>
        <v/>
      </c>
      <c r="BD153" s="103" t="str" cm="1">
        <f t="array" ref="BD153">IFERROR(IF('BMP P Tracking Table'!$BA153=2,VLOOKUP(CONCATENATE('BMP P Tracking Table'!$AW153," ",'BMP P Tracking Table'!$AY153),'Performance Curves'!$C$1:$L$44,_xlfn.SINGLE(MATCH('BMP P Tracking Table'!$BA153,'Performance Curves'!$D$1:$L$1,1))+1,FALSE),'BMP P Tracking Table'!$BB153*'BMP P Tracking Table'!$BC153+VLOOKUP(CONCATENATE('BMP P Tracking Table'!$AW153," ",'BMP P Tracking Table'!$AY153),'Performance Curves'!$C$1:$L$44,_xlfn.SINGLE(MATCH('BMP P Tracking Table'!$BA153,'Performance Curves'!$D$1:$L$1,1))+1,FALSE)),"")</f>
        <v/>
      </c>
      <c r="BE153" s="104" t="str">
        <f>IFERROR('BMP P Tracking Table'!$BD153*'BMP P Tracking Table'!$AZ153,"")</f>
        <v/>
      </c>
      <c r="BF153" s="98"/>
      <c r="BG153" s="37">
        <f t="shared" si="17"/>
        <v>0</v>
      </c>
    </row>
    <row r="154" spans="2:59" s="36" customFormat="1">
      <c r="B154" s="65"/>
      <c r="C154" s="65"/>
      <c r="D154" s="65"/>
      <c r="E154" s="65"/>
      <c r="F154" s="94"/>
      <c r="G154" s="94"/>
      <c r="H154" s="65"/>
      <c r="I154" s="65"/>
      <c r="J154" s="65"/>
      <c r="K154" s="95"/>
      <c r="L154" s="65"/>
      <c r="M154" s="65"/>
      <c r="N154" s="65"/>
      <c r="O154" s="65"/>
      <c r="P154" s="65"/>
      <c r="Q154" s="65"/>
      <c r="R154" s="65" t="str">
        <f>IFERROR(VLOOKUP('BMP P Tracking Table'!$Q154,Dropdowns!$C$2:$E$15,3,FALSE),"")</f>
        <v/>
      </c>
      <c r="S154" s="65" t="str">
        <f>IFERROR(VLOOKUP('BMP P Tracking Table'!$R154,Dropdowns!$Q$3:$R$23,2,FALSE),"")</f>
        <v/>
      </c>
      <c r="T154" s="65"/>
      <c r="U154" s="65"/>
      <c r="V154" s="65"/>
      <c r="W154" s="65"/>
      <c r="X154" s="65"/>
      <c r="Y154" s="65"/>
      <c r="Z154" s="65"/>
      <c r="AA154" s="65"/>
      <c r="AB154" s="65"/>
      <c r="AC154" s="97"/>
      <c r="AD154" s="65"/>
      <c r="AE154" s="104" t="str">
        <f>IFERROR('BMP P Tracking Table'!$V154*VLOOKUP('BMP P Tracking Table'!$R154,'Loading Rates'!$B$1:$L$24,4,FALSE)+IF('BMP P Tracking Table'!$W154="By HSG",'BMP P Tracking Table'!$X154*VLOOKUP('BMP P Tracking Table'!$R154,'Loading Rates'!$B$1:$L$24,6,FALSE)+'BMP P Tracking Table'!$Y154*VLOOKUP('BMP P Tracking Table'!$R154,'Loading Rates'!$B$1:$L$24,7,FALSE)+'BMP P Tracking Table'!$Z154*VLOOKUP('BMP P Tracking Table'!$R154,'Loading Rates'!$B$1:$L$24,8,FALSE)+'BMP P Tracking Table'!$AA154*VLOOKUP('BMP P Tracking Table'!$R154,'Loading Rates'!$B$1:$L$24,9,FALSE),'BMP P Tracking Table'!$AB154*VLOOKUP('BMP P Tracking Table'!$R154,'Loading Rates'!$B$1:$L$24,10,FALSE)),"")</f>
        <v/>
      </c>
      <c r="AF154" s="104" t="str">
        <f>IFERROR(MIN(2,IF('BMP P Tracking Table'!$W154="Total Pervious",(-(3630*'BMP P Tracking Table'!$V154+20.691*'BMP P Tracking Table'!$AB154)+SQRT((3630*'BMP P Tracking Table'!$V154+20.691*'BMP P Tracking Table'!$AB154)^2-(4*(996.798*'BMP P Tracking Table'!$AB154)*-'BMP P Tracking Table'!$AC154)))/(2*(996.798*'BMP P Tracking Table'!$AB154)),IF(SUM('BMP P Tracking Table'!$X154:$AA154)=0,'BMP P Tracking Table'!$AC154/(-3630*'BMP P Tracking Table'!$V154),(-(3630*'BMP P Tracking Table'!$V154+20.691*'BMP P Tracking Table'!$AA154-216.711*'BMP P Tracking Table'!$Z154-83.853*'BMP P Tracking Table'!$Y154-42.834*'BMP P Tracking Table'!$X154)+SQRT((3630*'BMP P Tracking Table'!$V154+20.691*'BMP P Tracking Table'!$AA154-216.711*'BMP P Tracking Table'!$Z154-83.853*'BMP P Tracking Table'!$Y154-42.834*'BMP P Tracking Table'!$X154)^2-(4*(149.919*'BMP P Tracking Table'!$X154+236.676*'BMP P Tracking Table'!$Y154+726*'BMP P Tracking Table'!$Z154+996.798*'BMP P Tracking Table'!$AA154)*-'BMP P Tracking Table'!$AC154)))/(2*(149.919*'BMP P Tracking Table'!$X154+236.676*'BMP P Tracking Table'!$Y154+726*'BMP P Tracking Table'!$Z154+996.798*'BMP P Tracking Table'!$AA154))))),"")</f>
        <v/>
      </c>
      <c r="AG154" s="104" t="str">
        <f>IFERROR((VLOOKUP(CONCATENATE('BMP P Tracking Table'!$U154," ",'BMP P Tracking Table'!$AD154),'Performance Curves'!$C$1:$L$46,_xlfn.SINGLE(MATCH('BMP P Tracking Table'!$AF154,'Performance Curves'!$D$1:$L$1,1))+2,FALSE)-VLOOKUP(CONCATENATE('BMP P Tracking Table'!$U154," ",'BMP P Tracking Table'!$AD154),'Performance Curves'!$C$1:$L$46,_xlfn.SINGLE(MATCH('BMP P Tracking Table'!$AF154,'Performance Curves'!$D$1:$L$1,1))+1,FALSE)),"")</f>
        <v/>
      </c>
      <c r="AH154" s="104" t="str">
        <f>IFERROR(('BMP P Tracking Table'!$AF154-INDEX('Performance Curves'!$D$1:$L$1,1,MATCH('BMP P Tracking Table'!$AF154,'Performance Curves'!$D$1:$L$1,1)))/(INDEX('Performance Curves'!$D$1:$L$1,1,MATCH('BMP P Tracking Table'!$AF154,'Performance Curves'!$D$1:$L$1,1)+1)-INDEX('Performance Curves'!$D$1:$L$1,1,MATCH('BMP P Tracking Table'!$AF154,'Performance Curves'!$D$1:$L$1,1))),"")</f>
        <v/>
      </c>
      <c r="AI154" s="103" t="str">
        <f>IFERROR(IF('BMP P Tracking Table'!$AF154=2,VLOOKUP(CONCATENATE('BMP P Tracking Table'!$U154," ",'BMP P Tracking Table'!$AD154),'Performance Curves'!$C$1:$L$46,_xlfn.SINGLE(MATCH('BMP P Tracking Table'!$AF154,'Performance Curves'!$D$1:$L$1,1))+1,FALSE),'BMP P Tracking Table'!$AG154*'BMP P Tracking Table'!$AH154+VLOOKUP(CONCATENATE('BMP P Tracking Table'!$U154," ",'BMP P Tracking Table'!$AD154),'Performance Curves'!$C$1:$L$46,_xlfn.SINGLE(MATCH('BMP P Tracking Table'!$AF154,'Performance Curves'!$D$1:$L$1,1))+1,FALSE)),"")</f>
        <v/>
      </c>
      <c r="AJ154" s="104" t="str">
        <f>IFERROR('BMP P Tracking Table'!$AI154*'BMP P Tracking Table'!$AE154,"")</f>
        <v/>
      </c>
      <c r="AK154" s="65"/>
      <c r="AL154" s="98"/>
      <c r="AM154" s="98"/>
      <c r="AN154" s="64">
        <v>1</v>
      </c>
      <c r="AO154" s="102" t="str">
        <f t="shared" si="16"/>
        <v/>
      </c>
      <c r="AP154" s="98"/>
      <c r="AQ154" s="98"/>
      <c r="AR154" s="98"/>
      <c r="AS154" s="98"/>
      <c r="AT154" s="98"/>
      <c r="AU154" s="98"/>
      <c r="AV154" s="98"/>
      <c r="AW154" s="65"/>
      <c r="AX154" s="99"/>
      <c r="AY154" s="99"/>
      <c r="AZ154" s="104" t="str">
        <f>IF('BMP P Tracking Table'!$AL154="Yes",IF('BMP P Tracking Table'!$AM154="No",'BMP P Tracking Table'!$V154*VLOOKUP('BMP P Tracking Table'!$R154,'Loading Rates'!$B$1:$L$24,4,FALSE)+IF('BMP P Tracking Table'!$W154="By HSG",'BMP P Tracking Table'!$X154*VLOOKUP('BMP P Tracking Table'!$R154,'Loading Rates'!$B$1:$L$24,6,FALSE)+'BMP P Tracking Table'!$Y154*VLOOKUP('BMP P Tracking Table'!$R154,'Loading Rates'!$B$1:$L$24,7,FALSE)+'BMP P Tracking Table'!$Z154*VLOOKUP('BMP P Tracking Table'!$R154,'Loading Rates'!$B$1:$L$24,8,FALSE)+'BMP P Tracking Table'!$AA154*VLOOKUP('BMP P Tracking Table'!$R154,'Loading Rates'!$B$1:$L$24,9,FALSE),'BMP P Tracking Table'!$AB154*VLOOKUP('BMP P Tracking Table'!$R154,'Loading Rates'!$B$1:$L$24,10,FALSE)),'BMP P Tracking Table'!$AP154*VLOOKUP('BMP P Tracking Table'!$R154,'Loading Rates'!$B$1:$L$24,4,FALSE)+IF('BMP P Tracking Table'!$AQ154="By HSG",'BMP P Tracking Table'!$AR154*VLOOKUP('BMP P Tracking Table'!$R154,'Loading Rates'!$B$1:$L$24,6,FALSE)+'BMP P Tracking Table'!$AS154*VLOOKUP('BMP P Tracking Table'!$R154,'Loading Rates'!$B$1:$L$24,7,FALSE)+'BMP P Tracking Table'!$AT154*VLOOKUP('BMP P Tracking Table'!$R154,'Loading Rates'!$B$1:$L$24,8,FALSE)+'BMP P Tracking Table'!$AU154*VLOOKUP('BMP P Tracking Table'!$R154,'Loading Rates'!$B$1:$L$24,9,FALSE),'BMP P Tracking Table'!$AV154*VLOOKUP('BMP P Tracking Table'!$R154,'Loading Rates'!$B$1:$L$24,10,FALSE))),"")</f>
        <v/>
      </c>
      <c r="BA154" s="104" t="str">
        <f>IFERROR(IF('BMP P Tracking Table'!$AM154="Yes",MIN(2,IF('BMP P Tracking Table'!$AQ154="Total Pervious",(-(3630*'BMP P Tracking Table'!$AP154+20.691*'BMP P Tracking Table'!$AV154)+SQRT((3630*'BMP P Tracking Table'!$AP154+20.691*'BMP P Tracking Table'!$AV154)^2-(4*(996.798*'BMP P Tracking Table'!$AV154)*-'BMP P Tracking Table'!$AX154)))/(2*(996.798*'BMP P Tracking Table'!$AV154)),IF(SUM('BMP P Tracking Table'!$AR154:$AU154)=0,'BMP P Tracking Table'!$AV154/(-3630*'BMP P Tracking Table'!$AP154),(-(3630*'BMP P Tracking Table'!$AP154+20.691*'BMP P Tracking Table'!$AU154-216.711*'BMP P Tracking Table'!$AT154-83.853*'BMP P Tracking Table'!$AS154-42.834*'BMP P Tracking Table'!$AR154)+SQRT((3630*'BMP P Tracking Table'!$AP154+20.691*'BMP P Tracking Table'!$AU154-216.711*'BMP P Tracking Table'!$AT154-83.853*'BMP P Tracking Table'!$AS154-42.834*'BMP P Tracking Table'!$AR154)^2-(4*(149.919*'BMP P Tracking Table'!$AR154+236.676*'BMP P Tracking Table'!$AS154+726*'BMP P Tracking Table'!$AT154+996.798*'BMP P Tracking Table'!$AU154)*-'BMP P Tracking Table'!$AX154)))/(2*(149.919*'BMP P Tracking Table'!$AR154+236.676*'BMP P Tracking Table'!$AS154+726*'BMP P Tracking Table'!$AT154+996.798*'BMP P Tracking Table'!$AU154))))),MIN(2,IF('BMP P Tracking Table'!$AQ154="Total Pervious",(-(3630*'BMP P Tracking Table'!$V154+20.691*'BMP P Tracking Table'!$AB154)+SQRT((3630*'BMP P Tracking Table'!$V154+20.691*'BMP P Tracking Table'!$AB154)^2-(4*(996.798*'BMP P Tracking Table'!$AB154)*-'BMP P Tracking Table'!$AX154)))/(2*(996.798*'BMP P Tracking Table'!$AB154)),IF(SUM('BMP P Tracking Table'!$X154:$AA154)=0,'BMP P Tracking Table'!$AX154/(-3630*'BMP P Tracking Table'!$V154),(-(3630*'BMP P Tracking Table'!$V154+20.691*'BMP P Tracking Table'!$AA154-216.711*'BMP P Tracking Table'!$Z154-83.853*'BMP P Tracking Table'!$Y154-42.834*'BMP P Tracking Table'!$X154)+SQRT((3630*'BMP P Tracking Table'!$V154+20.691*'BMP P Tracking Table'!$AA154-216.711*'BMP P Tracking Table'!$Z154-83.853*'BMP P Tracking Table'!$Y154-42.834*'BMP P Tracking Table'!$X154)^2-(4*(149.919*'BMP P Tracking Table'!$X154+236.676*'BMP P Tracking Table'!$Y154+726*'BMP P Tracking Table'!$Z154+996.798*'BMP P Tracking Table'!$AA154)*-'BMP P Tracking Table'!$AX154)))/(2*(149.919*'BMP P Tracking Table'!$X154+236.676*'BMP P Tracking Table'!$Y154+726*'BMP P Tracking Table'!$Z154+996.798*'BMP P Tracking Table'!$AA154)))))),"")</f>
        <v/>
      </c>
      <c r="BB154" s="102" t="str">
        <f>IFERROR((VLOOKUP(CONCATENATE('BMP P Tracking Table'!$AW154," ",'BMP P Tracking Table'!$AY154),'Performance Curves'!$C$1:$L$46,_xlfn.SINGLE(MATCH('BMP P Tracking Table'!$BA154,'Performance Curves'!$D$1:$L$1,1))+2,FALSE)-VLOOKUP(CONCATENATE('BMP P Tracking Table'!$AW154," ",'BMP P Tracking Table'!$AY154),'Performance Curves'!$C$1:$L$46,_xlfn.SINGLE(MATCH('BMP P Tracking Table'!$BA154,'Performance Curves'!$D$1:$L$1,1))+1,FALSE)),"")</f>
        <v/>
      </c>
      <c r="BC154" s="102" t="str">
        <f>IFERROR(('BMP P Tracking Table'!$BA154-INDEX('Performance Curves'!$D$1:$L$1,1,MATCH('BMP P Tracking Table'!$BA154,'Performance Curves'!$D$1:$L$1,1)))/(INDEX('Performance Curves'!$D$1:$L$1,1,MATCH('BMP P Tracking Table'!$BA154,'Performance Curves'!$D$1:$L$1,1)+1)-INDEX('Performance Curves'!$D$1:$L$1,1,MATCH('BMP P Tracking Table'!$BA154,'Performance Curves'!$D$1:$L$1,1))),"")</f>
        <v/>
      </c>
      <c r="BD154" s="103" t="str" cm="1">
        <f t="array" ref="BD154">IFERROR(IF('BMP P Tracking Table'!$BA154=2,VLOOKUP(CONCATENATE('BMP P Tracking Table'!$AW154," ",'BMP P Tracking Table'!$AY154),'Performance Curves'!$C$1:$L$44,_xlfn.SINGLE(MATCH('BMP P Tracking Table'!$BA154,'Performance Curves'!$D$1:$L$1,1))+1,FALSE),'BMP P Tracking Table'!$BB154*'BMP P Tracking Table'!$BC154+VLOOKUP(CONCATENATE('BMP P Tracking Table'!$AW154," ",'BMP P Tracking Table'!$AY154),'Performance Curves'!$C$1:$L$44,_xlfn.SINGLE(MATCH('BMP P Tracking Table'!$BA154,'Performance Curves'!$D$1:$L$1,1))+1,FALSE)),"")</f>
        <v/>
      </c>
      <c r="BE154" s="104" t="str">
        <f>IFERROR('BMP P Tracking Table'!$BD154*'BMP P Tracking Table'!$AZ154,"")</f>
        <v/>
      </c>
      <c r="BF154" s="98"/>
      <c r="BG154" s="37">
        <f t="shared" si="17"/>
        <v>0</v>
      </c>
    </row>
    <row r="155" spans="2:59" s="36" customFormat="1">
      <c r="B155" s="65"/>
      <c r="C155" s="65"/>
      <c r="D155" s="65"/>
      <c r="E155" s="65"/>
      <c r="F155" s="94"/>
      <c r="G155" s="94"/>
      <c r="H155" s="65"/>
      <c r="I155" s="65"/>
      <c r="J155" s="65"/>
      <c r="K155" s="95"/>
      <c r="L155" s="65"/>
      <c r="M155" s="65"/>
      <c r="N155" s="65"/>
      <c r="O155" s="65"/>
      <c r="P155" s="65"/>
      <c r="Q155" s="65"/>
      <c r="R155" s="65" t="str">
        <f>IFERROR(VLOOKUP('BMP P Tracking Table'!$Q155,Dropdowns!$C$2:$E$15,3,FALSE),"")</f>
        <v/>
      </c>
      <c r="S155" s="65" t="str">
        <f>IFERROR(VLOOKUP('BMP P Tracking Table'!$R155,Dropdowns!$Q$3:$R$23,2,FALSE),"")</f>
        <v/>
      </c>
      <c r="T155" s="65"/>
      <c r="U155" s="65"/>
      <c r="V155" s="65"/>
      <c r="W155" s="65"/>
      <c r="X155" s="65"/>
      <c r="Y155" s="65"/>
      <c r="Z155" s="65"/>
      <c r="AA155" s="65"/>
      <c r="AB155" s="65"/>
      <c r="AC155" s="97"/>
      <c r="AD155" s="65"/>
      <c r="AE155" s="104" t="str">
        <f>IFERROR('BMP P Tracking Table'!$V155*VLOOKUP('BMP P Tracking Table'!$R155,'Loading Rates'!$B$1:$L$24,4,FALSE)+IF('BMP P Tracking Table'!$W155="By HSG",'BMP P Tracking Table'!$X155*VLOOKUP('BMP P Tracking Table'!$R155,'Loading Rates'!$B$1:$L$24,6,FALSE)+'BMP P Tracking Table'!$Y155*VLOOKUP('BMP P Tracking Table'!$R155,'Loading Rates'!$B$1:$L$24,7,FALSE)+'BMP P Tracking Table'!$Z155*VLOOKUP('BMP P Tracking Table'!$R155,'Loading Rates'!$B$1:$L$24,8,FALSE)+'BMP P Tracking Table'!$AA155*VLOOKUP('BMP P Tracking Table'!$R155,'Loading Rates'!$B$1:$L$24,9,FALSE),'BMP P Tracking Table'!$AB155*VLOOKUP('BMP P Tracking Table'!$R155,'Loading Rates'!$B$1:$L$24,10,FALSE)),"")</f>
        <v/>
      </c>
      <c r="AF155" s="104" t="str">
        <f>IFERROR(MIN(2,IF('BMP P Tracking Table'!$W155="Total Pervious",(-(3630*'BMP P Tracking Table'!$V155+20.691*'BMP P Tracking Table'!$AB155)+SQRT((3630*'BMP P Tracking Table'!$V155+20.691*'BMP P Tracking Table'!$AB155)^2-(4*(996.798*'BMP P Tracking Table'!$AB155)*-'BMP P Tracking Table'!$AC155)))/(2*(996.798*'BMP P Tracking Table'!$AB155)),IF(SUM('BMP P Tracking Table'!$X155:$AA155)=0,'BMP P Tracking Table'!$AC155/(-3630*'BMP P Tracking Table'!$V155),(-(3630*'BMP P Tracking Table'!$V155+20.691*'BMP P Tracking Table'!$AA155-216.711*'BMP P Tracking Table'!$Z155-83.853*'BMP P Tracking Table'!$Y155-42.834*'BMP P Tracking Table'!$X155)+SQRT((3630*'BMP P Tracking Table'!$V155+20.691*'BMP P Tracking Table'!$AA155-216.711*'BMP P Tracking Table'!$Z155-83.853*'BMP P Tracking Table'!$Y155-42.834*'BMP P Tracking Table'!$X155)^2-(4*(149.919*'BMP P Tracking Table'!$X155+236.676*'BMP P Tracking Table'!$Y155+726*'BMP P Tracking Table'!$Z155+996.798*'BMP P Tracking Table'!$AA155)*-'BMP P Tracking Table'!$AC155)))/(2*(149.919*'BMP P Tracking Table'!$X155+236.676*'BMP P Tracking Table'!$Y155+726*'BMP P Tracking Table'!$Z155+996.798*'BMP P Tracking Table'!$AA155))))),"")</f>
        <v/>
      </c>
      <c r="AG155" s="104" t="str">
        <f>IFERROR((VLOOKUP(CONCATENATE('BMP P Tracking Table'!$U155," ",'BMP P Tracking Table'!$AD155),'Performance Curves'!$C$1:$L$46,_xlfn.SINGLE(MATCH('BMP P Tracking Table'!$AF155,'Performance Curves'!$D$1:$L$1,1))+2,FALSE)-VLOOKUP(CONCATENATE('BMP P Tracking Table'!$U155," ",'BMP P Tracking Table'!$AD155),'Performance Curves'!$C$1:$L$46,_xlfn.SINGLE(MATCH('BMP P Tracking Table'!$AF155,'Performance Curves'!$D$1:$L$1,1))+1,FALSE)),"")</f>
        <v/>
      </c>
      <c r="AH155" s="104" t="str">
        <f>IFERROR(('BMP P Tracking Table'!$AF155-INDEX('Performance Curves'!$D$1:$L$1,1,MATCH('BMP P Tracking Table'!$AF155,'Performance Curves'!$D$1:$L$1,1)))/(INDEX('Performance Curves'!$D$1:$L$1,1,MATCH('BMP P Tracking Table'!$AF155,'Performance Curves'!$D$1:$L$1,1)+1)-INDEX('Performance Curves'!$D$1:$L$1,1,MATCH('BMP P Tracking Table'!$AF155,'Performance Curves'!$D$1:$L$1,1))),"")</f>
        <v/>
      </c>
      <c r="AI155" s="103" t="str">
        <f>IFERROR(IF('BMP P Tracking Table'!$AF155=2,VLOOKUP(CONCATENATE('BMP P Tracking Table'!$U155," ",'BMP P Tracking Table'!$AD155),'Performance Curves'!$C$1:$L$46,_xlfn.SINGLE(MATCH('BMP P Tracking Table'!$AF155,'Performance Curves'!$D$1:$L$1,1))+1,FALSE),'BMP P Tracking Table'!$AG155*'BMP P Tracking Table'!$AH155+VLOOKUP(CONCATENATE('BMP P Tracking Table'!$U155," ",'BMP P Tracking Table'!$AD155),'Performance Curves'!$C$1:$L$46,_xlfn.SINGLE(MATCH('BMP P Tracking Table'!$AF155,'Performance Curves'!$D$1:$L$1,1))+1,FALSE)),"")</f>
        <v/>
      </c>
      <c r="AJ155" s="104" t="str">
        <f>IFERROR('BMP P Tracking Table'!$AI155*'BMP P Tracking Table'!$AE155,"")</f>
        <v/>
      </c>
      <c r="AK155" s="65"/>
      <c r="AL155" s="98"/>
      <c r="AM155" s="98"/>
      <c r="AN155" s="64">
        <v>1</v>
      </c>
      <c r="AO155" s="102" t="str">
        <f t="shared" ref="AO155:AO218" si="33">IF(AL155="Yes",IF(BG155&gt;0,IF(ISBLANK(AK155),AJ155,AK155)-IF(ISBLANK(BF155),BE155,BF155),"Enter Info --&gt;"),IF(ISBLANK(AK155),AJ155,AK155))</f>
        <v/>
      </c>
      <c r="AP155" s="98"/>
      <c r="AQ155" s="98"/>
      <c r="AR155" s="98"/>
      <c r="AS155" s="98"/>
      <c r="AT155" s="98"/>
      <c r="AU155" s="98"/>
      <c r="AV155" s="98"/>
      <c r="AW155" s="65"/>
      <c r="AX155" s="99"/>
      <c r="AY155" s="99"/>
      <c r="AZ155" s="104" t="str">
        <f>IF('BMP P Tracking Table'!$AL155="Yes",IF('BMP P Tracking Table'!$AM155="No",'BMP P Tracking Table'!$V155*VLOOKUP('BMP P Tracking Table'!$R155,'Loading Rates'!$B$1:$L$24,4,FALSE)+IF('BMP P Tracking Table'!$W155="By HSG",'BMP P Tracking Table'!$X155*VLOOKUP('BMP P Tracking Table'!$R155,'Loading Rates'!$B$1:$L$24,6,FALSE)+'BMP P Tracking Table'!$Y155*VLOOKUP('BMP P Tracking Table'!$R155,'Loading Rates'!$B$1:$L$24,7,FALSE)+'BMP P Tracking Table'!$Z155*VLOOKUP('BMP P Tracking Table'!$R155,'Loading Rates'!$B$1:$L$24,8,FALSE)+'BMP P Tracking Table'!$AA155*VLOOKUP('BMP P Tracking Table'!$R155,'Loading Rates'!$B$1:$L$24,9,FALSE),'BMP P Tracking Table'!$AB155*VLOOKUP('BMP P Tracking Table'!$R155,'Loading Rates'!$B$1:$L$24,10,FALSE)),'BMP P Tracking Table'!$AP155*VLOOKUP('BMP P Tracking Table'!$R155,'Loading Rates'!$B$1:$L$24,4,FALSE)+IF('BMP P Tracking Table'!$AQ155="By HSG",'BMP P Tracking Table'!$AR155*VLOOKUP('BMP P Tracking Table'!$R155,'Loading Rates'!$B$1:$L$24,6,FALSE)+'BMP P Tracking Table'!$AS155*VLOOKUP('BMP P Tracking Table'!$R155,'Loading Rates'!$B$1:$L$24,7,FALSE)+'BMP P Tracking Table'!$AT155*VLOOKUP('BMP P Tracking Table'!$R155,'Loading Rates'!$B$1:$L$24,8,FALSE)+'BMP P Tracking Table'!$AU155*VLOOKUP('BMP P Tracking Table'!$R155,'Loading Rates'!$B$1:$L$24,9,FALSE),'BMP P Tracking Table'!$AV155*VLOOKUP('BMP P Tracking Table'!$R155,'Loading Rates'!$B$1:$L$24,10,FALSE))),"")</f>
        <v/>
      </c>
      <c r="BA155" s="104" t="str">
        <f>IFERROR(IF('BMP P Tracking Table'!$AM155="Yes",MIN(2,IF('BMP P Tracking Table'!$AQ155="Total Pervious",(-(3630*'BMP P Tracking Table'!$AP155+20.691*'BMP P Tracking Table'!$AV155)+SQRT((3630*'BMP P Tracking Table'!$AP155+20.691*'BMP P Tracking Table'!$AV155)^2-(4*(996.798*'BMP P Tracking Table'!$AV155)*-'BMP P Tracking Table'!$AX155)))/(2*(996.798*'BMP P Tracking Table'!$AV155)),IF(SUM('BMP P Tracking Table'!$AR155:$AU155)=0,'BMP P Tracking Table'!$AV155/(-3630*'BMP P Tracking Table'!$AP155),(-(3630*'BMP P Tracking Table'!$AP155+20.691*'BMP P Tracking Table'!$AU155-216.711*'BMP P Tracking Table'!$AT155-83.853*'BMP P Tracking Table'!$AS155-42.834*'BMP P Tracking Table'!$AR155)+SQRT((3630*'BMP P Tracking Table'!$AP155+20.691*'BMP P Tracking Table'!$AU155-216.711*'BMP P Tracking Table'!$AT155-83.853*'BMP P Tracking Table'!$AS155-42.834*'BMP P Tracking Table'!$AR155)^2-(4*(149.919*'BMP P Tracking Table'!$AR155+236.676*'BMP P Tracking Table'!$AS155+726*'BMP P Tracking Table'!$AT155+996.798*'BMP P Tracking Table'!$AU155)*-'BMP P Tracking Table'!$AX155)))/(2*(149.919*'BMP P Tracking Table'!$AR155+236.676*'BMP P Tracking Table'!$AS155+726*'BMP P Tracking Table'!$AT155+996.798*'BMP P Tracking Table'!$AU155))))),MIN(2,IF('BMP P Tracking Table'!$AQ155="Total Pervious",(-(3630*'BMP P Tracking Table'!$V155+20.691*'BMP P Tracking Table'!$AB155)+SQRT((3630*'BMP P Tracking Table'!$V155+20.691*'BMP P Tracking Table'!$AB155)^2-(4*(996.798*'BMP P Tracking Table'!$AB155)*-'BMP P Tracking Table'!$AX155)))/(2*(996.798*'BMP P Tracking Table'!$AB155)),IF(SUM('BMP P Tracking Table'!$X155:$AA155)=0,'BMP P Tracking Table'!$AX155/(-3630*'BMP P Tracking Table'!$V155),(-(3630*'BMP P Tracking Table'!$V155+20.691*'BMP P Tracking Table'!$AA155-216.711*'BMP P Tracking Table'!$Z155-83.853*'BMP P Tracking Table'!$Y155-42.834*'BMP P Tracking Table'!$X155)+SQRT((3630*'BMP P Tracking Table'!$V155+20.691*'BMP P Tracking Table'!$AA155-216.711*'BMP P Tracking Table'!$Z155-83.853*'BMP P Tracking Table'!$Y155-42.834*'BMP P Tracking Table'!$X155)^2-(4*(149.919*'BMP P Tracking Table'!$X155+236.676*'BMP P Tracking Table'!$Y155+726*'BMP P Tracking Table'!$Z155+996.798*'BMP P Tracking Table'!$AA155)*-'BMP P Tracking Table'!$AX155)))/(2*(149.919*'BMP P Tracking Table'!$X155+236.676*'BMP P Tracking Table'!$Y155+726*'BMP P Tracking Table'!$Z155+996.798*'BMP P Tracking Table'!$AA155)))))),"")</f>
        <v/>
      </c>
      <c r="BB155" s="102" t="str">
        <f>IFERROR((VLOOKUP(CONCATENATE('BMP P Tracking Table'!$AW155," ",'BMP P Tracking Table'!$AY155),'Performance Curves'!$C$1:$L$46,_xlfn.SINGLE(MATCH('BMP P Tracking Table'!$BA155,'Performance Curves'!$D$1:$L$1,1))+2,FALSE)-VLOOKUP(CONCATENATE('BMP P Tracking Table'!$AW155," ",'BMP P Tracking Table'!$AY155),'Performance Curves'!$C$1:$L$46,_xlfn.SINGLE(MATCH('BMP P Tracking Table'!$BA155,'Performance Curves'!$D$1:$L$1,1))+1,FALSE)),"")</f>
        <v/>
      </c>
      <c r="BC155" s="102" t="str">
        <f>IFERROR(('BMP P Tracking Table'!$BA155-INDEX('Performance Curves'!$D$1:$L$1,1,MATCH('BMP P Tracking Table'!$BA155,'Performance Curves'!$D$1:$L$1,1)))/(INDEX('Performance Curves'!$D$1:$L$1,1,MATCH('BMP P Tracking Table'!$BA155,'Performance Curves'!$D$1:$L$1,1)+1)-INDEX('Performance Curves'!$D$1:$L$1,1,MATCH('BMP P Tracking Table'!$BA155,'Performance Curves'!$D$1:$L$1,1))),"")</f>
        <v/>
      </c>
      <c r="BD155" s="103" t="str" cm="1">
        <f t="array" ref="BD155">IFERROR(IF('BMP P Tracking Table'!$BA155=2,VLOOKUP(CONCATENATE('BMP P Tracking Table'!$AW155," ",'BMP P Tracking Table'!$AY155),'Performance Curves'!$C$1:$L$44,_xlfn.SINGLE(MATCH('BMP P Tracking Table'!$BA155,'Performance Curves'!$D$1:$L$1,1))+1,FALSE),'BMP P Tracking Table'!$BB155*'BMP P Tracking Table'!$BC155+VLOOKUP(CONCATENATE('BMP P Tracking Table'!$AW155," ",'BMP P Tracking Table'!$AY155),'Performance Curves'!$C$1:$L$44,_xlfn.SINGLE(MATCH('BMP P Tracking Table'!$BA155,'Performance Curves'!$D$1:$L$1,1))+1,FALSE)),"")</f>
        <v/>
      </c>
      <c r="BE155" s="104" t="str">
        <f>IFERROR('BMP P Tracking Table'!$BD155*'BMP P Tracking Table'!$AZ155,"")</f>
        <v/>
      </c>
      <c r="BF155" s="98"/>
      <c r="BG155" s="37">
        <f t="shared" si="17"/>
        <v>0</v>
      </c>
    </row>
    <row r="156" spans="2:59" s="36" customFormat="1">
      <c r="B156" s="65"/>
      <c r="C156" s="65"/>
      <c r="D156" s="65"/>
      <c r="E156" s="65"/>
      <c r="F156" s="94"/>
      <c r="G156" s="94"/>
      <c r="H156" s="65"/>
      <c r="I156" s="65"/>
      <c r="J156" s="65"/>
      <c r="K156" s="95"/>
      <c r="L156" s="65"/>
      <c r="M156" s="65"/>
      <c r="N156" s="65"/>
      <c r="O156" s="65"/>
      <c r="P156" s="65"/>
      <c r="Q156" s="65"/>
      <c r="R156" s="65" t="str">
        <f>IFERROR(VLOOKUP('BMP P Tracking Table'!$Q156,Dropdowns!$C$2:$E$15,3,FALSE),"")</f>
        <v/>
      </c>
      <c r="S156" s="65" t="str">
        <f>IFERROR(VLOOKUP('BMP P Tracking Table'!$R156,Dropdowns!$Q$3:$R$23,2,FALSE),"")</f>
        <v/>
      </c>
      <c r="T156" s="65"/>
      <c r="U156" s="65"/>
      <c r="V156" s="65"/>
      <c r="W156" s="65"/>
      <c r="X156" s="65"/>
      <c r="Y156" s="65"/>
      <c r="Z156" s="65"/>
      <c r="AA156" s="65"/>
      <c r="AB156" s="65"/>
      <c r="AC156" s="97"/>
      <c r="AD156" s="65"/>
      <c r="AE156" s="104" t="str">
        <f>IFERROR('BMP P Tracking Table'!$V156*VLOOKUP('BMP P Tracking Table'!$R156,'Loading Rates'!$B$1:$L$24,4,FALSE)+IF('BMP P Tracking Table'!$W156="By HSG",'BMP P Tracking Table'!$X156*VLOOKUP('BMP P Tracking Table'!$R156,'Loading Rates'!$B$1:$L$24,6,FALSE)+'BMP P Tracking Table'!$Y156*VLOOKUP('BMP P Tracking Table'!$R156,'Loading Rates'!$B$1:$L$24,7,FALSE)+'BMP P Tracking Table'!$Z156*VLOOKUP('BMP P Tracking Table'!$R156,'Loading Rates'!$B$1:$L$24,8,FALSE)+'BMP P Tracking Table'!$AA156*VLOOKUP('BMP P Tracking Table'!$R156,'Loading Rates'!$B$1:$L$24,9,FALSE),'BMP P Tracking Table'!$AB156*VLOOKUP('BMP P Tracking Table'!$R156,'Loading Rates'!$B$1:$L$24,10,FALSE)),"")</f>
        <v/>
      </c>
      <c r="AF156" s="104" t="str">
        <f>IFERROR(MIN(2,IF('BMP P Tracking Table'!$W156="Total Pervious",(-(3630*'BMP P Tracking Table'!$V156+20.691*'BMP P Tracking Table'!$AB156)+SQRT((3630*'BMP P Tracking Table'!$V156+20.691*'BMP P Tracking Table'!$AB156)^2-(4*(996.798*'BMP P Tracking Table'!$AB156)*-'BMP P Tracking Table'!$AC156)))/(2*(996.798*'BMP P Tracking Table'!$AB156)),IF(SUM('BMP P Tracking Table'!$X156:$AA156)=0,'BMP P Tracking Table'!$AC156/(-3630*'BMP P Tracking Table'!$V156),(-(3630*'BMP P Tracking Table'!$V156+20.691*'BMP P Tracking Table'!$AA156-216.711*'BMP P Tracking Table'!$Z156-83.853*'BMP P Tracking Table'!$Y156-42.834*'BMP P Tracking Table'!$X156)+SQRT((3630*'BMP P Tracking Table'!$V156+20.691*'BMP P Tracking Table'!$AA156-216.711*'BMP P Tracking Table'!$Z156-83.853*'BMP P Tracking Table'!$Y156-42.834*'BMP P Tracking Table'!$X156)^2-(4*(149.919*'BMP P Tracking Table'!$X156+236.676*'BMP P Tracking Table'!$Y156+726*'BMP P Tracking Table'!$Z156+996.798*'BMP P Tracking Table'!$AA156)*-'BMP P Tracking Table'!$AC156)))/(2*(149.919*'BMP P Tracking Table'!$X156+236.676*'BMP P Tracking Table'!$Y156+726*'BMP P Tracking Table'!$Z156+996.798*'BMP P Tracking Table'!$AA156))))),"")</f>
        <v/>
      </c>
      <c r="AG156" s="104" t="str">
        <f>IFERROR((VLOOKUP(CONCATENATE('BMP P Tracking Table'!$U156," ",'BMP P Tracking Table'!$AD156),'Performance Curves'!$C$1:$L$46,_xlfn.SINGLE(MATCH('BMP P Tracking Table'!$AF156,'Performance Curves'!$D$1:$L$1,1))+2,FALSE)-VLOOKUP(CONCATENATE('BMP P Tracking Table'!$U156," ",'BMP P Tracking Table'!$AD156),'Performance Curves'!$C$1:$L$46,_xlfn.SINGLE(MATCH('BMP P Tracking Table'!$AF156,'Performance Curves'!$D$1:$L$1,1))+1,FALSE)),"")</f>
        <v/>
      </c>
      <c r="AH156" s="104" t="str">
        <f>IFERROR(('BMP P Tracking Table'!$AF156-INDEX('Performance Curves'!$D$1:$L$1,1,MATCH('BMP P Tracking Table'!$AF156,'Performance Curves'!$D$1:$L$1,1)))/(INDEX('Performance Curves'!$D$1:$L$1,1,MATCH('BMP P Tracking Table'!$AF156,'Performance Curves'!$D$1:$L$1,1)+1)-INDEX('Performance Curves'!$D$1:$L$1,1,MATCH('BMP P Tracking Table'!$AF156,'Performance Curves'!$D$1:$L$1,1))),"")</f>
        <v/>
      </c>
      <c r="AI156" s="103" t="str">
        <f>IFERROR(IF('BMP P Tracking Table'!$AF156=2,VLOOKUP(CONCATENATE('BMP P Tracking Table'!$U156," ",'BMP P Tracking Table'!$AD156),'Performance Curves'!$C$1:$L$46,_xlfn.SINGLE(MATCH('BMP P Tracking Table'!$AF156,'Performance Curves'!$D$1:$L$1,1))+1,FALSE),'BMP P Tracking Table'!$AG156*'BMP P Tracking Table'!$AH156+VLOOKUP(CONCATENATE('BMP P Tracking Table'!$U156," ",'BMP P Tracking Table'!$AD156),'Performance Curves'!$C$1:$L$46,_xlfn.SINGLE(MATCH('BMP P Tracking Table'!$AF156,'Performance Curves'!$D$1:$L$1,1))+1,FALSE)),"")</f>
        <v/>
      </c>
      <c r="AJ156" s="104" t="str">
        <f>IFERROR('BMP P Tracking Table'!$AI156*'BMP P Tracking Table'!$AE156,"")</f>
        <v/>
      </c>
      <c r="AK156" s="65"/>
      <c r="AL156" s="98"/>
      <c r="AM156" s="98"/>
      <c r="AN156" s="64">
        <v>1</v>
      </c>
      <c r="AO156" s="102" t="str">
        <f t="shared" si="33"/>
        <v/>
      </c>
      <c r="AP156" s="98"/>
      <c r="AQ156" s="98"/>
      <c r="AR156" s="98"/>
      <c r="AS156" s="98"/>
      <c r="AT156" s="98"/>
      <c r="AU156" s="98"/>
      <c r="AV156" s="98"/>
      <c r="AW156" s="65"/>
      <c r="AX156" s="99"/>
      <c r="AY156" s="99"/>
      <c r="AZ156" s="104" t="str">
        <f>IF('BMP P Tracking Table'!$AL156="Yes",IF('BMP P Tracking Table'!$AM156="No",'BMP P Tracking Table'!$V156*VLOOKUP('BMP P Tracking Table'!$R156,'Loading Rates'!$B$1:$L$24,4,FALSE)+IF('BMP P Tracking Table'!$W156="By HSG",'BMP P Tracking Table'!$X156*VLOOKUP('BMP P Tracking Table'!$R156,'Loading Rates'!$B$1:$L$24,6,FALSE)+'BMP P Tracking Table'!$Y156*VLOOKUP('BMP P Tracking Table'!$R156,'Loading Rates'!$B$1:$L$24,7,FALSE)+'BMP P Tracking Table'!$Z156*VLOOKUP('BMP P Tracking Table'!$R156,'Loading Rates'!$B$1:$L$24,8,FALSE)+'BMP P Tracking Table'!$AA156*VLOOKUP('BMP P Tracking Table'!$R156,'Loading Rates'!$B$1:$L$24,9,FALSE),'BMP P Tracking Table'!$AB156*VLOOKUP('BMP P Tracking Table'!$R156,'Loading Rates'!$B$1:$L$24,10,FALSE)),'BMP P Tracking Table'!$AP156*VLOOKUP('BMP P Tracking Table'!$R156,'Loading Rates'!$B$1:$L$24,4,FALSE)+IF('BMP P Tracking Table'!$AQ156="By HSG",'BMP P Tracking Table'!$AR156*VLOOKUP('BMP P Tracking Table'!$R156,'Loading Rates'!$B$1:$L$24,6,FALSE)+'BMP P Tracking Table'!$AS156*VLOOKUP('BMP P Tracking Table'!$R156,'Loading Rates'!$B$1:$L$24,7,FALSE)+'BMP P Tracking Table'!$AT156*VLOOKUP('BMP P Tracking Table'!$R156,'Loading Rates'!$B$1:$L$24,8,FALSE)+'BMP P Tracking Table'!$AU156*VLOOKUP('BMP P Tracking Table'!$R156,'Loading Rates'!$B$1:$L$24,9,FALSE),'BMP P Tracking Table'!$AV156*VLOOKUP('BMP P Tracking Table'!$R156,'Loading Rates'!$B$1:$L$24,10,FALSE))),"")</f>
        <v/>
      </c>
      <c r="BA156" s="104" t="str">
        <f>IFERROR(IF('BMP P Tracking Table'!$AM156="Yes",MIN(2,IF('BMP P Tracking Table'!$AQ156="Total Pervious",(-(3630*'BMP P Tracking Table'!$AP156+20.691*'BMP P Tracking Table'!$AV156)+SQRT((3630*'BMP P Tracking Table'!$AP156+20.691*'BMP P Tracking Table'!$AV156)^2-(4*(996.798*'BMP P Tracking Table'!$AV156)*-'BMP P Tracking Table'!$AX156)))/(2*(996.798*'BMP P Tracking Table'!$AV156)),IF(SUM('BMP P Tracking Table'!$AR156:$AU156)=0,'BMP P Tracking Table'!$AV156/(-3630*'BMP P Tracking Table'!$AP156),(-(3630*'BMP P Tracking Table'!$AP156+20.691*'BMP P Tracking Table'!$AU156-216.711*'BMP P Tracking Table'!$AT156-83.853*'BMP P Tracking Table'!$AS156-42.834*'BMP P Tracking Table'!$AR156)+SQRT((3630*'BMP P Tracking Table'!$AP156+20.691*'BMP P Tracking Table'!$AU156-216.711*'BMP P Tracking Table'!$AT156-83.853*'BMP P Tracking Table'!$AS156-42.834*'BMP P Tracking Table'!$AR156)^2-(4*(149.919*'BMP P Tracking Table'!$AR156+236.676*'BMP P Tracking Table'!$AS156+726*'BMP P Tracking Table'!$AT156+996.798*'BMP P Tracking Table'!$AU156)*-'BMP P Tracking Table'!$AX156)))/(2*(149.919*'BMP P Tracking Table'!$AR156+236.676*'BMP P Tracking Table'!$AS156+726*'BMP P Tracking Table'!$AT156+996.798*'BMP P Tracking Table'!$AU156))))),MIN(2,IF('BMP P Tracking Table'!$AQ156="Total Pervious",(-(3630*'BMP P Tracking Table'!$V156+20.691*'BMP P Tracking Table'!$AB156)+SQRT((3630*'BMP P Tracking Table'!$V156+20.691*'BMP P Tracking Table'!$AB156)^2-(4*(996.798*'BMP P Tracking Table'!$AB156)*-'BMP P Tracking Table'!$AX156)))/(2*(996.798*'BMP P Tracking Table'!$AB156)),IF(SUM('BMP P Tracking Table'!$X156:$AA156)=0,'BMP P Tracking Table'!$AX156/(-3630*'BMP P Tracking Table'!$V156),(-(3630*'BMP P Tracking Table'!$V156+20.691*'BMP P Tracking Table'!$AA156-216.711*'BMP P Tracking Table'!$Z156-83.853*'BMP P Tracking Table'!$Y156-42.834*'BMP P Tracking Table'!$X156)+SQRT((3630*'BMP P Tracking Table'!$V156+20.691*'BMP P Tracking Table'!$AA156-216.711*'BMP P Tracking Table'!$Z156-83.853*'BMP P Tracking Table'!$Y156-42.834*'BMP P Tracking Table'!$X156)^2-(4*(149.919*'BMP P Tracking Table'!$X156+236.676*'BMP P Tracking Table'!$Y156+726*'BMP P Tracking Table'!$Z156+996.798*'BMP P Tracking Table'!$AA156)*-'BMP P Tracking Table'!$AX156)))/(2*(149.919*'BMP P Tracking Table'!$X156+236.676*'BMP P Tracking Table'!$Y156+726*'BMP P Tracking Table'!$Z156+996.798*'BMP P Tracking Table'!$AA156)))))),"")</f>
        <v/>
      </c>
      <c r="BB156" s="102" t="str">
        <f>IFERROR((VLOOKUP(CONCATENATE('BMP P Tracking Table'!$AW156," ",'BMP P Tracking Table'!$AY156),'Performance Curves'!$C$1:$L$46,_xlfn.SINGLE(MATCH('BMP P Tracking Table'!$BA156,'Performance Curves'!$D$1:$L$1,1))+2,FALSE)-VLOOKUP(CONCATENATE('BMP P Tracking Table'!$AW156," ",'BMP P Tracking Table'!$AY156),'Performance Curves'!$C$1:$L$46,_xlfn.SINGLE(MATCH('BMP P Tracking Table'!$BA156,'Performance Curves'!$D$1:$L$1,1))+1,FALSE)),"")</f>
        <v/>
      </c>
      <c r="BC156" s="102" t="str">
        <f>IFERROR(('BMP P Tracking Table'!$BA156-INDEX('Performance Curves'!$D$1:$L$1,1,MATCH('BMP P Tracking Table'!$BA156,'Performance Curves'!$D$1:$L$1,1)))/(INDEX('Performance Curves'!$D$1:$L$1,1,MATCH('BMP P Tracking Table'!$BA156,'Performance Curves'!$D$1:$L$1,1)+1)-INDEX('Performance Curves'!$D$1:$L$1,1,MATCH('BMP P Tracking Table'!$BA156,'Performance Curves'!$D$1:$L$1,1))),"")</f>
        <v/>
      </c>
      <c r="BD156" s="103" t="str" cm="1">
        <f t="array" ref="BD156">IFERROR(IF('BMP P Tracking Table'!$BA156=2,VLOOKUP(CONCATENATE('BMP P Tracking Table'!$AW156," ",'BMP P Tracking Table'!$AY156),'Performance Curves'!$C$1:$L$44,_xlfn.SINGLE(MATCH('BMP P Tracking Table'!$BA156,'Performance Curves'!$D$1:$L$1,1))+1,FALSE),'BMP P Tracking Table'!$BB156*'BMP P Tracking Table'!$BC156+VLOOKUP(CONCATENATE('BMP P Tracking Table'!$AW156," ",'BMP P Tracking Table'!$AY156),'Performance Curves'!$C$1:$L$44,_xlfn.SINGLE(MATCH('BMP P Tracking Table'!$BA156,'Performance Curves'!$D$1:$L$1,1))+1,FALSE)),"")</f>
        <v/>
      </c>
      <c r="BE156" s="104" t="str">
        <f>IFERROR('BMP P Tracking Table'!$BD156*'BMP P Tracking Table'!$AZ156,"")</f>
        <v/>
      </c>
      <c r="BF156" s="98"/>
      <c r="BG156" s="37">
        <f t="shared" si="17"/>
        <v>0</v>
      </c>
    </row>
    <row r="157" spans="2:59" s="36" customFormat="1">
      <c r="B157" s="65"/>
      <c r="C157" s="65"/>
      <c r="D157" s="65"/>
      <c r="E157" s="65"/>
      <c r="F157" s="94"/>
      <c r="G157" s="94"/>
      <c r="H157" s="65"/>
      <c r="I157" s="65"/>
      <c r="J157" s="65"/>
      <c r="K157" s="95"/>
      <c r="L157" s="65"/>
      <c r="M157" s="65"/>
      <c r="N157" s="65"/>
      <c r="O157" s="65"/>
      <c r="P157" s="65"/>
      <c r="Q157" s="65"/>
      <c r="R157" s="65" t="str">
        <f>IFERROR(VLOOKUP('BMP P Tracking Table'!$Q157,Dropdowns!$C$2:$E$15,3,FALSE),"")</f>
        <v/>
      </c>
      <c r="S157" s="65" t="str">
        <f>IFERROR(VLOOKUP('BMP P Tracking Table'!$R157,Dropdowns!$Q$3:$R$23,2,FALSE),"")</f>
        <v/>
      </c>
      <c r="T157" s="65"/>
      <c r="U157" s="65"/>
      <c r="V157" s="65"/>
      <c r="W157" s="65"/>
      <c r="X157" s="65"/>
      <c r="Y157" s="65"/>
      <c r="Z157" s="65"/>
      <c r="AA157" s="65"/>
      <c r="AB157" s="65"/>
      <c r="AC157" s="97"/>
      <c r="AD157" s="65"/>
      <c r="AE157" s="104" t="str">
        <f>IFERROR('BMP P Tracking Table'!$V157*VLOOKUP('BMP P Tracking Table'!$R157,'Loading Rates'!$B$1:$L$24,4,FALSE)+IF('BMP P Tracking Table'!$W157="By HSG",'BMP P Tracking Table'!$X157*VLOOKUP('BMP P Tracking Table'!$R157,'Loading Rates'!$B$1:$L$24,6,FALSE)+'BMP P Tracking Table'!$Y157*VLOOKUP('BMP P Tracking Table'!$R157,'Loading Rates'!$B$1:$L$24,7,FALSE)+'BMP P Tracking Table'!$Z157*VLOOKUP('BMP P Tracking Table'!$R157,'Loading Rates'!$B$1:$L$24,8,FALSE)+'BMP P Tracking Table'!$AA157*VLOOKUP('BMP P Tracking Table'!$R157,'Loading Rates'!$B$1:$L$24,9,FALSE),'BMP P Tracking Table'!$AB157*VLOOKUP('BMP P Tracking Table'!$R157,'Loading Rates'!$B$1:$L$24,10,FALSE)),"")</f>
        <v/>
      </c>
      <c r="AF157" s="104" t="str">
        <f>IFERROR(MIN(2,IF('BMP P Tracking Table'!$W157="Total Pervious",(-(3630*'BMP P Tracking Table'!$V157+20.691*'BMP P Tracking Table'!$AB157)+SQRT((3630*'BMP P Tracking Table'!$V157+20.691*'BMP P Tracking Table'!$AB157)^2-(4*(996.798*'BMP P Tracking Table'!$AB157)*-'BMP P Tracking Table'!$AC157)))/(2*(996.798*'BMP P Tracking Table'!$AB157)),IF(SUM('BMP P Tracking Table'!$X157:$AA157)=0,'BMP P Tracking Table'!$AC157/(-3630*'BMP P Tracking Table'!$V157),(-(3630*'BMP P Tracking Table'!$V157+20.691*'BMP P Tracking Table'!$AA157-216.711*'BMP P Tracking Table'!$Z157-83.853*'BMP P Tracking Table'!$Y157-42.834*'BMP P Tracking Table'!$X157)+SQRT((3630*'BMP P Tracking Table'!$V157+20.691*'BMP P Tracking Table'!$AA157-216.711*'BMP P Tracking Table'!$Z157-83.853*'BMP P Tracking Table'!$Y157-42.834*'BMP P Tracking Table'!$X157)^2-(4*(149.919*'BMP P Tracking Table'!$X157+236.676*'BMP P Tracking Table'!$Y157+726*'BMP P Tracking Table'!$Z157+996.798*'BMP P Tracking Table'!$AA157)*-'BMP P Tracking Table'!$AC157)))/(2*(149.919*'BMP P Tracking Table'!$X157+236.676*'BMP P Tracking Table'!$Y157+726*'BMP P Tracking Table'!$Z157+996.798*'BMP P Tracking Table'!$AA157))))),"")</f>
        <v/>
      </c>
      <c r="AG157" s="104" t="str">
        <f>IFERROR((VLOOKUP(CONCATENATE('BMP P Tracking Table'!$U157," ",'BMP P Tracking Table'!$AD157),'Performance Curves'!$C$1:$L$46,_xlfn.SINGLE(MATCH('BMP P Tracking Table'!$AF157,'Performance Curves'!$D$1:$L$1,1))+2,FALSE)-VLOOKUP(CONCATENATE('BMP P Tracking Table'!$U157," ",'BMP P Tracking Table'!$AD157),'Performance Curves'!$C$1:$L$46,_xlfn.SINGLE(MATCH('BMP P Tracking Table'!$AF157,'Performance Curves'!$D$1:$L$1,1))+1,FALSE)),"")</f>
        <v/>
      </c>
      <c r="AH157" s="104" t="str">
        <f>IFERROR(('BMP P Tracking Table'!$AF157-INDEX('Performance Curves'!$D$1:$L$1,1,MATCH('BMP P Tracking Table'!$AF157,'Performance Curves'!$D$1:$L$1,1)))/(INDEX('Performance Curves'!$D$1:$L$1,1,MATCH('BMP P Tracking Table'!$AF157,'Performance Curves'!$D$1:$L$1,1)+1)-INDEX('Performance Curves'!$D$1:$L$1,1,MATCH('BMP P Tracking Table'!$AF157,'Performance Curves'!$D$1:$L$1,1))),"")</f>
        <v/>
      </c>
      <c r="AI157" s="103" t="str">
        <f>IFERROR(IF('BMP P Tracking Table'!$AF157=2,VLOOKUP(CONCATENATE('BMP P Tracking Table'!$U157," ",'BMP P Tracking Table'!$AD157),'Performance Curves'!$C$1:$L$46,_xlfn.SINGLE(MATCH('BMP P Tracking Table'!$AF157,'Performance Curves'!$D$1:$L$1,1))+1,FALSE),'BMP P Tracking Table'!$AG157*'BMP P Tracking Table'!$AH157+VLOOKUP(CONCATENATE('BMP P Tracking Table'!$U157," ",'BMP P Tracking Table'!$AD157),'Performance Curves'!$C$1:$L$46,_xlfn.SINGLE(MATCH('BMP P Tracking Table'!$AF157,'Performance Curves'!$D$1:$L$1,1))+1,FALSE)),"")</f>
        <v/>
      </c>
      <c r="AJ157" s="104" t="str">
        <f>IFERROR('BMP P Tracking Table'!$AI157*'BMP P Tracking Table'!$AE157,"")</f>
        <v/>
      </c>
      <c r="AK157" s="65"/>
      <c r="AL157" s="98"/>
      <c r="AM157" s="98"/>
      <c r="AN157" s="64">
        <v>1</v>
      </c>
      <c r="AO157" s="102" t="str">
        <f t="shared" si="33"/>
        <v/>
      </c>
      <c r="AP157" s="98"/>
      <c r="AQ157" s="98"/>
      <c r="AR157" s="98"/>
      <c r="AS157" s="98"/>
      <c r="AT157" s="98"/>
      <c r="AU157" s="98"/>
      <c r="AV157" s="98"/>
      <c r="AW157" s="65"/>
      <c r="AX157" s="99"/>
      <c r="AY157" s="99"/>
      <c r="AZ157" s="104" t="str">
        <f>IF('BMP P Tracking Table'!$AL157="Yes",IF('BMP P Tracking Table'!$AM157="No",'BMP P Tracking Table'!$V157*VLOOKUP('BMP P Tracking Table'!$R157,'Loading Rates'!$B$1:$L$24,4,FALSE)+IF('BMP P Tracking Table'!$W157="By HSG",'BMP P Tracking Table'!$X157*VLOOKUP('BMP P Tracking Table'!$R157,'Loading Rates'!$B$1:$L$24,6,FALSE)+'BMP P Tracking Table'!$Y157*VLOOKUP('BMP P Tracking Table'!$R157,'Loading Rates'!$B$1:$L$24,7,FALSE)+'BMP P Tracking Table'!$Z157*VLOOKUP('BMP P Tracking Table'!$R157,'Loading Rates'!$B$1:$L$24,8,FALSE)+'BMP P Tracking Table'!$AA157*VLOOKUP('BMP P Tracking Table'!$R157,'Loading Rates'!$B$1:$L$24,9,FALSE),'BMP P Tracking Table'!$AB157*VLOOKUP('BMP P Tracking Table'!$R157,'Loading Rates'!$B$1:$L$24,10,FALSE)),'BMP P Tracking Table'!$AP157*VLOOKUP('BMP P Tracking Table'!$R157,'Loading Rates'!$B$1:$L$24,4,FALSE)+IF('BMP P Tracking Table'!$AQ157="By HSG",'BMP P Tracking Table'!$AR157*VLOOKUP('BMP P Tracking Table'!$R157,'Loading Rates'!$B$1:$L$24,6,FALSE)+'BMP P Tracking Table'!$AS157*VLOOKUP('BMP P Tracking Table'!$R157,'Loading Rates'!$B$1:$L$24,7,FALSE)+'BMP P Tracking Table'!$AT157*VLOOKUP('BMP P Tracking Table'!$R157,'Loading Rates'!$B$1:$L$24,8,FALSE)+'BMP P Tracking Table'!$AU157*VLOOKUP('BMP P Tracking Table'!$R157,'Loading Rates'!$B$1:$L$24,9,FALSE),'BMP P Tracking Table'!$AV157*VLOOKUP('BMP P Tracking Table'!$R157,'Loading Rates'!$B$1:$L$24,10,FALSE))),"")</f>
        <v/>
      </c>
      <c r="BA157" s="104" t="str">
        <f>IFERROR(IF('BMP P Tracking Table'!$AM157="Yes",MIN(2,IF('BMP P Tracking Table'!$AQ157="Total Pervious",(-(3630*'BMP P Tracking Table'!$AP157+20.691*'BMP P Tracking Table'!$AV157)+SQRT((3630*'BMP P Tracking Table'!$AP157+20.691*'BMP P Tracking Table'!$AV157)^2-(4*(996.798*'BMP P Tracking Table'!$AV157)*-'BMP P Tracking Table'!$AX157)))/(2*(996.798*'BMP P Tracking Table'!$AV157)),IF(SUM('BMP P Tracking Table'!$AR157:$AU157)=0,'BMP P Tracking Table'!$AV157/(-3630*'BMP P Tracking Table'!$AP157),(-(3630*'BMP P Tracking Table'!$AP157+20.691*'BMP P Tracking Table'!$AU157-216.711*'BMP P Tracking Table'!$AT157-83.853*'BMP P Tracking Table'!$AS157-42.834*'BMP P Tracking Table'!$AR157)+SQRT((3630*'BMP P Tracking Table'!$AP157+20.691*'BMP P Tracking Table'!$AU157-216.711*'BMP P Tracking Table'!$AT157-83.853*'BMP P Tracking Table'!$AS157-42.834*'BMP P Tracking Table'!$AR157)^2-(4*(149.919*'BMP P Tracking Table'!$AR157+236.676*'BMP P Tracking Table'!$AS157+726*'BMP P Tracking Table'!$AT157+996.798*'BMP P Tracking Table'!$AU157)*-'BMP P Tracking Table'!$AX157)))/(2*(149.919*'BMP P Tracking Table'!$AR157+236.676*'BMP P Tracking Table'!$AS157+726*'BMP P Tracking Table'!$AT157+996.798*'BMP P Tracking Table'!$AU157))))),MIN(2,IF('BMP P Tracking Table'!$AQ157="Total Pervious",(-(3630*'BMP P Tracking Table'!$V157+20.691*'BMP P Tracking Table'!$AB157)+SQRT((3630*'BMP P Tracking Table'!$V157+20.691*'BMP P Tracking Table'!$AB157)^2-(4*(996.798*'BMP P Tracking Table'!$AB157)*-'BMP P Tracking Table'!$AX157)))/(2*(996.798*'BMP P Tracking Table'!$AB157)),IF(SUM('BMP P Tracking Table'!$X157:$AA157)=0,'BMP P Tracking Table'!$AX157/(-3630*'BMP P Tracking Table'!$V157),(-(3630*'BMP P Tracking Table'!$V157+20.691*'BMP P Tracking Table'!$AA157-216.711*'BMP P Tracking Table'!$Z157-83.853*'BMP P Tracking Table'!$Y157-42.834*'BMP P Tracking Table'!$X157)+SQRT((3630*'BMP P Tracking Table'!$V157+20.691*'BMP P Tracking Table'!$AA157-216.711*'BMP P Tracking Table'!$Z157-83.853*'BMP P Tracking Table'!$Y157-42.834*'BMP P Tracking Table'!$X157)^2-(4*(149.919*'BMP P Tracking Table'!$X157+236.676*'BMP P Tracking Table'!$Y157+726*'BMP P Tracking Table'!$Z157+996.798*'BMP P Tracking Table'!$AA157)*-'BMP P Tracking Table'!$AX157)))/(2*(149.919*'BMP P Tracking Table'!$X157+236.676*'BMP P Tracking Table'!$Y157+726*'BMP P Tracking Table'!$Z157+996.798*'BMP P Tracking Table'!$AA157)))))),"")</f>
        <v/>
      </c>
      <c r="BB157" s="102" t="str">
        <f>IFERROR((VLOOKUP(CONCATENATE('BMP P Tracking Table'!$AW157," ",'BMP P Tracking Table'!$AY157),'Performance Curves'!$C$1:$L$46,_xlfn.SINGLE(MATCH('BMP P Tracking Table'!$BA157,'Performance Curves'!$D$1:$L$1,1))+2,FALSE)-VLOOKUP(CONCATENATE('BMP P Tracking Table'!$AW157," ",'BMP P Tracking Table'!$AY157),'Performance Curves'!$C$1:$L$46,_xlfn.SINGLE(MATCH('BMP P Tracking Table'!$BA157,'Performance Curves'!$D$1:$L$1,1))+1,FALSE)),"")</f>
        <v/>
      </c>
      <c r="BC157" s="102" t="str">
        <f>IFERROR(('BMP P Tracking Table'!$BA157-INDEX('Performance Curves'!$D$1:$L$1,1,MATCH('BMP P Tracking Table'!$BA157,'Performance Curves'!$D$1:$L$1,1)))/(INDEX('Performance Curves'!$D$1:$L$1,1,MATCH('BMP P Tracking Table'!$BA157,'Performance Curves'!$D$1:$L$1,1)+1)-INDEX('Performance Curves'!$D$1:$L$1,1,MATCH('BMP P Tracking Table'!$BA157,'Performance Curves'!$D$1:$L$1,1))),"")</f>
        <v/>
      </c>
      <c r="BD157" s="103" t="str" cm="1">
        <f t="array" ref="BD157">IFERROR(IF('BMP P Tracking Table'!$BA157=2,VLOOKUP(CONCATENATE('BMP P Tracking Table'!$AW157," ",'BMP P Tracking Table'!$AY157),'Performance Curves'!$C$1:$L$44,_xlfn.SINGLE(MATCH('BMP P Tracking Table'!$BA157,'Performance Curves'!$D$1:$L$1,1))+1,FALSE),'BMP P Tracking Table'!$BB157*'BMP P Tracking Table'!$BC157+VLOOKUP(CONCATENATE('BMP P Tracking Table'!$AW157," ",'BMP P Tracking Table'!$AY157),'Performance Curves'!$C$1:$L$44,_xlfn.SINGLE(MATCH('BMP P Tracking Table'!$BA157,'Performance Curves'!$D$1:$L$1,1))+1,FALSE)),"")</f>
        <v/>
      </c>
      <c r="BE157" s="104" t="str">
        <f>IFERROR('BMP P Tracking Table'!$BD157*'BMP P Tracking Table'!$AZ157,"")</f>
        <v/>
      </c>
      <c r="BF157" s="98"/>
      <c r="BG157" s="37">
        <f t="shared" ref="BG157:BG220" si="34">IFERROR(BE157+BF157,0)</f>
        <v>0</v>
      </c>
    </row>
    <row r="158" spans="2:59" s="36" customFormat="1">
      <c r="B158" s="65"/>
      <c r="C158" s="65"/>
      <c r="D158" s="65"/>
      <c r="E158" s="65"/>
      <c r="F158" s="94"/>
      <c r="G158" s="94"/>
      <c r="H158" s="65"/>
      <c r="I158" s="65"/>
      <c r="J158" s="65"/>
      <c r="K158" s="95"/>
      <c r="L158" s="65"/>
      <c r="M158" s="65"/>
      <c r="N158" s="65"/>
      <c r="O158" s="65"/>
      <c r="P158" s="65"/>
      <c r="Q158" s="65"/>
      <c r="R158" s="65" t="str">
        <f>IFERROR(VLOOKUP('BMP P Tracking Table'!$Q158,Dropdowns!$C$2:$E$15,3,FALSE),"")</f>
        <v/>
      </c>
      <c r="S158" s="65" t="str">
        <f>IFERROR(VLOOKUP('BMP P Tracking Table'!$R158,Dropdowns!$Q$3:$R$23,2,FALSE),"")</f>
        <v/>
      </c>
      <c r="T158" s="65"/>
      <c r="U158" s="65"/>
      <c r="V158" s="65"/>
      <c r="W158" s="65"/>
      <c r="X158" s="65"/>
      <c r="Y158" s="65"/>
      <c r="Z158" s="65"/>
      <c r="AA158" s="65"/>
      <c r="AB158" s="65"/>
      <c r="AC158" s="97"/>
      <c r="AD158" s="65"/>
      <c r="AE158" s="104" t="str">
        <f>IFERROR('BMP P Tracking Table'!$V158*VLOOKUP('BMP P Tracking Table'!$R158,'Loading Rates'!$B$1:$L$24,4,FALSE)+IF('BMP P Tracking Table'!$W158="By HSG",'BMP P Tracking Table'!$X158*VLOOKUP('BMP P Tracking Table'!$R158,'Loading Rates'!$B$1:$L$24,6,FALSE)+'BMP P Tracking Table'!$Y158*VLOOKUP('BMP P Tracking Table'!$R158,'Loading Rates'!$B$1:$L$24,7,FALSE)+'BMP P Tracking Table'!$Z158*VLOOKUP('BMP P Tracking Table'!$R158,'Loading Rates'!$B$1:$L$24,8,FALSE)+'BMP P Tracking Table'!$AA158*VLOOKUP('BMP P Tracking Table'!$R158,'Loading Rates'!$B$1:$L$24,9,FALSE),'BMP P Tracking Table'!$AB158*VLOOKUP('BMP P Tracking Table'!$R158,'Loading Rates'!$B$1:$L$24,10,FALSE)),"")</f>
        <v/>
      </c>
      <c r="AF158" s="104" t="str">
        <f>IFERROR(MIN(2,IF('BMP P Tracking Table'!$W158="Total Pervious",(-(3630*'BMP P Tracking Table'!$V158+20.691*'BMP P Tracking Table'!$AB158)+SQRT((3630*'BMP P Tracking Table'!$V158+20.691*'BMP P Tracking Table'!$AB158)^2-(4*(996.798*'BMP P Tracking Table'!$AB158)*-'BMP P Tracking Table'!$AC158)))/(2*(996.798*'BMP P Tracking Table'!$AB158)),IF(SUM('BMP P Tracking Table'!$X158:$AA158)=0,'BMP P Tracking Table'!$AC158/(-3630*'BMP P Tracking Table'!$V158),(-(3630*'BMP P Tracking Table'!$V158+20.691*'BMP P Tracking Table'!$AA158-216.711*'BMP P Tracking Table'!$Z158-83.853*'BMP P Tracking Table'!$Y158-42.834*'BMP P Tracking Table'!$X158)+SQRT((3630*'BMP P Tracking Table'!$V158+20.691*'BMP P Tracking Table'!$AA158-216.711*'BMP P Tracking Table'!$Z158-83.853*'BMP P Tracking Table'!$Y158-42.834*'BMP P Tracking Table'!$X158)^2-(4*(149.919*'BMP P Tracking Table'!$X158+236.676*'BMP P Tracking Table'!$Y158+726*'BMP P Tracking Table'!$Z158+996.798*'BMP P Tracking Table'!$AA158)*-'BMP P Tracking Table'!$AC158)))/(2*(149.919*'BMP P Tracking Table'!$X158+236.676*'BMP P Tracking Table'!$Y158+726*'BMP P Tracking Table'!$Z158+996.798*'BMP P Tracking Table'!$AA158))))),"")</f>
        <v/>
      </c>
      <c r="AG158" s="104" t="str">
        <f>IFERROR((VLOOKUP(CONCATENATE('BMP P Tracking Table'!$U158," ",'BMP P Tracking Table'!$AD158),'Performance Curves'!$C$1:$L$46,_xlfn.SINGLE(MATCH('BMP P Tracking Table'!$AF158,'Performance Curves'!$D$1:$L$1,1))+2,FALSE)-VLOOKUP(CONCATENATE('BMP P Tracking Table'!$U158," ",'BMP P Tracking Table'!$AD158),'Performance Curves'!$C$1:$L$46,_xlfn.SINGLE(MATCH('BMP P Tracking Table'!$AF158,'Performance Curves'!$D$1:$L$1,1))+1,FALSE)),"")</f>
        <v/>
      </c>
      <c r="AH158" s="104" t="str">
        <f>IFERROR(('BMP P Tracking Table'!$AF158-INDEX('Performance Curves'!$D$1:$L$1,1,MATCH('BMP P Tracking Table'!$AF158,'Performance Curves'!$D$1:$L$1,1)))/(INDEX('Performance Curves'!$D$1:$L$1,1,MATCH('BMP P Tracking Table'!$AF158,'Performance Curves'!$D$1:$L$1,1)+1)-INDEX('Performance Curves'!$D$1:$L$1,1,MATCH('BMP P Tracking Table'!$AF158,'Performance Curves'!$D$1:$L$1,1))),"")</f>
        <v/>
      </c>
      <c r="AI158" s="103" t="str">
        <f>IFERROR(IF('BMP P Tracking Table'!$AF158=2,VLOOKUP(CONCATENATE('BMP P Tracking Table'!$U158," ",'BMP P Tracking Table'!$AD158),'Performance Curves'!$C$1:$L$46,_xlfn.SINGLE(MATCH('BMP P Tracking Table'!$AF158,'Performance Curves'!$D$1:$L$1,1))+1,FALSE),'BMP P Tracking Table'!$AG158*'BMP P Tracking Table'!$AH158+VLOOKUP(CONCATENATE('BMP P Tracking Table'!$U158," ",'BMP P Tracking Table'!$AD158),'Performance Curves'!$C$1:$L$46,_xlfn.SINGLE(MATCH('BMP P Tracking Table'!$AF158,'Performance Curves'!$D$1:$L$1,1))+1,FALSE)),"")</f>
        <v/>
      </c>
      <c r="AJ158" s="104" t="str">
        <f>IFERROR('BMP P Tracking Table'!$AI158*'BMP P Tracking Table'!$AE158,"")</f>
        <v/>
      </c>
      <c r="AK158" s="65"/>
      <c r="AL158" s="98"/>
      <c r="AM158" s="98"/>
      <c r="AN158" s="64">
        <v>1</v>
      </c>
      <c r="AO158" s="102" t="str">
        <f t="shared" si="33"/>
        <v/>
      </c>
      <c r="AP158" s="98"/>
      <c r="AQ158" s="98"/>
      <c r="AR158" s="98"/>
      <c r="AS158" s="98"/>
      <c r="AT158" s="98"/>
      <c r="AU158" s="98"/>
      <c r="AV158" s="98"/>
      <c r="AW158" s="65"/>
      <c r="AX158" s="99"/>
      <c r="AY158" s="99"/>
      <c r="AZ158" s="104" t="str">
        <f>IF('BMP P Tracking Table'!$AL158="Yes",IF('BMP P Tracking Table'!$AM158="No",'BMP P Tracking Table'!$V158*VLOOKUP('BMP P Tracking Table'!$R158,'Loading Rates'!$B$1:$L$24,4,FALSE)+IF('BMP P Tracking Table'!$W158="By HSG",'BMP P Tracking Table'!$X158*VLOOKUP('BMP P Tracking Table'!$R158,'Loading Rates'!$B$1:$L$24,6,FALSE)+'BMP P Tracking Table'!$Y158*VLOOKUP('BMP P Tracking Table'!$R158,'Loading Rates'!$B$1:$L$24,7,FALSE)+'BMP P Tracking Table'!$Z158*VLOOKUP('BMP P Tracking Table'!$R158,'Loading Rates'!$B$1:$L$24,8,FALSE)+'BMP P Tracking Table'!$AA158*VLOOKUP('BMP P Tracking Table'!$R158,'Loading Rates'!$B$1:$L$24,9,FALSE),'BMP P Tracking Table'!$AB158*VLOOKUP('BMP P Tracking Table'!$R158,'Loading Rates'!$B$1:$L$24,10,FALSE)),'BMP P Tracking Table'!$AP158*VLOOKUP('BMP P Tracking Table'!$R158,'Loading Rates'!$B$1:$L$24,4,FALSE)+IF('BMP P Tracking Table'!$AQ158="By HSG",'BMP P Tracking Table'!$AR158*VLOOKUP('BMP P Tracking Table'!$R158,'Loading Rates'!$B$1:$L$24,6,FALSE)+'BMP P Tracking Table'!$AS158*VLOOKUP('BMP P Tracking Table'!$R158,'Loading Rates'!$B$1:$L$24,7,FALSE)+'BMP P Tracking Table'!$AT158*VLOOKUP('BMP P Tracking Table'!$R158,'Loading Rates'!$B$1:$L$24,8,FALSE)+'BMP P Tracking Table'!$AU158*VLOOKUP('BMP P Tracking Table'!$R158,'Loading Rates'!$B$1:$L$24,9,FALSE),'BMP P Tracking Table'!$AV158*VLOOKUP('BMP P Tracking Table'!$R158,'Loading Rates'!$B$1:$L$24,10,FALSE))),"")</f>
        <v/>
      </c>
      <c r="BA158" s="104" t="str">
        <f>IFERROR(IF('BMP P Tracking Table'!$AM158="Yes",MIN(2,IF('BMP P Tracking Table'!$AQ158="Total Pervious",(-(3630*'BMP P Tracking Table'!$AP158+20.691*'BMP P Tracking Table'!$AV158)+SQRT((3630*'BMP P Tracking Table'!$AP158+20.691*'BMP P Tracking Table'!$AV158)^2-(4*(996.798*'BMP P Tracking Table'!$AV158)*-'BMP P Tracking Table'!$AX158)))/(2*(996.798*'BMP P Tracking Table'!$AV158)),IF(SUM('BMP P Tracking Table'!$AR158:$AU158)=0,'BMP P Tracking Table'!$AV158/(-3630*'BMP P Tracking Table'!$AP158),(-(3630*'BMP P Tracking Table'!$AP158+20.691*'BMP P Tracking Table'!$AU158-216.711*'BMP P Tracking Table'!$AT158-83.853*'BMP P Tracking Table'!$AS158-42.834*'BMP P Tracking Table'!$AR158)+SQRT((3630*'BMP P Tracking Table'!$AP158+20.691*'BMP P Tracking Table'!$AU158-216.711*'BMP P Tracking Table'!$AT158-83.853*'BMP P Tracking Table'!$AS158-42.834*'BMP P Tracking Table'!$AR158)^2-(4*(149.919*'BMP P Tracking Table'!$AR158+236.676*'BMP P Tracking Table'!$AS158+726*'BMP P Tracking Table'!$AT158+996.798*'BMP P Tracking Table'!$AU158)*-'BMP P Tracking Table'!$AX158)))/(2*(149.919*'BMP P Tracking Table'!$AR158+236.676*'BMP P Tracking Table'!$AS158+726*'BMP P Tracking Table'!$AT158+996.798*'BMP P Tracking Table'!$AU158))))),MIN(2,IF('BMP P Tracking Table'!$AQ158="Total Pervious",(-(3630*'BMP P Tracking Table'!$V158+20.691*'BMP P Tracking Table'!$AB158)+SQRT((3630*'BMP P Tracking Table'!$V158+20.691*'BMP P Tracking Table'!$AB158)^2-(4*(996.798*'BMP P Tracking Table'!$AB158)*-'BMP P Tracking Table'!$AX158)))/(2*(996.798*'BMP P Tracking Table'!$AB158)),IF(SUM('BMP P Tracking Table'!$X158:$AA158)=0,'BMP P Tracking Table'!$AX158/(-3630*'BMP P Tracking Table'!$V158),(-(3630*'BMP P Tracking Table'!$V158+20.691*'BMP P Tracking Table'!$AA158-216.711*'BMP P Tracking Table'!$Z158-83.853*'BMP P Tracking Table'!$Y158-42.834*'BMP P Tracking Table'!$X158)+SQRT((3630*'BMP P Tracking Table'!$V158+20.691*'BMP P Tracking Table'!$AA158-216.711*'BMP P Tracking Table'!$Z158-83.853*'BMP P Tracking Table'!$Y158-42.834*'BMP P Tracking Table'!$X158)^2-(4*(149.919*'BMP P Tracking Table'!$X158+236.676*'BMP P Tracking Table'!$Y158+726*'BMP P Tracking Table'!$Z158+996.798*'BMP P Tracking Table'!$AA158)*-'BMP P Tracking Table'!$AX158)))/(2*(149.919*'BMP P Tracking Table'!$X158+236.676*'BMP P Tracking Table'!$Y158+726*'BMP P Tracking Table'!$Z158+996.798*'BMP P Tracking Table'!$AA158)))))),"")</f>
        <v/>
      </c>
      <c r="BB158" s="102" t="str">
        <f>IFERROR((VLOOKUP(CONCATENATE('BMP P Tracking Table'!$AW158," ",'BMP P Tracking Table'!$AY158),'Performance Curves'!$C$1:$L$46,_xlfn.SINGLE(MATCH('BMP P Tracking Table'!$BA158,'Performance Curves'!$D$1:$L$1,1))+2,FALSE)-VLOOKUP(CONCATENATE('BMP P Tracking Table'!$AW158," ",'BMP P Tracking Table'!$AY158),'Performance Curves'!$C$1:$L$46,_xlfn.SINGLE(MATCH('BMP P Tracking Table'!$BA158,'Performance Curves'!$D$1:$L$1,1))+1,FALSE)),"")</f>
        <v/>
      </c>
      <c r="BC158" s="102" t="str">
        <f>IFERROR(('BMP P Tracking Table'!$BA158-INDEX('Performance Curves'!$D$1:$L$1,1,MATCH('BMP P Tracking Table'!$BA158,'Performance Curves'!$D$1:$L$1,1)))/(INDEX('Performance Curves'!$D$1:$L$1,1,MATCH('BMP P Tracking Table'!$BA158,'Performance Curves'!$D$1:$L$1,1)+1)-INDEX('Performance Curves'!$D$1:$L$1,1,MATCH('BMP P Tracking Table'!$BA158,'Performance Curves'!$D$1:$L$1,1))),"")</f>
        <v/>
      </c>
      <c r="BD158" s="103" t="str" cm="1">
        <f t="array" ref="BD158">IFERROR(IF('BMP P Tracking Table'!$BA158=2,VLOOKUP(CONCATENATE('BMP P Tracking Table'!$AW158," ",'BMP P Tracking Table'!$AY158),'Performance Curves'!$C$1:$L$44,_xlfn.SINGLE(MATCH('BMP P Tracking Table'!$BA158,'Performance Curves'!$D$1:$L$1,1))+1,FALSE),'BMP P Tracking Table'!$BB158*'BMP P Tracking Table'!$BC158+VLOOKUP(CONCATENATE('BMP P Tracking Table'!$AW158," ",'BMP P Tracking Table'!$AY158),'Performance Curves'!$C$1:$L$44,_xlfn.SINGLE(MATCH('BMP P Tracking Table'!$BA158,'Performance Curves'!$D$1:$L$1,1))+1,FALSE)),"")</f>
        <v/>
      </c>
      <c r="BE158" s="104" t="str">
        <f>IFERROR('BMP P Tracking Table'!$BD158*'BMP P Tracking Table'!$AZ158,"")</f>
        <v/>
      </c>
      <c r="BF158" s="92"/>
      <c r="BG158" s="37">
        <f t="shared" si="34"/>
        <v>0</v>
      </c>
    </row>
    <row r="159" spans="2:59" s="36" customFormat="1">
      <c r="B159" s="65"/>
      <c r="C159" s="65"/>
      <c r="D159" s="65"/>
      <c r="E159" s="65"/>
      <c r="F159" s="94"/>
      <c r="G159" s="94"/>
      <c r="H159" s="65"/>
      <c r="I159" s="65"/>
      <c r="J159" s="65"/>
      <c r="K159" s="95"/>
      <c r="L159" s="65"/>
      <c r="M159" s="65"/>
      <c r="N159" s="65"/>
      <c r="O159" s="65"/>
      <c r="P159" s="65"/>
      <c r="Q159" s="65"/>
      <c r="R159" s="65" t="str">
        <f>IFERROR(VLOOKUP('BMP P Tracking Table'!$Q159,Dropdowns!$C$2:$E$15,3,FALSE),"")</f>
        <v/>
      </c>
      <c r="S159" s="65" t="str">
        <f>IFERROR(VLOOKUP('BMP P Tracking Table'!$R159,Dropdowns!$Q$3:$R$23,2,FALSE),"")</f>
        <v/>
      </c>
      <c r="T159" s="65"/>
      <c r="U159" s="65"/>
      <c r="V159" s="65"/>
      <c r="W159" s="65"/>
      <c r="X159" s="65"/>
      <c r="Y159" s="65"/>
      <c r="Z159" s="65"/>
      <c r="AA159" s="65"/>
      <c r="AB159" s="65"/>
      <c r="AC159" s="97"/>
      <c r="AD159" s="65"/>
      <c r="AE159" s="104" t="str">
        <f>IFERROR('BMP P Tracking Table'!$V159*VLOOKUP('BMP P Tracking Table'!$R159,'Loading Rates'!$B$1:$L$24,4,FALSE)+IF('BMP P Tracking Table'!$W159="By HSG",'BMP P Tracking Table'!$X159*VLOOKUP('BMP P Tracking Table'!$R159,'Loading Rates'!$B$1:$L$24,6,FALSE)+'BMP P Tracking Table'!$Y159*VLOOKUP('BMP P Tracking Table'!$R159,'Loading Rates'!$B$1:$L$24,7,FALSE)+'BMP P Tracking Table'!$Z159*VLOOKUP('BMP P Tracking Table'!$R159,'Loading Rates'!$B$1:$L$24,8,FALSE)+'BMP P Tracking Table'!$AA159*VLOOKUP('BMP P Tracking Table'!$R159,'Loading Rates'!$B$1:$L$24,9,FALSE),'BMP P Tracking Table'!$AB159*VLOOKUP('BMP P Tracking Table'!$R159,'Loading Rates'!$B$1:$L$24,10,FALSE)),"")</f>
        <v/>
      </c>
      <c r="AF159" s="104" t="str">
        <f>IFERROR(MIN(2,IF('BMP P Tracking Table'!$W159="Total Pervious",(-(3630*'BMP P Tracking Table'!$V159+20.691*'BMP P Tracking Table'!$AB159)+SQRT((3630*'BMP P Tracking Table'!$V159+20.691*'BMP P Tracking Table'!$AB159)^2-(4*(996.798*'BMP P Tracking Table'!$AB159)*-'BMP P Tracking Table'!$AC159)))/(2*(996.798*'BMP P Tracking Table'!$AB159)),IF(SUM('BMP P Tracking Table'!$X159:$AA159)=0,'BMP P Tracking Table'!$AC159/(-3630*'BMP P Tracking Table'!$V159),(-(3630*'BMP P Tracking Table'!$V159+20.691*'BMP P Tracking Table'!$AA159-216.711*'BMP P Tracking Table'!$Z159-83.853*'BMP P Tracking Table'!$Y159-42.834*'BMP P Tracking Table'!$X159)+SQRT((3630*'BMP P Tracking Table'!$V159+20.691*'BMP P Tracking Table'!$AA159-216.711*'BMP P Tracking Table'!$Z159-83.853*'BMP P Tracking Table'!$Y159-42.834*'BMP P Tracking Table'!$X159)^2-(4*(149.919*'BMP P Tracking Table'!$X159+236.676*'BMP P Tracking Table'!$Y159+726*'BMP P Tracking Table'!$Z159+996.798*'BMP P Tracking Table'!$AA159)*-'BMP P Tracking Table'!$AC159)))/(2*(149.919*'BMP P Tracking Table'!$X159+236.676*'BMP P Tracking Table'!$Y159+726*'BMP P Tracking Table'!$Z159+996.798*'BMP P Tracking Table'!$AA159))))),"")</f>
        <v/>
      </c>
      <c r="AG159" s="104" t="str">
        <f>IFERROR((VLOOKUP(CONCATENATE('BMP P Tracking Table'!$U159," ",'BMP P Tracking Table'!$AD159),'Performance Curves'!$C$1:$L$46,_xlfn.SINGLE(MATCH('BMP P Tracking Table'!$AF159,'Performance Curves'!$D$1:$L$1,1))+2,FALSE)-VLOOKUP(CONCATENATE('BMP P Tracking Table'!$U159," ",'BMP P Tracking Table'!$AD159),'Performance Curves'!$C$1:$L$46,_xlfn.SINGLE(MATCH('BMP P Tracking Table'!$AF159,'Performance Curves'!$D$1:$L$1,1))+1,FALSE)),"")</f>
        <v/>
      </c>
      <c r="AH159" s="104" t="str">
        <f>IFERROR(('BMP P Tracking Table'!$AF159-INDEX('Performance Curves'!$D$1:$L$1,1,MATCH('BMP P Tracking Table'!$AF159,'Performance Curves'!$D$1:$L$1,1)))/(INDEX('Performance Curves'!$D$1:$L$1,1,MATCH('BMP P Tracking Table'!$AF159,'Performance Curves'!$D$1:$L$1,1)+1)-INDEX('Performance Curves'!$D$1:$L$1,1,MATCH('BMP P Tracking Table'!$AF159,'Performance Curves'!$D$1:$L$1,1))),"")</f>
        <v/>
      </c>
      <c r="AI159" s="103" t="str">
        <f>IFERROR(IF('BMP P Tracking Table'!$AF159=2,VLOOKUP(CONCATENATE('BMP P Tracking Table'!$U159," ",'BMP P Tracking Table'!$AD159),'Performance Curves'!$C$1:$L$46,_xlfn.SINGLE(MATCH('BMP P Tracking Table'!$AF159,'Performance Curves'!$D$1:$L$1,1))+1,FALSE),'BMP P Tracking Table'!$AG159*'BMP P Tracking Table'!$AH159+VLOOKUP(CONCATENATE('BMP P Tracking Table'!$U159," ",'BMP P Tracking Table'!$AD159),'Performance Curves'!$C$1:$L$46,_xlfn.SINGLE(MATCH('BMP P Tracking Table'!$AF159,'Performance Curves'!$D$1:$L$1,1))+1,FALSE)),"")</f>
        <v/>
      </c>
      <c r="AJ159" s="104" t="str">
        <f>IFERROR('BMP P Tracking Table'!$AI159*'BMP P Tracking Table'!$AE159,"")</f>
        <v/>
      </c>
      <c r="AK159" s="65"/>
      <c r="AL159" s="98"/>
      <c r="AM159" s="98"/>
      <c r="AN159" s="64">
        <v>1</v>
      </c>
      <c r="AO159" s="102" t="str">
        <f t="shared" si="33"/>
        <v/>
      </c>
      <c r="AP159" s="98"/>
      <c r="AQ159" s="98"/>
      <c r="AR159" s="98"/>
      <c r="AS159" s="98"/>
      <c r="AT159" s="98"/>
      <c r="AU159" s="98"/>
      <c r="AV159" s="98"/>
      <c r="AW159" s="65"/>
      <c r="AX159" s="99"/>
      <c r="AY159" s="99"/>
      <c r="AZ159" s="104" t="str">
        <f>IF('BMP P Tracking Table'!$AL159="Yes",IF('BMP P Tracking Table'!$AM159="No",'BMP P Tracking Table'!$V159*VLOOKUP('BMP P Tracking Table'!$R159,'Loading Rates'!$B$1:$L$24,4,FALSE)+IF('BMP P Tracking Table'!$W159="By HSG",'BMP P Tracking Table'!$X159*VLOOKUP('BMP P Tracking Table'!$R159,'Loading Rates'!$B$1:$L$24,6,FALSE)+'BMP P Tracking Table'!$Y159*VLOOKUP('BMP P Tracking Table'!$R159,'Loading Rates'!$B$1:$L$24,7,FALSE)+'BMP P Tracking Table'!$Z159*VLOOKUP('BMP P Tracking Table'!$R159,'Loading Rates'!$B$1:$L$24,8,FALSE)+'BMP P Tracking Table'!$AA159*VLOOKUP('BMP P Tracking Table'!$R159,'Loading Rates'!$B$1:$L$24,9,FALSE),'BMP P Tracking Table'!$AB159*VLOOKUP('BMP P Tracking Table'!$R159,'Loading Rates'!$B$1:$L$24,10,FALSE)),'BMP P Tracking Table'!$AP159*VLOOKUP('BMP P Tracking Table'!$R159,'Loading Rates'!$B$1:$L$24,4,FALSE)+IF('BMP P Tracking Table'!$AQ159="By HSG",'BMP P Tracking Table'!$AR159*VLOOKUP('BMP P Tracking Table'!$R159,'Loading Rates'!$B$1:$L$24,6,FALSE)+'BMP P Tracking Table'!$AS159*VLOOKUP('BMP P Tracking Table'!$R159,'Loading Rates'!$B$1:$L$24,7,FALSE)+'BMP P Tracking Table'!$AT159*VLOOKUP('BMP P Tracking Table'!$R159,'Loading Rates'!$B$1:$L$24,8,FALSE)+'BMP P Tracking Table'!$AU159*VLOOKUP('BMP P Tracking Table'!$R159,'Loading Rates'!$B$1:$L$24,9,FALSE),'BMP P Tracking Table'!$AV159*VLOOKUP('BMP P Tracking Table'!$R159,'Loading Rates'!$B$1:$L$24,10,FALSE))),"")</f>
        <v/>
      </c>
      <c r="BA159" s="104" t="str">
        <f>IFERROR(IF('BMP P Tracking Table'!$AM159="Yes",MIN(2,IF('BMP P Tracking Table'!$AQ159="Total Pervious",(-(3630*'BMP P Tracking Table'!$AP159+20.691*'BMP P Tracking Table'!$AV159)+SQRT((3630*'BMP P Tracking Table'!$AP159+20.691*'BMP P Tracking Table'!$AV159)^2-(4*(996.798*'BMP P Tracking Table'!$AV159)*-'BMP P Tracking Table'!$AX159)))/(2*(996.798*'BMP P Tracking Table'!$AV159)),IF(SUM('BMP P Tracking Table'!$AR159:$AU159)=0,'BMP P Tracking Table'!$AV159/(-3630*'BMP P Tracking Table'!$AP159),(-(3630*'BMP P Tracking Table'!$AP159+20.691*'BMP P Tracking Table'!$AU159-216.711*'BMP P Tracking Table'!$AT159-83.853*'BMP P Tracking Table'!$AS159-42.834*'BMP P Tracking Table'!$AR159)+SQRT((3630*'BMP P Tracking Table'!$AP159+20.691*'BMP P Tracking Table'!$AU159-216.711*'BMP P Tracking Table'!$AT159-83.853*'BMP P Tracking Table'!$AS159-42.834*'BMP P Tracking Table'!$AR159)^2-(4*(149.919*'BMP P Tracking Table'!$AR159+236.676*'BMP P Tracking Table'!$AS159+726*'BMP P Tracking Table'!$AT159+996.798*'BMP P Tracking Table'!$AU159)*-'BMP P Tracking Table'!$AX159)))/(2*(149.919*'BMP P Tracking Table'!$AR159+236.676*'BMP P Tracking Table'!$AS159+726*'BMP P Tracking Table'!$AT159+996.798*'BMP P Tracking Table'!$AU159))))),MIN(2,IF('BMP P Tracking Table'!$AQ159="Total Pervious",(-(3630*'BMP P Tracking Table'!$V159+20.691*'BMP P Tracking Table'!$AB159)+SQRT((3630*'BMP P Tracking Table'!$V159+20.691*'BMP P Tracking Table'!$AB159)^2-(4*(996.798*'BMP P Tracking Table'!$AB159)*-'BMP P Tracking Table'!$AX159)))/(2*(996.798*'BMP P Tracking Table'!$AB159)),IF(SUM('BMP P Tracking Table'!$X159:$AA159)=0,'BMP P Tracking Table'!$AX159/(-3630*'BMP P Tracking Table'!$V159),(-(3630*'BMP P Tracking Table'!$V159+20.691*'BMP P Tracking Table'!$AA159-216.711*'BMP P Tracking Table'!$Z159-83.853*'BMP P Tracking Table'!$Y159-42.834*'BMP P Tracking Table'!$X159)+SQRT((3630*'BMP P Tracking Table'!$V159+20.691*'BMP P Tracking Table'!$AA159-216.711*'BMP P Tracking Table'!$Z159-83.853*'BMP P Tracking Table'!$Y159-42.834*'BMP P Tracking Table'!$X159)^2-(4*(149.919*'BMP P Tracking Table'!$X159+236.676*'BMP P Tracking Table'!$Y159+726*'BMP P Tracking Table'!$Z159+996.798*'BMP P Tracking Table'!$AA159)*-'BMP P Tracking Table'!$AX159)))/(2*(149.919*'BMP P Tracking Table'!$X159+236.676*'BMP P Tracking Table'!$Y159+726*'BMP P Tracking Table'!$Z159+996.798*'BMP P Tracking Table'!$AA159)))))),"")</f>
        <v/>
      </c>
      <c r="BB159" s="102" t="str">
        <f>IFERROR((VLOOKUP(CONCATENATE('BMP P Tracking Table'!$AW159," ",'BMP P Tracking Table'!$AY159),'Performance Curves'!$C$1:$L$46,_xlfn.SINGLE(MATCH('BMP P Tracking Table'!$BA159,'Performance Curves'!$D$1:$L$1,1))+2,FALSE)-VLOOKUP(CONCATENATE('BMP P Tracking Table'!$AW159," ",'BMP P Tracking Table'!$AY159),'Performance Curves'!$C$1:$L$46,_xlfn.SINGLE(MATCH('BMP P Tracking Table'!$BA159,'Performance Curves'!$D$1:$L$1,1))+1,FALSE)),"")</f>
        <v/>
      </c>
      <c r="BC159" s="102" t="str">
        <f>IFERROR(('BMP P Tracking Table'!$BA159-INDEX('Performance Curves'!$D$1:$L$1,1,MATCH('BMP P Tracking Table'!$BA159,'Performance Curves'!$D$1:$L$1,1)))/(INDEX('Performance Curves'!$D$1:$L$1,1,MATCH('BMP P Tracking Table'!$BA159,'Performance Curves'!$D$1:$L$1,1)+1)-INDEX('Performance Curves'!$D$1:$L$1,1,MATCH('BMP P Tracking Table'!$BA159,'Performance Curves'!$D$1:$L$1,1))),"")</f>
        <v/>
      </c>
      <c r="BD159" s="103" t="str" cm="1">
        <f t="array" ref="BD159">IFERROR(IF('BMP P Tracking Table'!$BA159=2,VLOOKUP(CONCATENATE('BMP P Tracking Table'!$AW159," ",'BMP P Tracking Table'!$AY159),'Performance Curves'!$C$1:$L$44,_xlfn.SINGLE(MATCH('BMP P Tracking Table'!$BA159,'Performance Curves'!$D$1:$L$1,1))+1,FALSE),'BMP P Tracking Table'!$BB159*'BMP P Tracking Table'!$BC159+VLOOKUP(CONCATENATE('BMP P Tracking Table'!$AW159," ",'BMP P Tracking Table'!$AY159),'Performance Curves'!$C$1:$L$44,_xlfn.SINGLE(MATCH('BMP P Tracking Table'!$BA159,'Performance Curves'!$D$1:$L$1,1))+1,FALSE)),"")</f>
        <v/>
      </c>
      <c r="BE159" s="104" t="str">
        <f>IFERROR('BMP P Tracking Table'!$BD159*'BMP P Tracking Table'!$AZ159,"")</f>
        <v/>
      </c>
      <c r="BF159" s="98"/>
      <c r="BG159" s="37">
        <f t="shared" si="34"/>
        <v>0</v>
      </c>
    </row>
    <row r="160" spans="2:59" s="36" customFormat="1">
      <c r="B160" s="65"/>
      <c r="C160" s="65"/>
      <c r="D160" s="65"/>
      <c r="E160" s="65"/>
      <c r="F160" s="94"/>
      <c r="G160" s="94"/>
      <c r="H160" s="65"/>
      <c r="I160" s="65"/>
      <c r="J160" s="65"/>
      <c r="K160" s="95"/>
      <c r="L160" s="65"/>
      <c r="M160" s="65"/>
      <c r="N160" s="65"/>
      <c r="O160" s="65"/>
      <c r="P160" s="65"/>
      <c r="Q160" s="65"/>
      <c r="R160" s="65" t="str">
        <f>IFERROR(VLOOKUP('BMP P Tracking Table'!$Q160,Dropdowns!$C$2:$E$15,3,FALSE),"")</f>
        <v/>
      </c>
      <c r="S160" s="65" t="str">
        <f>IFERROR(VLOOKUP('BMP P Tracking Table'!$R160,Dropdowns!$Q$3:$R$23,2,FALSE),"")</f>
        <v/>
      </c>
      <c r="T160" s="65"/>
      <c r="U160" s="65"/>
      <c r="V160" s="65"/>
      <c r="W160" s="65"/>
      <c r="X160" s="65"/>
      <c r="Y160" s="65"/>
      <c r="Z160" s="65"/>
      <c r="AA160" s="65"/>
      <c r="AB160" s="65"/>
      <c r="AC160" s="97"/>
      <c r="AD160" s="65"/>
      <c r="AE160" s="104" t="str">
        <f>IFERROR('BMP P Tracking Table'!$V160*VLOOKUP('BMP P Tracking Table'!$R160,'Loading Rates'!$B$1:$L$24,4,FALSE)+IF('BMP P Tracking Table'!$W160="By HSG",'BMP P Tracking Table'!$X160*VLOOKUP('BMP P Tracking Table'!$R160,'Loading Rates'!$B$1:$L$24,6,FALSE)+'BMP P Tracking Table'!$Y160*VLOOKUP('BMP P Tracking Table'!$R160,'Loading Rates'!$B$1:$L$24,7,FALSE)+'BMP P Tracking Table'!$Z160*VLOOKUP('BMP P Tracking Table'!$R160,'Loading Rates'!$B$1:$L$24,8,FALSE)+'BMP P Tracking Table'!$AA160*VLOOKUP('BMP P Tracking Table'!$R160,'Loading Rates'!$B$1:$L$24,9,FALSE),'BMP P Tracking Table'!$AB160*VLOOKUP('BMP P Tracking Table'!$R160,'Loading Rates'!$B$1:$L$24,10,FALSE)),"")</f>
        <v/>
      </c>
      <c r="AF160" s="104" t="str">
        <f>IFERROR(MIN(2,IF('BMP P Tracking Table'!$W160="Total Pervious",(-(3630*'BMP P Tracking Table'!$V160+20.691*'BMP P Tracking Table'!$AB160)+SQRT((3630*'BMP P Tracking Table'!$V160+20.691*'BMP P Tracking Table'!$AB160)^2-(4*(996.798*'BMP P Tracking Table'!$AB160)*-'BMP P Tracking Table'!$AC160)))/(2*(996.798*'BMP P Tracking Table'!$AB160)),IF(SUM('BMP P Tracking Table'!$X160:$AA160)=0,'BMP P Tracking Table'!$AC160/(-3630*'BMP P Tracking Table'!$V160),(-(3630*'BMP P Tracking Table'!$V160+20.691*'BMP P Tracking Table'!$AA160-216.711*'BMP P Tracking Table'!$Z160-83.853*'BMP P Tracking Table'!$Y160-42.834*'BMP P Tracking Table'!$X160)+SQRT((3630*'BMP P Tracking Table'!$V160+20.691*'BMP P Tracking Table'!$AA160-216.711*'BMP P Tracking Table'!$Z160-83.853*'BMP P Tracking Table'!$Y160-42.834*'BMP P Tracking Table'!$X160)^2-(4*(149.919*'BMP P Tracking Table'!$X160+236.676*'BMP P Tracking Table'!$Y160+726*'BMP P Tracking Table'!$Z160+996.798*'BMP P Tracking Table'!$AA160)*-'BMP P Tracking Table'!$AC160)))/(2*(149.919*'BMP P Tracking Table'!$X160+236.676*'BMP P Tracking Table'!$Y160+726*'BMP P Tracking Table'!$Z160+996.798*'BMP P Tracking Table'!$AA160))))),"")</f>
        <v/>
      </c>
      <c r="AG160" s="104" t="str">
        <f>IFERROR((VLOOKUP(CONCATENATE('BMP P Tracking Table'!$U160," ",'BMP P Tracking Table'!$AD160),'Performance Curves'!$C$1:$L$46,_xlfn.SINGLE(MATCH('BMP P Tracking Table'!$AF160,'Performance Curves'!$D$1:$L$1,1))+2,FALSE)-VLOOKUP(CONCATENATE('BMP P Tracking Table'!$U160," ",'BMP P Tracking Table'!$AD160),'Performance Curves'!$C$1:$L$46,_xlfn.SINGLE(MATCH('BMP P Tracking Table'!$AF160,'Performance Curves'!$D$1:$L$1,1))+1,FALSE)),"")</f>
        <v/>
      </c>
      <c r="AH160" s="104" t="str">
        <f>IFERROR(('BMP P Tracking Table'!$AF160-INDEX('Performance Curves'!$D$1:$L$1,1,MATCH('BMP P Tracking Table'!$AF160,'Performance Curves'!$D$1:$L$1,1)))/(INDEX('Performance Curves'!$D$1:$L$1,1,MATCH('BMP P Tracking Table'!$AF160,'Performance Curves'!$D$1:$L$1,1)+1)-INDEX('Performance Curves'!$D$1:$L$1,1,MATCH('BMP P Tracking Table'!$AF160,'Performance Curves'!$D$1:$L$1,1))),"")</f>
        <v/>
      </c>
      <c r="AI160" s="103" t="str">
        <f>IFERROR(IF('BMP P Tracking Table'!$AF160=2,VLOOKUP(CONCATENATE('BMP P Tracking Table'!$U160," ",'BMP P Tracking Table'!$AD160),'Performance Curves'!$C$1:$L$46,_xlfn.SINGLE(MATCH('BMP P Tracking Table'!$AF160,'Performance Curves'!$D$1:$L$1,1))+1,FALSE),'BMP P Tracking Table'!$AG160*'BMP P Tracking Table'!$AH160+VLOOKUP(CONCATENATE('BMP P Tracking Table'!$U160," ",'BMP P Tracking Table'!$AD160),'Performance Curves'!$C$1:$L$46,_xlfn.SINGLE(MATCH('BMP P Tracking Table'!$AF160,'Performance Curves'!$D$1:$L$1,1))+1,FALSE)),"")</f>
        <v/>
      </c>
      <c r="AJ160" s="104" t="str">
        <f>IFERROR('BMP P Tracking Table'!$AI160*'BMP P Tracking Table'!$AE160,"")</f>
        <v/>
      </c>
      <c r="AK160" s="65"/>
      <c r="AL160" s="98"/>
      <c r="AM160" s="98"/>
      <c r="AN160" s="64">
        <v>1</v>
      </c>
      <c r="AO160" s="102" t="str">
        <f t="shared" si="33"/>
        <v/>
      </c>
      <c r="AP160" s="98"/>
      <c r="AQ160" s="98"/>
      <c r="AR160" s="98"/>
      <c r="AS160" s="98"/>
      <c r="AT160" s="98"/>
      <c r="AU160" s="98"/>
      <c r="AV160" s="98"/>
      <c r="AW160" s="65"/>
      <c r="AX160" s="99"/>
      <c r="AY160" s="99"/>
      <c r="AZ160" s="104" t="str">
        <f>IF('BMP P Tracking Table'!$AL160="Yes",IF('BMP P Tracking Table'!$AM160="No",'BMP P Tracking Table'!$V160*VLOOKUP('BMP P Tracking Table'!$R160,'Loading Rates'!$B$1:$L$24,4,FALSE)+IF('BMP P Tracking Table'!$W160="By HSG",'BMP P Tracking Table'!$X160*VLOOKUP('BMP P Tracking Table'!$R160,'Loading Rates'!$B$1:$L$24,6,FALSE)+'BMP P Tracking Table'!$Y160*VLOOKUP('BMP P Tracking Table'!$R160,'Loading Rates'!$B$1:$L$24,7,FALSE)+'BMP P Tracking Table'!$Z160*VLOOKUP('BMP P Tracking Table'!$R160,'Loading Rates'!$B$1:$L$24,8,FALSE)+'BMP P Tracking Table'!$AA160*VLOOKUP('BMP P Tracking Table'!$R160,'Loading Rates'!$B$1:$L$24,9,FALSE),'BMP P Tracking Table'!$AB160*VLOOKUP('BMP P Tracking Table'!$R160,'Loading Rates'!$B$1:$L$24,10,FALSE)),'BMP P Tracking Table'!$AP160*VLOOKUP('BMP P Tracking Table'!$R160,'Loading Rates'!$B$1:$L$24,4,FALSE)+IF('BMP P Tracking Table'!$AQ160="By HSG",'BMP P Tracking Table'!$AR160*VLOOKUP('BMP P Tracking Table'!$R160,'Loading Rates'!$B$1:$L$24,6,FALSE)+'BMP P Tracking Table'!$AS160*VLOOKUP('BMP P Tracking Table'!$R160,'Loading Rates'!$B$1:$L$24,7,FALSE)+'BMP P Tracking Table'!$AT160*VLOOKUP('BMP P Tracking Table'!$R160,'Loading Rates'!$B$1:$L$24,8,FALSE)+'BMP P Tracking Table'!$AU160*VLOOKUP('BMP P Tracking Table'!$R160,'Loading Rates'!$B$1:$L$24,9,FALSE),'BMP P Tracking Table'!$AV160*VLOOKUP('BMP P Tracking Table'!$R160,'Loading Rates'!$B$1:$L$24,10,FALSE))),"")</f>
        <v/>
      </c>
      <c r="BA160" s="104" t="str">
        <f>IFERROR(IF('BMP P Tracking Table'!$AM160="Yes",MIN(2,IF('BMP P Tracking Table'!$AQ160="Total Pervious",(-(3630*'BMP P Tracking Table'!$AP160+20.691*'BMP P Tracking Table'!$AV160)+SQRT((3630*'BMP P Tracking Table'!$AP160+20.691*'BMP P Tracking Table'!$AV160)^2-(4*(996.798*'BMP P Tracking Table'!$AV160)*-'BMP P Tracking Table'!$AX160)))/(2*(996.798*'BMP P Tracking Table'!$AV160)),IF(SUM('BMP P Tracking Table'!$AR160:$AU160)=0,'BMP P Tracking Table'!$AV160/(-3630*'BMP P Tracking Table'!$AP160),(-(3630*'BMP P Tracking Table'!$AP160+20.691*'BMP P Tracking Table'!$AU160-216.711*'BMP P Tracking Table'!$AT160-83.853*'BMP P Tracking Table'!$AS160-42.834*'BMP P Tracking Table'!$AR160)+SQRT((3630*'BMP P Tracking Table'!$AP160+20.691*'BMP P Tracking Table'!$AU160-216.711*'BMP P Tracking Table'!$AT160-83.853*'BMP P Tracking Table'!$AS160-42.834*'BMP P Tracking Table'!$AR160)^2-(4*(149.919*'BMP P Tracking Table'!$AR160+236.676*'BMP P Tracking Table'!$AS160+726*'BMP P Tracking Table'!$AT160+996.798*'BMP P Tracking Table'!$AU160)*-'BMP P Tracking Table'!$AX160)))/(2*(149.919*'BMP P Tracking Table'!$AR160+236.676*'BMP P Tracking Table'!$AS160+726*'BMP P Tracking Table'!$AT160+996.798*'BMP P Tracking Table'!$AU160))))),MIN(2,IF('BMP P Tracking Table'!$AQ160="Total Pervious",(-(3630*'BMP P Tracking Table'!$V160+20.691*'BMP P Tracking Table'!$AB160)+SQRT((3630*'BMP P Tracking Table'!$V160+20.691*'BMP P Tracking Table'!$AB160)^2-(4*(996.798*'BMP P Tracking Table'!$AB160)*-'BMP P Tracking Table'!$AX160)))/(2*(996.798*'BMP P Tracking Table'!$AB160)),IF(SUM('BMP P Tracking Table'!$X160:$AA160)=0,'BMP P Tracking Table'!$AX160/(-3630*'BMP P Tracking Table'!$V160),(-(3630*'BMP P Tracking Table'!$V160+20.691*'BMP P Tracking Table'!$AA160-216.711*'BMP P Tracking Table'!$Z160-83.853*'BMP P Tracking Table'!$Y160-42.834*'BMP P Tracking Table'!$X160)+SQRT((3630*'BMP P Tracking Table'!$V160+20.691*'BMP P Tracking Table'!$AA160-216.711*'BMP P Tracking Table'!$Z160-83.853*'BMP P Tracking Table'!$Y160-42.834*'BMP P Tracking Table'!$X160)^2-(4*(149.919*'BMP P Tracking Table'!$X160+236.676*'BMP P Tracking Table'!$Y160+726*'BMP P Tracking Table'!$Z160+996.798*'BMP P Tracking Table'!$AA160)*-'BMP P Tracking Table'!$AX160)))/(2*(149.919*'BMP P Tracking Table'!$X160+236.676*'BMP P Tracking Table'!$Y160+726*'BMP P Tracking Table'!$Z160+996.798*'BMP P Tracking Table'!$AA160)))))),"")</f>
        <v/>
      </c>
      <c r="BB160" s="102" t="str">
        <f>IFERROR((VLOOKUP(CONCATENATE('BMP P Tracking Table'!$AW160," ",'BMP P Tracking Table'!$AY160),'Performance Curves'!$C$1:$L$46,_xlfn.SINGLE(MATCH('BMP P Tracking Table'!$BA160,'Performance Curves'!$D$1:$L$1,1))+2,FALSE)-VLOOKUP(CONCATENATE('BMP P Tracking Table'!$AW160," ",'BMP P Tracking Table'!$AY160),'Performance Curves'!$C$1:$L$46,_xlfn.SINGLE(MATCH('BMP P Tracking Table'!$BA160,'Performance Curves'!$D$1:$L$1,1))+1,FALSE)),"")</f>
        <v/>
      </c>
      <c r="BC160" s="102" t="str">
        <f>IFERROR(('BMP P Tracking Table'!$BA160-INDEX('Performance Curves'!$D$1:$L$1,1,MATCH('BMP P Tracking Table'!$BA160,'Performance Curves'!$D$1:$L$1,1)))/(INDEX('Performance Curves'!$D$1:$L$1,1,MATCH('BMP P Tracking Table'!$BA160,'Performance Curves'!$D$1:$L$1,1)+1)-INDEX('Performance Curves'!$D$1:$L$1,1,MATCH('BMP P Tracking Table'!$BA160,'Performance Curves'!$D$1:$L$1,1))),"")</f>
        <v/>
      </c>
      <c r="BD160" s="103" t="str" cm="1">
        <f t="array" ref="BD160">IFERROR(IF('BMP P Tracking Table'!$BA160=2,VLOOKUP(CONCATENATE('BMP P Tracking Table'!$AW160," ",'BMP P Tracking Table'!$AY160),'Performance Curves'!$C$1:$L$44,_xlfn.SINGLE(MATCH('BMP P Tracking Table'!$BA160,'Performance Curves'!$D$1:$L$1,1))+1,FALSE),'BMP P Tracking Table'!$BB160*'BMP P Tracking Table'!$BC160+VLOOKUP(CONCATENATE('BMP P Tracking Table'!$AW160," ",'BMP P Tracking Table'!$AY160),'Performance Curves'!$C$1:$L$44,_xlfn.SINGLE(MATCH('BMP P Tracking Table'!$BA160,'Performance Curves'!$D$1:$L$1,1))+1,FALSE)),"")</f>
        <v/>
      </c>
      <c r="BE160" s="104" t="str">
        <f>IFERROR('BMP P Tracking Table'!$BD160*'BMP P Tracking Table'!$AZ160,"")</f>
        <v/>
      </c>
      <c r="BF160" s="98"/>
      <c r="BG160" s="37">
        <f t="shared" si="34"/>
        <v>0</v>
      </c>
    </row>
    <row r="161" spans="2:59" s="36" customFormat="1">
      <c r="B161" s="65"/>
      <c r="C161" s="65"/>
      <c r="D161" s="65"/>
      <c r="E161" s="65"/>
      <c r="F161" s="94"/>
      <c r="G161" s="94"/>
      <c r="H161" s="65"/>
      <c r="I161" s="65"/>
      <c r="J161" s="65"/>
      <c r="K161" s="95"/>
      <c r="L161" s="65"/>
      <c r="M161" s="65"/>
      <c r="N161" s="65"/>
      <c r="O161" s="65"/>
      <c r="P161" s="65"/>
      <c r="Q161" s="65"/>
      <c r="R161" s="65" t="str">
        <f>IFERROR(VLOOKUP('BMP P Tracking Table'!$Q161,Dropdowns!$C$2:$E$15,3,FALSE),"")</f>
        <v/>
      </c>
      <c r="S161" s="65" t="str">
        <f>IFERROR(VLOOKUP('BMP P Tracking Table'!$R161,Dropdowns!$Q$3:$R$23,2,FALSE),"")</f>
        <v/>
      </c>
      <c r="T161" s="65"/>
      <c r="U161" s="65"/>
      <c r="V161" s="65"/>
      <c r="W161" s="65"/>
      <c r="X161" s="65"/>
      <c r="Y161" s="65"/>
      <c r="Z161" s="65"/>
      <c r="AA161" s="65"/>
      <c r="AB161" s="65"/>
      <c r="AC161" s="97"/>
      <c r="AD161" s="65"/>
      <c r="AE161" s="104" t="str">
        <f>IFERROR('BMP P Tracking Table'!$V161*VLOOKUP('BMP P Tracking Table'!$R161,'Loading Rates'!$B$1:$L$24,4,FALSE)+IF('BMP P Tracking Table'!$W161="By HSG",'BMP P Tracking Table'!$X161*VLOOKUP('BMP P Tracking Table'!$R161,'Loading Rates'!$B$1:$L$24,6,FALSE)+'BMP P Tracking Table'!$Y161*VLOOKUP('BMP P Tracking Table'!$R161,'Loading Rates'!$B$1:$L$24,7,FALSE)+'BMP P Tracking Table'!$Z161*VLOOKUP('BMP P Tracking Table'!$R161,'Loading Rates'!$B$1:$L$24,8,FALSE)+'BMP P Tracking Table'!$AA161*VLOOKUP('BMP P Tracking Table'!$R161,'Loading Rates'!$B$1:$L$24,9,FALSE),'BMP P Tracking Table'!$AB161*VLOOKUP('BMP P Tracking Table'!$R161,'Loading Rates'!$B$1:$L$24,10,FALSE)),"")</f>
        <v/>
      </c>
      <c r="AF161" s="104" t="str">
        <f>IFERROR(MIN(2,IF('BMP P Tracking Table'!$W161="Total Pervious",(-(3630*'BMP P Tracking Table'!$V161+20.691*'BMP P Tracking Table'!$AB161)+SQRT((3630*'BMP P Tracking Table'!$V161+20.691*'BMP P Tracking Table'!$AB161)^2-(4*(996.798*'BMP P Tracking Table'!$AB161)*-'BMP P Tracking Table'!$AC161)))/(2*(996.798*'BMP P Tracking Table'!$AB161)),IF(SUM('BMP P Tracking Table'!$X161:$AA161)=0,'BMP P Tracking Table'!$AC161/(-3630*'BMP P Tracking Table'!$V161),(-(3630*'BMP P Tracking Table'!$V161+20.691*'BMP P Tracking Table'!$AA161-216.711*'BMP P Tracking Table'!$Z161-83.853*'BMP P Tracking Table'!$Y161-42.834*'BMP P Tracking Table'!$X161)+SQRT((3630*'BMP P Tracking Table'!$V161+20.691*'BMP P Tracking Table'!$AA161-216.711*'BMP P Tracking Table'!$Z161-83.853*'BMP P Tracking Table'!$Y161-42.834*'BMP P Tracking Table'!$X161)^2-(4*(149.919*'BMP P Tracking Table'!$X161+236.676*'BMP P Tracking Table'!$Y161+726*'BMP P Tracking Table'!$Z161+996.798*'BMP P Tracking Table'!$AA161)*-'BMP P Tracking Table'!$AC161)))/(2*(149.919*'BMP P Tracking Table'!$X161+236.676*'BMP P Tracking Table'!$Y161+726*'BMP P Tracking Table'!$Z161+996.798*'BMP P Tracking Table'!$AA161))))),"")</f>
        <v/>
      </c>
      <c r="AG161" s="104" t="str">
        <f>IFERROR((VLOOKUP(CONCATENATE('BMP P Tracking Table'!$U161," ",'BMP P Tracking Table'!$AD161),'Performance Curves'!$C$1:$L$46,_xlfn.SINGLE(MATCH('BMP P Tracking Table'!$AF161,'Performance Curves'!$D$1:$L$1,1))+2,FALSE)-VLOOKUP(CONCATENATE('BMP P Tracking Table'!$U161," ",'BMP P Tracking Table'!$AD161),'Performance Curves'!$C$1:$L$46,_xlfn.SINGLE(MATCH('BMP P Tracking Table'!$AF161,'Performance Curves'!$D$1:$L$1,1))+1,FALSE)),"")</f>
        <v/>
      </c>
      <c r="AH161" s="104" t="str">
        <f>IFERROR(('BMP P Tracking Table'!$AF161-INDEX('Performance Curves'!$D$1:$L$1,1,MATCH('BMP P Tracking Table'!$AF161,'Performance Curves'!$D$1:$L$1,1)))/(INDEX('Performance Curves'!$D$1:$L$1,1,MATCH('BMP P Tracking Table'!$AF161,'Performance Curves'!$D$1:$L$1,1)+1)-INDEX('Performance Curves'!$D$1:$L$1,1,MATCH('BMP P Tracking Table'!$AF161,'Performance Curves'!$D$1:$L$1,1))),"")</f>
        <v/>
      </c>
      <c r="AI161" s="103" t="str">
        <f>IFERROR(IF('BMP P Tracking Table'!$AF161=2,VLOOKUP(CONCATENATE('BMP P Tracking Table'!$U161," ",'BMP P Tracking Table'!$AD161),'Performance Curves'!$C$1:$L$46,_xlfn.SINGLE(MATCH('BMP P Tracking Table'!$AF161,'Performance Curves'!$D$1:$L$1,1))+1,FALSE),'BMP P Tracking Table'!$AG161*'BMP P Tracking Table'!$AH161+VLOOKUP(CONCATENATE('BMP P Tracking Table'!$U161," ",'BMP P Tracking Table'!$AD161),'Performance Curves'!$C$1:$L$46,_xlfn.SINGLE(MATCH('BMP P Tracking Table'!$AF161,'Performance Curves'!$D$1:$L$1,1))+1,FALSE)),"")</f>
        <v/>
      </c>
      <c r="AJ161" s="104" t="str">
        <f>IFERROR('BMP P Tracking Table'!$AI161*'BMP P Tracking Table'!$AE161,"")</f>
        <v/>
      </c>
      <c r="AK161" s="65"/>
      <c r="AL161" s="98"/>
      <c r="AM161" s="98"/>
      <c r="AN161" s="64">
        <v>1</v>
      </c>
      <c r="AO161" s="102" t="str">
        <f t="shared" si="33"/>
        <v/>
      </c>
      <c r="AP161" s="98"/>
      <c r="AQ161" s="98"/>
      <c r="AR161" s="98"/>
      <c r="AS161" s="98"/>
      <c r="AT161" s="98"/>
      <c r="AU161" s="98"/>
      <c r="AV161" s="98"/>
      <c r="AW161" s="65"/>
      <c r="AX161" s="99"/>
      <c r="AY161" s="99"/>
      <c r="AZ161" s="104" t="str">
        <f>IF('BMP P Tracking Table'!$AL161="Yes",IF('BMP P Tracking Table'!$AM161="No",'BMP P Tracking Table'!$V161*VLOOKUP('BMP P Tracking Table'!$R161,'Loading Rates'!$B$1:$L$24,4,FALSE)+IF('BMP P Tracking Table'!$W161="By HSG",'BMP P Tracking Table'!$X161*VLOOKUP('BMP P Tracking Table'!$R161,'Loading Rates'!$B$1:$L$24,6,FALSE)+'BMP P Tracking Table'!$Y161*VLOOKUP('BMP P Tracking Table'!$R161,'Loading Rates'!$B$1:$L$24,7,FALSE)+'BMP P Tracking Table'!$Z161*VLOOKUP('BMP P Tracking Table'!$R161,'Loading Rates'!$B$1:$L$24,8,FALSE)+'BMP P Tracking Table'!$AA161*VLOOKUP('BMP P Tracking Table'!$R161,'Loading Rates'!$B$1:$L$24,9,FALSE),'BMP P Tracking Table'!$AB161*VLOOKUP('BMP P Tracking Table'!$R161,'Loading Rates'!$B$1:$L$24,10,FALSE)),'BMP P Tracking Table'!$AP161*VLOOKUP('BMP P Tracking Table'!$R161,'Loading Rates'!$B$1:$L$24,4,FALSE)+IF('BMP P Tracking Table'!$AQ161="By HSG",'BMP P Tracking Table'!$AR161*VLOOKUP('BMP P Tracking Table'!$R161,'Loading Rates'!$B$1:$L$24,6,FALSE)+'BMP P Tracking Table'!$AS161*VLOOKUP('BMP P Tracking Table'!$R161,'Loading Rates'!$B$1:$L$24,7,FALSE)+'BMP P Tracking Table'!$AT161*VLOOKUP('BMP P Tracking Table'!$R161,'Loading Rates'!$B$1:$L$24,8,FALSE)+'BMP P Tracking Table'!$AU161*VLOOKUP('BMP P Tracking Table'!$R161,'Loading Rates'!$B$1:$L$24,9,FALSE),'BMP P Tracking Table'!$AV161*VLOOKUP('BMP P Tracking Table'!$R161,'Loading Rates'!$B$1:$L$24,10,FALSE))),"")</f>
        <v/>
      </c>
      <c r="BA161" s="104" t="str">
        <f>IFERROR(IF('BMP P Tracking Table'!$AM161="Yes",MIN(2,IF('BMP P Tracking Table'!$AQ161="Total Pervious",(-(3630*'BMP P Tracking Table'!$AP161+20.691*'BMP P Tracking Table'!$AV161)+SQRT((3630*'BMP P Tracking Table'!$AP161+20.691*'BMP P Tracking Table'!$AV161)^2-(4*(996.798*'BMP P Tracking Table'!$AV161)*-'BMP P Tracking Table'!$AX161)))/(2*(996.798*'BMP P Tracking Table'!$AV161)),IF(SUM('BMP P Tracking Table'!$AR161:$AU161)=0,'BMP P Tracking Table'!$AV161/(-3630*'BMP P Tracking Table'!$AP161),(-(3630*'BMP P Tracking Table'!$AP161+20.691*'BMP P Tracking Table'!$AU161-216.711*'BMP P Tracking Table'!$AT161-83.853*'BMP P Tracking Table'!$AS161-42.834*'BMP P Tracking Table'!$AR161)+SQRT((3630*'BMP P Tracking Table'!$AP161+20.691*'BMP P Tracking Table'!$AU161-216.711*'BMP P Tracking Table'!$AT161-83.853*'BMP P Tracking Table'!$AS161-42.834*'BMP P Tracking Table'!$AR161)^2-(4*(149.919*'BMP P Tracking Table'!$AR161+236.676*'BMP P Tracking Table'!$AS161+726*'BMP P Tracking Table'!$AT161+996.798*'BMP P Tracking Table'!$AU161)*-'BMP P Tracking Table'!$AX161)))/(2*(149.919*'BMP P Tracking Table'!$AR161+236.676*'BMP P Tracking Table'!$AS161+726*'BMP P Tracking Table'!$AT161+996.798*'BMP P Tracking Table'!$AU161))))),MIN(2,IF('BMP P Tracking Table'!$AQ161="Total Pervious",(-(3630*'BMP P Tracking Table'!$V161+20.691*'BMP P Tracking Table'!$AB161)+SQRT((3630*'BMP P Tracking Table'!$V161+20.691*'BMP P Tracking Table'!$AB161)^2-(4*(996.798*'BMP P Tracking Table'!$AB161)*-'BMP P Tracking Table'!$AX161)))/(2*(996.798*'BMP P Tracking Table'!$AB161)),IF(SUM('BMP P Tracking Table'!$X161:$AA161)=0,'BMP P Tracking Table'!$AX161/(-3630*'BMP P Tracking Table'!$V161),(-(3630*'BMP P Tracking Table'!$V161+20.691*'BMP P Tracking Table'!$AA161-216.711*'BMP P Tracking Table'!$Z161-83.853*'BMP P Tracking Table'!$Y161-42.834*'BMP P Tracking Table'!$X161)+SQRT((3630*'BMP P Tracking Table'!$V161+20.691*'BMP P Tracking Table'!$AA161-216.711*'BMP P Tracking Table'!$Z161-83.853*'BMP P Tracking Table'!$Y161-42.834*'BMP P Tracking Table'!$X161)^2-(4*(149.919*'BMP P Tracking Table'!$X161+236.676*'BMP P Tracking Table'!$Y161+726*'BMP P Tracking Table'!$Z161+996.798*'BMP P Tracking Table'!$AA161)*-'BMP P Tracking Table'!$AX161)))/(2*(149.919*'BMP P Tracking Table'!$X161+236.676*'BMP P Tracking Table'!$Y161+726*'BMP P Tracking Table'!$Z161+996.798*'BMP P Tracking Table'!$AA161)))))),"")</f>
        <v/>
      </c>
      <c r="BB161" s="102" t="str">
        <f>IFERROR((VLOOKUP(CONCATENATE('BMP P Tracking Table'!$AW161," ",'BMP P Tracking Table'!$AY161),'Performance Curves'!$C$1:$L$46,_xlfn.SINGLE(MATCH('BMP P Tracking Table'!$BA161,'Performance Curves'!$D$1:$L$1,1))+2,FALSE)-VLOOKUP(CONCATENATE('BMP P Tracking Table'!$AW161," ",'BMP P Tracking Table'!$AY161),'Performance Curves'!$C$1:$L$46,_xlfn.SINGLE(MATCH('BMP P Tracking Table'!$BA161,'Performance Curves'!$D$1:$L$1,1))+1,FALSE)),"")</f>
        <v/>
      </c>
      <c r="BC161" s="102" t="str">
        <f>IFERROR(('BMP P Tracking Table'!$BA161-INDEX('Performance Curves'!$D$1:$L$1,1,MATCH('BMP P Tracking Table'!$BA161,'Performance Curves'!$D$1:$L$1,1)))/(INDEX('Performance Curves'!$D$1:$L$1,1,MATCH('BMP P Tracking Table'!$BA161,'Performance Curves'!$D$1:$L$1,1)+1)-INDEX('Performance Curves'!$D$1:$L$1,1,MATCH('BMP P Tracking Table'!$BA161,'Performance Curves'!$D$1:$L$1,1))),"")</f>
        <v/>
      </c>
      <c r="BD161" s="103" t="str" cm="1">
        <f t="array" ref="BD161">IFERROR(IF('BMP P Tracking Table'!$BA161=2,VLOOKUP(CONCATENATE('BMP P Tracking Table'!$AW161," ",'BMP P Tracking Table'!$AY161),'Performance Curves'!$C$1:$L$44,_xlfn.SINGLE(MATCH('BMP P Tracking Table'!$BA161,'Performance Curves'!$D$1:$L$1,1))+1,FALSE),'BMP P Tracking Table'!$BB161*'BMP P Tracking Table'!$BC161+VLOOKUP(CONCATENATE('BMP P Tracking Table'!$AW161," ",'BMP P Tracking Table'!$AY161),'Performance Curves'!$C$1:$L$44,_xlfn.SINGLE(MATCH('BMP P Tracking Table'!$BA161,'Performance Curves'!$D$1:$L$1,1))+1,FALSE)),"")</f>
        <v/>
      </c>
      <c r="BE161" s="104" t="str">
        <f>IFERROR('BMP P Tracking Table'!$BD161*'BMP P Tracking Table'!$AZ161,"")</f>
        <v/>
      </c>
      <c r="BF161" s="98"/>
      <c r="BG161" s="37">
        <f t="shared" si="34"/>
        <v>0</v>
      </c>
    </row>
    <row r="162" spans="2:59" s="36" customFormat="1">
      <c r="B162" s="65"/>
      <c r="C162" s="65"/>
      <c r="D162" s="65"/>
      <c r="E162" s="65"/>
      <c r="F162" s="94"/>
      <c r="G162" s="94"/>
      <c r="H162" s="65"/>
      <c r="I162" s="65"/>
      <c r="J162" s="65"/>
      <c r="K162" s="95"/>
      <c r="L162" s="65"/>
      <c r="M162" s="65"/>
      <c r="N162" s="65"/>
      <c r="O162" s="65"/>
      <c r="P162" s="65"/>
      <c r="Q162" s="65"/>
      <c r="R162" s="65" t="str">
        <f>IFERROR(VLOOKUP('BMP P Tracking Table'!$Q162,Dropdowns!$C$2:$E$15,3,FALSE),"")</f>
        <v/>
      </c>
      <c r="S162" s="65" t="str">
        <f>IFERROR(VLOOKUP('BMP P Tracking Table'!$R162,Dropdowns!$Q$3:$R$23,2,FALSE),"")</f>
        <v/>
      </c>
      <c r="T162" s="65"/>
      <c r="U162" s="65"/>
      <c r="V162" s="65"/>
      <c r="W162" s="65"/>
      <c r="X162" s="65"/>
      <c r="Y162" s="65"/>
      <c r="Z162" s="65"/>
      <c r="AA162" s="65"/>
      <c r="AB162" s="65"/>
      <c r="AC162" s="97"/>
      <c r="AD162" s="65"/>
      <c r="AE162" s="104" t="str">
        <f>IFERROR('BMP P Tracking Table'!$V162*VLOOKUP('BMP P Tracking Table'!$R162,'Loading Rates'!$B$1:$L$24,4,FALSE)+IF('BMP P Tracking Table'!$W162="By HSG",'BMP P Tracking Table'!$X162*VLOOKUP('BMP P Tracking Table'!$R162,'Loading Rates'!$B$1:$L$24,6,FALSE)+'BMP P Tracking Table'!$Y162*VLOOKUP('BMP P Tracking Table'!$R162,'Loading Rates'!$B$1:$L$24,7,FALSE)+'BMP P Tracking Table'!$Z162*VLOOKUP('BMP P Tracking Table'!$R162,'Loading Rates'!$B$1:$L$24,8,FALSE)+'BMP P Tracking Table'!$AA162*VLOOKUP('BMP P Tracking Table'!$R162,'Loading Rates'!$B$1:$L$24,9,FALSE),'BMP P Tracking Table'!$AB162*VLOOKUP('BMP P Tracking Table'!$R162,'Loading Rates'!$B$1:$L$24,10,FALSE)),"")</f>
        <v/>
      </c>
      <c r="AF162" s="104" t="str">
        <f>IFERROR(MIN(2,IF('BMP P Tracking Table'!$W162="Total Pervious",(-(3630*'BMP P Tracking Table'!$V162+20.691*'BMP P Tracking Table'!$AB162)+SQRT((3630*'BMP P Tracking Table'!$V162+20.691*'BMP P Tracking Table'!$AB162)^2-(4*(996.798*'BMP P Tracking Table'!$AB162)*-'BMP P Tracking Table'!$AC162)))/(2*(996.798*'BMP P Tracking Table'!$AB162)),IF(SUM('BMP P Tracking Table'!$X162:$AA162)=0,'BMP P Tracking Table'!$AC162/(-3630*'BMP P Tracking Table'!$V162),(-(3630*'BMP P Tracking Table'!$V162+20.691*'BMP P Tracking Table'!$AA162-216.711*'BMP P Tracking Table'!$Z162-83.853*'BMP P Tracking Table'!$Y162-42.834*'BMP P Tracking Table'!$X162)+SQRT((3630*'BMP P Tracking Table'!$V162+20.691*'BMP P Tracking Table'!$AA162-216.711*'BMP P Tracking Table'!$Z162-83.853*'BMP P Tracking Table'!$Y162-42.834*'BMP P Tracking Table'!$X162)^2-(4*(149.919*'BMP P Tracking Table'!$X162+236.676*'BMP P Tracking Table'!$Y162+726*'BMP P Tracking Table'!$Z162+996.798*'BMP P Tracking Table'!$AA162)*-'BMP P Tracking Table'!$AC162)))/(2*(149.919*'BMP P Tracking Table'!$X162+236.676*'BMP P Tracking Table'!$Y162+726*'BMP P Tracking Table'!$Z162+996.798*'BMP P Tracking Table'!$AA162))))),"")</f>
        <v/>
      </c>
      <c r="AG162" s="104" t="str">
        <f>IFERROR((VLOOKUP(CONCATENATE('BMP P Tracking Table'!$U162," ",'BMP P Tracking Table'!$AD162),'Performance Curves'!$C$1:$L$46,_xlfn.SINGLE(MATCH('BMP P Tracking Table'!$AF162,'Performance Curves'!$D$1:$L$1,1))+2,FALSE)-VLOOKUP(CONCATENATE('BMP P Tracking Table'!$U162," ",'BMP P Tracking Table'!$AD162),'Performance Curves'!$C$1:$L$46,_xlfn.SINGLE(MATCH('BMP P Tracking Table'!$AF162,'Performance Curves'!$D$1:$L$1,1))+1,FALSE)),"")</f>
        <v/>
      </c>
      <c r="AH162" s="104" t="str">
        <f>IFERROR(('BMP P Tracking Table'!$AF162-INDEX('Performance Curves'!$D$1:$L$1,1,MATCH('BMP P Tracking Table'!$AF162,'Performance Curves'!$D$1:$L$1,1)))/(INDEX('Performance Curves'!$D$1:$L$1,1,MATCH('BMP P Tracking Table'!$AF162,'Performance Curves'!$D$1:$L$1,1)+1)-INDEX('Performance Curves'!$D$1:$L$1,1,MATCH('BMP P Tracking Table'!$AF162,'Performance Curves'!$D$1:$L$1,1))),"")</f>
        <v/>
      </c>
      <c r="AI162" s="103" t="str">
        <f>IFERROR(IF('BMP P Tracking Table'!$AF162=2,VLOOKUP(CONCATENATE('BMP P Tracking Table'!$U162," ",'BMP P Tracking Table'!$AD162),'Performance Curves'!$C$1:$L$46,_xlfn.SINGLE(MATCH('BMP P Tracking Table'!$AF162,'Performance Curves'!$D$1:$L$1,1))+1,FALSE),'BMP P Tracking Table'!$AG162*'BMP P Tracking Table'!$AH162+VLOOKUP(CONCATENATE('BMP P Tracking Table'!$U162," ",'BMP P Tracking Table'!$AD162),'Performance Curves'!$C$1:$L$46,_xlfn.SINGLE(MATCH('BMP P Tracking Table'!$AF162,'Performance Curves'!$D$1:$L$1,1))+1,FALSE)),"")</f>
        <v/>
      </c>
      <c r="AJ162" s="104" t="str">
        <f>IFERROR('BMP P Tracking Table'!$AI162*'BMP P Tracking Table'!$AE162,"")</f>
        <v/>
      </c>
      <c r="AK162" s="65"/>
      <c r="AL162" s="98"/>
      <c r="AM162" s="98"/>
      <c r="AN162" s="64">
        <v>1</v>
      </c>
      <c r="AO162" s="102" t="str">
        <f t="shared" si="33"/>
        <v/>
      </c>
      <c r="AP162" s="98"/>
      <c r="AQ162" s="98"/>
      <c r="AR162" s="98"/>
      <c r="AS162" s="98"/>
      <c r="AT162" s="98"/>
      <c r="AU162" s="98"/>
      <c r="AV162" s="98"/>
      <c r="AW162" s="65"/>
      <c r="AX162" s="99"/>
      <c r="AY162" s="99"/>
      <c r="AZ162" s="104" t="str">
        <f>IF('BMP P Tracking Table'!$AL162="Yes",IF('BMP P Tracking Table'!$AM162="No",'BMP P Tracking Table'!$V162*VLOOKUP('BMP P Tracking Table'!$R162,'Loading Rates'!$B$1:$L$24,4,FALSE)+IF('BMP P Tracking Table'!$W162="By HSG",'BMP P Tracking Table'!$X162*VLOOKUP('BMP P Tracking Table'!$R162,'Loading Rates'!$B$1:$L$24,6,FALSE)+'BMP P Tracking Table'!$Y162*VLOOKUP('BMP P Tracking Table'!$R162,'Loading Rates'!$B$1:$L$24,7,FALSE)+'BMP P Tracking Table'!$Z162*VLOOKUP('BMP P Tracking Table'!$R162,'Loading Rates'!$B$1:$L$24,8,FALSE)+'BMP P Tracking Table'!$AA162*VLOOKUP('BMP P Tracking Table'!$R162,'Loading Rates'!$B$1:$L$24,9,FALSE),'BMP P Tracking Table'!$AB162*VLOOKUP('BMP P Tracking Table'!$R162,'Loading Rates'!$B$1:$L$24,10,FALSE)),'BMP P Tracking Table'!$AP162*VLOOKUP('BMP P Tracking Table'!$R162,'Loading Rates'!$B$1:$L$24,4,FALSE)+IF('BMP P Tracking Table'!$AQ162="By HSG",'BMP P Tracking Table'!$AR162*VLOOKUP('BMP P Tracking Table'!$R162,'Loading Rates'!$B$1:$L$24,6,FALSE)+'BMP P Tracking Table'!$AS162*VLOOKUP('BMP P Tracking Table'!$R162,'Loading Rates'!$B$1:$L$24,7,FALSE)+'BMP P Tracking Table'!$AT162*VLOOKUP('BMP P Tracking Table'!$R162,'Loading Rates'!$B$1:$L$24,8,FALSE)+'BMP P Tracking Table'!$AU162*VLOOKUP('BMP P Tracking Table'!$R162,'Loading Rates'!$B$1:$L$24,9,FALSE),'BMP P Tracking Table'!$AV162*VLOOKUP('BMP P Tracking Table'!$R162,'Loading Rates'!$B$1:$L$24,10,FALSE))),"")</f>
        <v/>
      </c>
      <c r="BA162" s="104" t="str">
        <f>IFERROR(IF('BMP P Tracking Table'!$AM162="Yes",MIN(2,IF('BMP P Tracking Table'!$AQ162="Total Pervious",(-(3630*'BMP P Tracking Table'!$AP162+20.691*'BMP P Tracking Table'!$AV162)+SQRT((3630*'BMP P Tracking Table'!$AP162+20.691*'BMP P Tracking Table'!$AV162)^2-(4*(996.798*'BMP P Tracking Table'!$AV162)*-'BMP P Tracking Table'!$AX162)))/(2*(996.798*'BMP P Tracking Table'!$AV162)),IF(SUM('BMP P Tracking Table'!$AR162:$AU162)=0,'BMP P Tracking Table'!$AV162/(-3630*'BMP P Tracking Table'!$AP162),(-(3630*'BMP P Tracking Table'!$AP162+20.691*'BMP P Tracking Table'!$AU162-216.711*'BMP P Tracking Table'!$AT162-83.853*'BMP P Tracking Table'!$AS162-42.834*'BMP P Tracking Table'!$AR162)+SQRT((3630*'BMP P Tracking Table'!$AP162+20.691*'BMP P Tracking Table'!$AU162-216.711*'BMP P Tracking Table'!$AT162-83.853*'BMP P Tracking Table'!$AS162-42.834*'BMP P Tracking Table'!$AR162)^2-(4*(149.919*'BMP P Tracking Table'!$AR162+236.676*'BMP P Tracking Table'!$AS162+726*'BMP P Tracking Table'!$AT162+996.798*'BMP P Tracking Table'!$AU162)*-'BMP P Tracking Table'!$AX162)))/(2*(149.919*'BMP P Tracking Table'!$AR162+236.676*'BMP P Tracking Table'!$AS162+726*'BMP P Tracking Table'!$AT162+996.798*'BMP P Tracking Table'!$AU162))))),MIN(2,IF('BMP P Tracking Table'!$AQ162="Total Pervious",(-(3630*'BMP P Tracking Table'!$V162+20.691*'BMP P Tracking Table'!$AB162)+SQRT((3630*'BMP P Tracking Table'!$V162+20.691*'BMP P Tracking Table'!$AB162)^2-(4*(996.798*'BMP P Tracking Table'!$AB162)*-'BMP P Tracking Table'!$AX162)))/(2*(996.798*'BMP P Tracking Table'!$AB162)),IF(SUM('BMP P Tracking Table'!$X162:$AA162)=0,'BMP P Tracking Table'!$AX162/(-3630*'BMP P Tracking Table'!$V162),(-(3630*'BMP P Tracking Table'!$V162+20.691*'BMP P Tracking Table'!$AA162-216.711*'BMP P Tracking Table'!$Z162-83.853*'BMP P Tracking Table'!$Y162-42.834*'BMP P Tracking Table'!$X162)+SQRT((3630*'BMP P Tracking Table'!$V162+20.691*'BMP P Tracking Table'!$AA162-216.711*'BMP P Tracking Table'!$Z162-83.853*'BMP P Tracking Table'!$Y162-42.834*'BMP P Tracking Table'!$X162)^2-(4*(149.919*'BMP P Tracking Table'!$X162+236.676*'BMP P Tracking Table'!$Y162+726*'BMP P Tracking Table'!$Z162+996.798*'BMP P Tracking Table'!$AA162)*-'BMP P Tracking Table'!$AX162)))/(2*(149.919*'BMP P Tracking Table'!$X162+236.676*'BMP P Tracking Table'!$Y162+726*'BMP P Tracking Table'!$Z162+996.798*'BMP P Tracking Table'!$AA162)))))),"")</f>
        <v/>
      </c>
      <c r="BB162" s="102" t="str">
        <f>IFERROR((VLOOKUP(CONCATENATE('BMP P Tracking Table'!$AW162," ",'BMP P Tracking Table'!$AY162),'Performance Curves'!$C$1:$L$46,_xlfn.SINGLE(MATCH('BMP P Tracking Table'!$BA162,'Performance Curves'!$D$1:$L$1,1))+2,FALSE)-VLOOKUP(CONCATENATE('BMP P Tracking Table'!$AW162," ",'BMP P Tracking Table'!$AY162),'Performance Curves'!$C$1:$L$46,_xlfn.SINGLE(MATCH('BMP P Tracking Table'!$BA162,'Performance Curves'!$D$1:$L$1,1))+1,FALSE)),"")</f>
        <v/>
      </c>
      <c r="BC162" s="102" t="str">
        <f>IFERROR(('BMP P Tracking Table'!$BA162-INDEX('Performance Curves'!$D$1:$L$1,1,MATCH('BMP P Tracking Table'!$BA162,'Performance Curves'!$D$1:$L$1,1)))/(INDEX('Performance Curves'!$D$1:$L$1,1,MATCH('BMP P Tracking Table'!$BA162,'Performance Curves'!$D$1:$L$1,1)+1)-INDEX('Performance Curves'!$D$1:$L$1,1,MATCH('BMP P Tracking Table'!$BA162,'Performance Curves'!$D$1:$L$1,1))),"")</f>
        <v/>
      </c>
      <c r="BD162" s="103" t="str" cm="1">
        <f t="array" ref="BD162">IFERROR(IF('BMP P Tracking Table'!$BA162=2,VLOOKUP(CONCATENATE('BMP P Tracking Table'!$AW162," ",'BMP P Tracking Table'!$AY162),'Performance Curves'!$C$1:$L$44,_xlfn.SINGLE(MATCH('BMP P Tracking Table'!$BA162,'Performance Curves'!$D$1:$L$1,1))+1,FALSE),'BMP P Tracking Table'!$BB162*'BMP P Tracking Table'!$BC162+VLOOKUP(CONCATENATE('BMP P Tracking Table'!$AW162," ",'BMP P Tracking Table'!$AY162),'Performance Curves'!$C$1:$L$44,_xlfn.SINGLE(MATCH('BMP P Tracking Table'!$BA162,'Performance Curves'!$D$1:$L$1,1))+1,FALSE)),"")</f>
        <v/>
      </c>
      <c r="BE162" s="104" t="str">
        <f>IFERROR('BMP P Tracking Table'!$BD162*'BMP P Tracking Table'!$AZ162,"")</f>
        <v/>
      </c>
      <c r="BF162" s="98"/>
      <c r="BG162" s="37">
        <f t="shared" si="34"/>
        <v>0</v>
      </c>
    </row>
    <row r="163" spans="2:59" s="36" customFormat="1">
      <c r="B163" s="65"/>
      <c r="C163" s="65"/>
      <c r="D163" s="65"/>
      <c r="E163" s="65"/>
      <c r="F163" s="94"/>
      <c r="G163" s="94"/>
      <c r="H163" s="65"/>
      <c r="I163" s="65"/>
      <c r="J163" s="65"/>
      <c r="K163" s="95"/>
      <c r="L163" s="65"/>
      <c r="M163" s="65"/>
      <c r="N163" s="65"/>
      <c r="O163" s="65"/>
      <c r="P163" s="65"/>
      <c r="Q163" s="65"/>
      <c r="R163" s="65" t="str">
        <f>IFERROR(VLOOKUP('BMP P Tracking Table'!$Q163,Dropdowns!$C$2:$E$15,3,FALSE),"")</f>
        <v/>
      </c>
      <c r="S163" s="65" t="str">
        <f>IFERROR(VLOOKUP('BMP P Tracking Table'!$R163,Dropdowns!$Q$3:$R$23,2,FALSE),"")</f>
        <v/>
      </c>
      <c r="T163" s="65"/>
      <c r="U163" s="65"/>
      <c r="V163" s="65"/>
      <c r="W163" s="65"/>
      <c r="X163" s="65"/>
      <c r="Y163" s="65"/>
      <c r="Z163" s="65"/>
      <c r="AA163" s="65"/>
      <c r="AB163" s="65"/>
      <c r="AC163" s="97"/>
      <c r="AD163" s="65"/>
      <c r="AE163" s="104" t="str">
        <f>IFERROR('BMP P Tracking Table'!$V163*VLOOKUP('BMP P Tracking Table'!$R163,'Loading Rates'!$B$1:$L$24,4,FALSE)+IF('BMP P Tracking Table'!$W163="By HSG",'BMP P Tracking Table'!$X163*VLOOKUP('BMP P Tracking Table'!$R163,'Loading Rates'!$B$1:$L$24,6,FALSE)+'BMP P Tracking Table'!$Y163*VLOOKUP('BMP P Tracking Table'!$R163,'Loading Rates'!$B$1:$L$24,7,FALSE)+'BMP P Tracking Table'!$Z163*VLOOKUP('BMP P Tracking Table'!$R163,'Loading Rates'!$B$1:$L$24,8,FALSE)+'BMP P Tracking Table'!$AA163*VLOOKUP('BMP P Tracking Table'!$R163,'Loading Rates'!$B$1:$L$24,9,FALSE),'BMP P Tracking Table'!$AB163*VLOOKUP('BMP P Tracking Table'!$R163,'Loading Rates'!$B$1:$L$24,10,FALSE)),"")</f>
        <v/>
      </c>
      <c r="AF163" s="104" t="str">
        <f>IFERROR(MIN(2,IF('BMP P Tracking Table'!$W163="Total Pervious",(-(3630*'BMP P Tracking Table'!$V163+20.691*'BMP P Tracking Table'!$AB163)+SQRT((3630*'BMP P Tracking Table'!$V163+20.691*'BMP P Tracking Table'!$AB163)^2-(4*(996.798*'BMP P Tracking Table'!$AB163)*-'BMP P Tracking Table'!$AC163)))/(2*(996.798*'BMP P Tracking Table'!$AB163)),IF(SUM('BMP P Tracking Table'!$X163:$AA163)=0,'BMP P Tracking Table'!$AC163/(-3630*'BMP P Tracking Table'!$V163),(-(3630*'BMP P Tracking Table'!$V163+20.691*'BMP P Tracking Table'!$AA163-216.711*'BMP P Tracking Table'!$Z163-83.853*'BMP P Tracking Table'!$Y163-42.834*'BMP P Tracking Table'!$X163)+SQRT((3630*'BMP P Tracking Table'!$V163+20.691*'BMP P Tracking Table'!$AA163-216.711*'BMP P Tracking Table'!$Z163-83.853*'BMP P Tracking Table'!$Y163-42.834*'BMP P Tracking Table'!$X163)^2-(4*(149.919*'BMP P Tracking Table'!$X163+236.676*'BMP P Tracking Table'!$Y163+726*'BMP P Tracking Table'!$Z163+996.798*'BMP P Tracking Table'!$AA163)*-'BMP P Tracking Table'!$AC163)))/(2*(149.919*'BMP P Tracking Table'!$X163+236.676*'BMP P Tracking Table'!$Y163+726*'BMP P Tracking Table'!$Z163+996.798*'BMP P Tracking Table'!$AA163))))),"")</f>
        <v/>
      </c>
      <c r="AG163" s="104" t="str">
        <f>IFERROR((VLOOKUP(CONCATENATE('BMP P Tracking Table'!$U163," ",'BMP P Tracking Table'!$AD163),'Performance Curves'!$C$1:$L$46,_xlfn.SINGLE(MATCH('BMP P Tracking Table'!$AF163,'Performance Curves'!$D$1:$L$1,1))+2,FALSE)-VLOOKUP(CONCATENATE('BMP P Tracking Table'!$U163," ",'BMP P Tracking Table'!$AD163),'Performance Curves'!$C$1:$L$46,_xlfn.SINGLE(MATCH('BMP P Tracking Table'!$AF163,'Performance Curves'!$D$1:$L$1,1))+1,FALSE)),"")</f>
        <v/>
      </c>
      <c r="AH163" s="104" t="str">
        <f>IFERROR(('BMP P Tracking Table'!$AF163-INDEX('Performance Curves'!$D$1:$L$1,1,MATCH('BMP P Tracking Table'!$AF163,'Performance Curves'!$D$1:$L$1,1)))/(INDEX('Performance Curves'!$D$1:$L$1,1,MATCH('BMP P Tracking Table'!$AF163,'Performance Curves'!$D$1:$L$1,1)+1)-INDEX('Performance Curves'!$D$1:$L$1,1,MATCH('BMP P Tracking Table'!$AF163,'Performance Curves'!$D$1:$L$1,1))),"")</f>
        <v/>
      </c>
      <c r="AI163" s="103" t="str">
        <f>IFERROR(IF('BMP P Tracking Table'!$AF163=2,VLOOKUP(CONCATENATE('BMP P Tracking Table'!$U163," ",'BMP P Tracking Table'!$AD163),'Performance Curves'!$C$1:$L$46,_xlfn.SINGLE(MATCH('BMP P Tracking Table'!$AF163,'Performance Curves'!$D$1:$L$1,1))+1,FALSE),'BMP P Tracking Table'!$AG163*'BMP P Tracking Table'!$AH163+VLOOKUP(CONCATENATE('BMP P Tracking Table'!$U163," ",'BMP P Tracking Table'!$AD163),'Performance Curves'!$C$1:$L$46,_xlfn.SINGLE(MATCH('BMP P Tracking Table'!$AF163,'Performance Curves'!$D$1:$L$1,1))+1,FALSE)),"")</f>
        <v/>
      </c>
      <c r="AJ163" s="104" t="str">
        <f>IFERROR('BMP P Tracking Table'!$AI163*'BMP P Tracking Table'!$AE163,"")</f>
        <v/>
      </c>
      <c r="AK163" s="65"/>
      <c r="AL163" s="98"/>
      <c r="AM163" s="98"/>
      <c r="AN163" s="64">
        <v>1</v>
      </c>
      <c r="AO163" s="102" t="str">
        <f t="shared" si="33"/>
        <v/>
      </c>
      <c r="AP163" s="98"/>
      <c r="AQ163" s="98"/>
      <c r="AR163" s="98"/>
      <c r="AS163" s="98"/>
      <c r="AT163" s="98"/>
      <c r="AU163" s="98"/>
      <c r="AV163" s="98"/>
      <c r="AW163" s="65"/>
      <c r="AX163" s="99"/>
      <c r="AY163" s="99"/>
      <c r="AZ163" s="104" t="str">
        <f>IF('BMP P Tracking Table'!$AL163="Yes",IF('BMP P Tracking Table'!$AM163="No",'BMP P Tracking Table'!$V163*VLOOKUP('BMP P Tracking Table'!$R163,'Loading Rates'!$B$1:$L$24,4,FALSE)+IF('BMP P Tracking Table'!$W163="By HSG",'BMP P Tracking Table'!$X163*VLOOKUP('BMP P Tracking Table'!$R163,'Loading Rates'!$B$1:$L$24,6,FALSE)+'BMP P Tracking Table'!$Y163*VLOOKUP('BMP P Tracking Table'!$R163,'Loading Rates'!$B$1:$L$24,7,FALSE)+'BMP P Tracking Table'!$Z163*VLOOKUP('BMP P Tracking Table'!$R163,'Loading Rates'!$B$1:$L$24,8,FALSE)+'BMP P Tracking Table'!$AA163*VLOOKUP('BMP P Tracking Table'!$R163,'Loading Rates'!$B$1:$L$24,9,FALSE),'BMP P Tracking Table'!$AB163*VLOOKUP('BMP P Tracking Table'!$R163,'Loading Rates'!$B$1:$L$24,10,FALSE)),'BMP P Tracking Table'!$AP163*VLOOKUP('BMP P Tracking Table'!$R163,'Loading Rates'!$B$1:$L$24,4,FALSE)+IF('BMP P Tracking Table'!$AQ163="By HSG",'BMP P Tracking Table'!$AR163*VLOOKUP('BMP P Tracking Table'!$R163,'Loading Rates'!$B$1:$L$24,6,FALSE)+'BMP P Tracking Table'!$AS163*VLOOKUP('BMP P Tracking Table'!$R163,'Loading Rates'!$B$1:$L$24,7,FALSE)+'BMP P Tracking Table'!$AT163*VLOOKUP('BMP P Tracking Table'!$R163,'Loading Rates'!$B$1:$L$24,8,FALSE)+'BMP P Tracking Table'!$AU163*VLOOKUP('BMP P Tracking Table'!$R163,'Loading Rates'!$B$1:$L$24,9,FALSE),'BMP P Tracking Table'!$AV163*VLOOKUP('BMP P Tracking Table'!$R163,'Loading Rates'!$B$1:$L$24,10,FALSE))),"")</f>
        <v/>
      </c>
      <c r="BA163" s="104" t="str">
        <f>IFERROR(IF('BMP P Tracking Table'!$AM163="Yes",MIN(2,IF('BMP P Tracking Table'!$AQ163="Total Pervious",(-(3630*'BMP P Tracking Table'!$AP163+20.691*'BMP P Tracking Table'!$AV163)+SQRT((3630*'BMP P Tracking Table'!$AP163+20.691*'BMP P Tracking Table'!$AV163)^2-(4*(996.798*'BMP P Tracking Table'!$AV163)*-'BMP P Tracking Table'!$AX163)))/(2*(996.798*'BMP P Tracking Table'!$AV163)),IF(SUM('BMP P Tracking Table'!$AR163:$AU163)=0,'BMP P Tracking Table'!$AV163/(-3630*'BMP P Tracking Table'!$AP163),(-(3630*'BMP P Tracking Table'!$AP163+20.691*'BMP P Tracking Table'!$AU163-216.711*'BMP P Tracking Table'!$AT163-83.853*'BMP P Tracking Table'!$AS163-42.834*'BMP P Tracking Table'!$AR163)+SQRT((3630*'BMP P Tracking Table'!$AP163+20.691*'BMP P Tracking Table'!$AU163-216.711*'BMP P Tracking Table'!$AT163-83.853*'BMP P Tracking Table'!$AS163-42.834*'BMP P Tracking Table'!$AR163)^2-(4*(149.919*'BMP P Tracking Table'!$AR163+236.676*'BMP P Tracking Table'!$AS163+726*'BMP P Tracking Table'!$AT163+996.798*'BMP P Tracking Table'!$AU163)*-'BMP P Tracking Table'!$AX163)))/(2*(149.919*'BMP P Tracking Table'!$AR163+236.676*'BMP P Tracking Table'!$AS163+726*'BMP P Tracking Table'!$AT163+996.798*'BMP P Tracking Table'!$AU163))))),MIN(2,IF('BMP P Tracking Table'!$AQ163="Total Pervious",(-(3630*'BMP P Tracking Table'!$V163+20.691*'BMP P Tracking Table'!$AB163)+SQRT((3630*'BMP P Tracking Table'!$V163+20.691*'BMP P Tracking Table'!$AB163)^2-(4*(996.798*'BMP P Tracking Table'!$AB163)*-'BMP P Tracking Table'!$AX163)))/(2*(996.798*'BMP P Tracking Table'!$AB163)),IF(SUM('BMP P Tracking Table'!$X163:$AA163)=0,'BMP P Tracking Table'!$AX163/(-3630*'BMP P Tracking Table'!$V163),(-(3630*'BMP P Tracking Table'!$V163+20.691*'BMP P Tracking Table'!$AA163-216.711*'BMP P Tracking Table'!$Z163-83.853*'BMP P Tracking Table'!$Y163-42.834*'BMP P Tracking Table'!$X163)+SQRT((3630*'BMP P Tracking Table'!$V163+20.691*'BMP P Tracking Table'!$AA163-216.711*'BMP P Tracking Table'!$Z163-83.853*'BMP P Tracking Table'!$Y163-42.834*'BMP P Tracking Table'!$X163)^2-(4*(149.919*'BMP P Tracking Table'!$X163+236.676*'BMP P Tracking Table'!$Y163+726*'BMP P Tracking Table'!$Z163+996.798*'BMP P Tracking Table'!$AA163)*-'BMP P Tracking Table'!$AX163)))/(2*(149.919*'BMP P Tracking Table'!$X163+236.676*'BMP P Tracking Table'!$Y163+726*'BMP P Tracking Table'!$Z163+996.798*'BMP P Tracking Table'!$AA163)))))),"")</f>
        <v/>
      </c>
      <c r="BB163" s="102" t="str">
        <f>IFERROR((VLOOKUP(CONCATENATE('BMP P Tracking Table'!$AW163," ",'BMP P Tracking Table'!$AY163),'Performance Curves'!$C$1:$L$46,_xlfn.SINGLE(MATCH('BMP P Tracking Table'!$BA163,'Performance Curves'!$D$1:$L$1,1))+2,FALSE)-VLOOKUP(CONCATENATE('BMP P Tracking Table'!$AW163," ",'BMP P Tracking Table'!$AY163),'Performance Curves'!$C$1:$L$46,_xlfn.SINGLE(MATCH('BMP P Tracking Table'!$BA163,'Performance Curves'!$D$1:$L$1,1))+1,FALSE)),"")</f>
        <v/>
      </c>
      <c r="BC163" s="102" t="str">
        <f>IFERROR(('BMP P Tracking Table'!$BA163-INDEX('Performance Curves'!$D$1:$L$1,1,MATCH('BMP P Tracking Table'!$BA163,'Performance Curves'!$D$1:$L$1,1)))/(INDEX('Performance Curves'!$D$1:$L$1,1,MATCH('BMP P Tracking Table'!$BA163,'Performance Curves'!$D$1:$L$1,1)+1)-INDEX('Performance Curves'!$D$1:$L$1,1,MATCH('BMP P Tracking Table'!$BA163,'Performance Curves'!$D$1:$L$1,1))),"")</f>
        <v/>
      </c>
      <c r="BD163" s="103" t="str" cm="1">
        <f t="array" ref="BD163">IFERROR(IF('BMP P Tracking Table'!$BA163=2,VLOOKUP(CONCATENATE('BMP P Tracking Table'!$AW163," ",'BMP P Tracking Table'!$AY163),'Performance Curves'!$C$1:$L$44,_xlfn.SINGLE(MATCH('BMP P Tracking Table'!$BA163,'Performance Curves'!$D$1:$L$1,1))+1,FALSE),'BMP P Tracking Table'!$BB163*'BMP P Tracking Table'!$BC163+VLOOKUP(CONCATENATE('BMP P Tracking Table'!$AW163," ",'BMP P Tracking Table'!$AY163),'Performance Curves'!$C$1:$L$44,_xlfn.SINGLE(MATCH('BMP P Tracking Table'!$BA163,'Performance Curves'!$D$1:$L$1,1))+1,FALSE)),"")</f>
        <v/>
      </c>
      <c r="BE163" s="104" t="str">
        <f>IFERROR('BMP P Tracking Table'!$BD163*'BMP P Tracking Table'!$AZ163,"")</f>
        <v/>
      </c>
      <c r="BF163" s="98"/>
      <c r="BG163" s="37">
        <f t="shared" si="34"/>
        <v>0</v>
      </c>
    </row>
    <row r="164" spans="2:59" s="36" customFormat="1">
      <c r="B164" s="65"/>
      <c r="C164" s="65"/>
      <c r="D164" s="65"/>
      <c r="E164" s="65"/>
      <c r="F164" s="94"/>
      <c r="G164" s="94"/>
      <c r="H164" s="65"/>
      <c r="I164" s="65"/>
      <c r="J164" s="65"/>
      <c r="K164" s="95"/>
      <c r="L164" s="65"/>
      <c r="M164" s="65"/>
      <c r="N164" s="65"/>
      <c r="O164" s="65"/>
      <c r="P164" s="65"/>
      <c r="Q164" s="65"/>
      <c r="R164" s="65" t="str">
        <f>IFERROR(VLOOKUP('BMP P Tracking Table'!$Q164,Dropdowns!$C$2:$E$15,3,FALSE),"")</f>
        <v/>
      </c>
      <c r="S164" s="65" t="str">
        <f>IFERROR(VLOOKUP('BMP P Tracking Table'!$R164,Dropdowns!$Q$3:$R$23,2,FALSE),"")</f>
        <v/>
      </c>
      <c r="T164" s="65"/>
      <c r="U164" s="65"/>
      <c r="V164" s="65"/>
      <c r="W164" s="65"/>
      <c r="X164" s="65"/>
      <c r="Y164" s="65"/>
      <c r="Z164" s="65"/>
      <c r="AA164" s="65"/>
      <c r="AB164" s="65"/>
      <c r="AC164" s="97"/>
      <c r="AD164" s="65"/>
      <c r="AE164" s="104" t="str">
        <f>IFERROR('BMP P Tracking Table'!$V164*VLOOKUP('BMP P Tracking Table'!$R164,'Loading Rates'!$B$1:$L$24,4,FALSE)+IF('BMP P Tracking Table'!$W164="By HSG",'BMP P Tracking Table'!$X164*VLOOKUP('BMP P Tracking Table'!$R164,'Loading Rates'!$B$1:$L$24,6,FALSE)+'BMP P Tracking Table'!$Y164*VLOOKUP('BMP P Tracking Table'!$R164,'Loading Rates'!$B$1:$L$24,7,FALSE)+'BMP P Tracking Table'!$Z164*VLOOKUP('BMP P Tracking Table'!$R164,'Loading Rates'!$B$1:$L$24,8,FALSE)+'BMP P Tracking Table'!$AA164*VLOOKUP('BMP P Tracking Table'!$R164,'Loading Rates'!$B$1:$L$24,9,FALSE),'BMP P Tracking Table'!$AB164*VLOOKUP('BMP P Tracking Table'!$R164,'Loading Rates'!$B$1:$L$24,10,FALSE)),"")</f>
        <v/>
      </c>
      <c r="AF164" s="104" t="str">
        <f>IFERROR(MIN(2,IF('BMP P Tracking Table'!$W164="Total Pervious",(-(3630*'BMP P Tracking Table'!$V164+20.691*'BMP P Tracking Table'!$AB164)+SQRT((3630*'BMP P Tracking Table'!$V164+20.691*'BMP P Tracking Table'!$AB164)^2-(4*(996.798*'BMP P Tracking Table'!$AB164)*-'BMP P Tracking Table'!$AC164)))/(2*(996.798*'BMP P Tracking Table'!$AB164)),IF(SUM('BMP P Tracking Table'!$X164:$AA164)=0,'BMP P Tracking Table'!$AC164/(-3630*'BMP P Tracking Table'!$V164),(-(3630*'BMP P Tracking Table'!$V164+20.691*'BMP P Tracking Table'!$AA164-216.711*'BMP P Tracking Table'!$Z164-83.853*'BMP P Tracking Table'!$Y164-42.834*'BMP P Tracking Table'!$X164)+SQRT((3630*'BMP P Tracking Table'!$V164+20.691*'BMP P Tracking Table'!$AA164-216.711*'BMP P Tracking Table'!$Z164-83.853*'BMP P Tracking Table'!$Y164-42.834*'BMP P Tracking Table'!$X164)^2-(4*(149.919*'BMP P Tracking Table'!$X164+236.676*'BMP P Tracking Table'!$Y164+726*'BMP P Tracking Table'!$Z164+996.798*'BMP P Tracking Table'!$AA164)*-'BMP P Tracking Table'!$AC164)))/(2*(149.919*'BMP P Tracking Table'!$X164+236.676*'BMP P Tracking Table'!$Y164+726*'BMP P Tracking Table'!$Z164+996.798*'BMP P Tracking Table'!$AA164))))),"")</f>
        <v/>
      </c>
      <c r="AG164" s="104" t="str">
        <f>IFERROR((VLOOKUP(CONCATENATE('BMP P Tracking Table'!$U164," ",'BMP P Tracking Table'!$AD164),'Performance Curves'!$C$1:$L$46,_xlfn.SINGLE(MATCH('BMP P Tracking Table'!$AF164,'Performance Curves'!$D$1:$L$1,1))+2,FALSE)-VLOOKUP(CONCATENATE('BMP P Tracking Table'!$U164," ",'BMP P Tracking Table'!$AD164),'Performance Curves'!$C$1:$L$46,_xlfn.SINGLE(MATCH('BMP P Tracking Table'!$AF164,'Performance Curves'!$D$1:$L$1,1))+1,FALSE)),"")</f>
        <v/>
      </c>
      <c r="AH164" s="104" t="str">
        <f>IFERROR(('BMP P Tracking Table'!$AF164-INDEX('Performance Curves'!$D$1:$L$1,1,MATCH('BMP P Tracking Table'!$AF164,'Performance Curves'!$D$1:$L$1,1)))/(INDEX('Performance Curves'!$D$1:$L$1,1,MATCH('BMP P Tracking Table'!$AF164,'Performance Curves'!$D$1:$L$1,1)+1)-INDEX('Performance Curves'!$D$1:$L$1,1,MATCH('BMP P Tracking Table'!$AF164,'Performance Curves'!$D$1:$L$1,1))),"")</f>
        <v/>
      </c>
      <c r="AI164" s="103" t="str">
        <f>IFERROR(IF('BMP P Tracking Table'!$AF164=2,VLOOKUP(CONCATENATE('BMP P Tracking Table'!$U164," ",'BMP P Tracking Table'!$AD164),'Performance Curves'!$C$1:$L$46,_xlfn.SINGLE(MATCH('BMP P Tracking Table'!$AF164,'Performance Curves'!$D$1:$L$1,1))+1,FALSE),'BMP P Tracking Table'!$AG164*'BMP P Tracking Table'!$AH164+VLOOKUP(CONCATENATE('BMP P Tracking Table'!$U164," ",'BMP P Tracking Table'!$AD164),'Performance Curves'!$C$1:$L$46,_xlfn.SINGLE(MATCH('BMP P Tracking Table'!$AF164,'Performance Curves'!$D$1:$L$1,1))+1,FALSE)),"")</f>
        <v/>
      </c>
      <c r="AJ164" s="104" t="str">
        <f>IFERROR('BMP P Tracking Table'!$AI164*'BMP P Tracking Table'!$AE164,"")</f>
        <v/>
      </c>
      <c r="AK164" s="65"/>
      <c r="AL164" s="98"/>
      <c r="AM164" s="98"/>
      <c r="AN164" s="64">
        <v>1</v>
      </c>
      <c r="AO164" s="102" t="str">
        <f t="shared" si="33"/>
        <v/>
      </c>
      <c r="AP164" s="98"/>
      <c r="AQ164" s="98"/>
      <c r="AR164" s="98"/>
      <c r="AS164" s="98"/>
      <c r="AT164" s="98"/>
      <c r="AU164" s="98"/>
      <c r="AV164" s="98"/>
      <c r="AW164" s="65"/>
      <c r="AX164" s="99"/>
      <c r="AY164" s="99"/>
      <c r="AZ164" s="104" t="str">
        <f>IF('BMP P Tracking Table'!$AL164="Yes",IF('BMP P Tracking Table'!$AM164="No",'BMP P Tracking Table'!$V164*VLOOKUP('BMP P Tracking Table'!$R164,'Loading Rates'!$B$1:$L$24,4,FALSE)+IF('BMP P Tracking Table'!$W164="By HSG",'BMP P Tracking Table'!$X164*VLOOKUP('BMP P Tracking Table'!$R164,'Loading Rates'!$B$1:$L$24,6,FALSE)+'BMP P Tracking Table'!$Y164*VLOOKUP('BMP P Tracking Table'!$R164,'Loading Rates'!$B$1:$L$24,7,FALSE)+'BMP P Tracking Table'!$Z164*VLOOKUP('BMP P Tracking Table'!$R164,'Loading Rates'!$B$1:$L$24,8,FALSE)+'BMP P Tracking Table'!$AA164*VLOOKUP('BMP P Tracking Table'!$R164,'Loading Rates'!$B$1:$L$24,9,FALSE),'BMP P Tracking Table'!$AB164*VLOOKUP('BMP P Tracking Table'!$R164,'Loading Rates'!$B$1:$L$24,10,FALSE)),'BMP P Tracking Table'!$AP164*VLOOKUP('BMP P Tracking Table'!$R164,'Loading Rates'!$B$1:$L$24,4,FALSE)+IF('BMP P Tracking Table'!$AQ164="By HSG",'BMP P Tracking Table'!$AR164*VLOOKUP('BMP P Tracking Table'!$R164,'Loading Rates'!$B$1:$L$24,6,FALSE)+'BMP P Tracking Table'!$AS164*VLOOKUP('BMP P Tracking Table'!$R164,'Loading Rates'!$B$1:$L$24,7,FALSE)+'BMP P Tracking Table'!$AT164*VLOOKUP('BMP P Tracking Table'!$R164,'Loading Rates'!$B$1:$L$24,8,FALSE)+'BMP P Tracking Table'!$AU164*VLOOKUP('BMP P Tracking Table'!$R164,'Loading Rates'!$B$1:$L$24,9,FALSE),'BMP P Tracking Table'!$AV164*VLOOKUP('BMP P Tracking Table'!$R164,'Loading Rates'!$B$1:$L$24,10,FALSE))),"")</f>
        <v/>
      </c>
      <c r="BA164" s="104" t="str">
        <f>IFERROR(IF('BMP P Tracking Table'!$AM164="Yes",MIN(2,IF('BMP P Tracking Table'!$AQ164="Total Pervious",(-(3630*'BMP P Tracking Table'!$AP164+20.691*'BMP P Tracking Table'!$AV164)+SQRT((3630*'BMP P Tracking Table'!$AP164+20.691*'BMP P Tracking Table'!$AV164)^2-(4*(996.798*'BMP P Tracking Table'!$AV164)*-'BMP P Tracking Table'!$AX164)))/(2*(996.798*'BMP P Tracking Table'!$AV164)),IF(SUM('BMP P Tracking Table'!$AR164:$AU164)=0,'BMP P Tracking Table'!$AV164/(-3630*'BMP P Tracking Table'!$AP164),(-(3630*'BMP P Tracking Table'!$AP164+20.691*'BMP P Tracking Table'!$AU164-216.711*'BMP P Tracking Table'!$AT164-83.853*'BMP P Tracking Table'!$AS164-42.834*'BMP P Tracking Table'!$AR164)+SQRT((3630*'BMP P Tracking Table'!$AP164+20.691*'BMP P Tracking Table'!$AU164-216.711*'BMP P Tracking Table'!$AT164-83.853*'BMP P Tracking Table'!$AS164-42.834*'BMP P Tracking Table'!$AR164)^2-(4*(149.919*'BMP P Tracking Table'!$AR164+236.676*'BMP P Tracking Table'!$AS164+726*'BMP P Tracking Table'!$AT164+996.798*'BMP P Tracking Table'!$AU164)*-'BMP P Tracking Table'!$AX164)))/(2*(149.919*'BMP P Tracking Table'!$AR164+236.676*'BMP P Tracking Table'!$AS164+726*'BMP P Tracking Table'!$AT164+996.798*'BMP P Tracking Table'!$AU164))))),MIN(2,IF('BMP P Tracking Table'!$AQ164="Total Pervious",(-(3630*'BMP P Tracking Table'!$V164+20.691*'BMP P Tracking Table'!$AB164)+SQRT((3630*'BMP P Tracking Table'!$V164+20.691*'BMP P Tracking Table'!$AB164)^2-(4*(996.798*'BMP P Tracking Table'!$AB164)*-'BMP P Tracking Table'!$AX164)))/(2*(996.798*'BMP P Tracking Table'!$AB164)),IF(SUM('BMP P Tracking Table'!$X164:$AA164)=0,'BMP P Tracking Table'!$AX164/(-3630*'BMP P Tracking Table'!$V164),(-(3630*'BMP P Tracking Table'!$V164+20.691*'BMP P Tracking Table'!$AA164-216.711*'BMP P Tracking Table'!$Z164-83.853*'BMP P Tracking Table'!$Y164-42.834*'BMP P Tracking Table'!$X164)+SQRT((3630*'BMP P Tracking Table'!$V164+20.691*'BMP P Tracking Table'!$AA164-216.711*'BMP P Tracking Table'!$Z164-83.853*'BMP P Tracking Table'!$Y164-42.834*'BMP P Tracking Table'!$X164)^2-(4*(149.919*'BMP P Tracking Table'!$X164+236.676*'BMP P Tracking Table'!$Y164+726*'BMP P Tracking Table'!$Z164+996.798*'BMP P Tracking Table'!$AA164)*-'BMP P Tracking Table'!$AX164)))/(2*(149.919*'BMP P Tracking Table'!$X164+236.676*'BMP P Tracking Table'!$Y164+726*'BMP P Tracking Table'!$Z164+996.798*'BMP P Tracking Table'!$AA164)))))),"")</f>
        <v/>
      </c>
      <c r="BB164" s="102" t="str">
        <f>IFERROR((VLOOKUP(CONCATENATE('BMP P Tracking Table'!$AW164," ",'BMP P Tracking Table'!$AY164),'Performance Curves'!$C$1:$L$46,_xlfn.SINGLE(MATCH('BMP P Tracking Table'!$BA164,'Performance Curves'!$D$1:$L$1,1))+2,FALSE)-VLOOKUP(CONCATENATE('BMP P Tracking Table'!$AW164," ",'BMP P Tracking Table'!$AY164),'Performance Curves'!$C$1:$L$46,_xlfn.SINGLE(MATCH('BMP P Tracking Table'!$BA164,'Performance Curves'!$D$1:$L$1,1))+1,FALSE)),"")</f>
        <v/>
      </c>
      <c r="BC164" s="102" t="str">
        <f>IFERROR(('BMP P Tracking Table'!$BA164-INDEX('Performance Curves'!$D$1:$L$1,1,MATCH('BMP P Tracking Table'!$BA164,'Performance Curves'!$D$1:$L$1,1)))/(INDEX('Performance Curves'!$D$1:$L$1,1,MATCH('BMP P Tracking Table'!$BA164,'Performance Curves'!$D$1:$L$1,1)+1)-INDEX('Performance Curves'!$D$1:$L$1,1,MATCH('BMP P Tracking Table'!$BA164,'Performance Curves'!$D$1:$L$1,1))),"")</f>
        <v/>
      </c>
      <c r="BD164" s="103" t="str" cm="1">
        <f t="array" ref="BD164">IFERROR(IF('BMP P Tracking Table'!$BA164=2,VLOOKUP(CONCATENATE('BMP P Tracking Table'!$AW164," ",'BMP P Tracking Table'!$AY164),'Performance Curves'!$C$1:$L$44,_xlfn.SINGLE(MATCH('BMP P Tracking Table'!$BA164,'Performance Curves'!$D$1:$L$1,1))+1,FALSE),'BMP P Tracking Table'!$BB164*'BMP P Tracking Table'!$BC164+VLOOKUP(CONCATENATE('BMP P Tracking Table'!$AW164," ",'BMP P Tracking Table'!$AY164),'Performance Curves'!$C$1:$L$44,_xlfn.SINGLE(MATCH('BMP P Tracking Table'!$BA164,'Performance Curves'!$D$1:$L$1,1))+1,FALSE)),"")</f>
        <v/>
      </c>
      <c r="BE164" s="104" t="str">
        <f>IFERROR('BMP P Tracking Table'!$BD164*'BMP P Tracking Table'!$AZ164,"")</f>
        <v/>
      </c>
      <c r="BF164" s="98"/>
      <c r="BG164" s="37">
        <f t="shared" si="34"/>
        <v>0</v>
      </c>
    </row>
    <row r="165" spans="2:59" s="36" customFormat="1">
      <c r="B165" s="65"/>
      <c r="C165" s="65"/>
      <c r="D165" s="65"/>
      <c r="E165" s="65"/>
      <c r="F165" s="94"/>
      <c r="G165" s="94"/>
      <c r="H165" s="65"/>
      <c r="I165" s="65"/>
      <c r="J165" s="65"/>
      <c r="K165" s="95"/>
      <c r="L165" s="65"/>
      <c r="M165" s="65"/>
      <c r="N165" s="65"/>
      <c r="O165" s="65"/>
      <c r="P165" s="65"/>
      <c r="Q165" s="65"/>
      <c r="R165" s="65" t="str">
        <f>IFERROR(VLOOKUP('BMP P Tracking Table'!$Q165,Dropdowns!$C$2:$E$15,3,FALSE),"")</f>
        <v/>
      </c>
      <c r="S165" s="65" t="str">
        <f>IFERROR(VLOOKUP('BMP P Tracking Table'!$R165,Dropdowns!$Q$3:$R$23,2,FALSE),"")</f>
        <v/>
      </c>
      <c r="T165" s="65"/>
      <c r="U165" s="65"/>
      <c r="V165" s="65"/>
      <c r="W165" s="65"/>
      <c r="X165" s="65"/>
      <c r="Y165" s="65"/>
      <c r="Z165" s="65"/>
      <c r="AA165" s="65"/>
      <c r="AB165" s="65"/>
      <c r="AC165" s="97"/>
      <c r="AD165" s="65"/>
      <c r="AE165" s="104" t="str">
        <f>IFERROR('BMP P Tracking Table'!$V165*VLOOKUP('BMP P Tracking Table'!$R165,'Loading Rates'!$B$1:$L$24,4,FALSE)+IF('BMP P Tracking Table'!$W165="By HSG",'BMP P Tracking Table'!$X165*VLOOKUP('BMP P Tracking Table'!$R165,'Loading Rates'!$B$1:$L$24,6,FALSE)+'BMP P Tracking Table'!$Y165*VLOOKUP('BMP P Tracking Table'!$R165,'Loading Rates'!$B$1:$L$24,7,FALSE)+'BMP P Tracking Table'!$Z165*VLOOKUP('BMP P Tracking Table'!$R165,'Loading Rates'!$B$1:$L$24,8,FALSE)+'BMP P Tracking Table'!$AA165*VLOOKUP('BMP P Tracking Table'!$R165,'Loading Rates'!$B$1:$L$24,9,FALSE),'BMP P Tracking Table'!$AB165*VLOOKUP('BMP P Tracking Table'!$R165,'Loading Rates'!$B$1:$L$24,10,FALSE)),"")</f>
        <v/>
      </c>
      <c r="AF165" s="104" t="str">
        <f>IFERROR(MIN(2,IF('BMP P Tracking Table'!$W165="Total Pervious",(-(3630*'BMP P Tracking Table'!$V165+20.691*'BMP P Tracking Table'!$AB165)+SQRT((3630*'BMP P Tracking Table'!$V165+20.691*'BMP P Tracking Table'!$AB165)^2-(4*(996.798*'BMP P Tracking Table'!$AB165)*-'BMP P Tracking Table'!$AC165)))/(2*(996.798*'BMP P Tracking Table'!$AB165)),IF(SUM('BMP P Tracking Table'!$X165:$AA165)=0,'BMP P Tracking Table'!$AC165/(-3630*'BMP P Tracking Table'!$V165),(-(3630*'BMP P Tracking Table'!$V165+20.691*'BMP P Tracking Table'!$AA165-216.711*'BMP P Tracking Table'!$Z165-83.853*'BMP P Tracking Table'!$Y165-42.834*'BMP P Tracking Table'!$X165)+SQRT((3630*'BMP P Tracking Table'!$V165+20.691*'BMP P Tracking Table'!$AA165-216.711*'BMP P Tracking Table'!$Z165-83.853*'BMP P Tracking Table'!$Y165-42.834*'BMP P Tracking Table'!$X165)^2-(4*(149.919*'BMP P Tracking Table'!$X165+236.676*'BMP P Tracking Table'!$Y165+726*'BMP P Tracking Table'!$Z165+996.798*'BMP P Tracking Table'!$AA165)*-'BMP P Tracking Table'!$AC165)))/(2*(149.919*'BMP P Tracking Table'!$X165+236.676*'BMP P Tracking Table'!$Y165+726*'BMP P Tracking Table'!$Z165+996.798*'BMP P Tracking Table'!$AA165))))),"")</f>
        <v/>
      </c>
      <c r="AG165" s="104" t="str">
        <f>IFERROR((VLOOKUP(CONCATENATE('BMP P Tracking Table'!$U165," ",'BMP P Tracking Table'!$AD165),'Performance Curves'!$C$1:$L$46,_xlfn.SINGLE(MATCH('BMP P Tracking Table'!$AF165,'Performance Curves'!$D$1:$L$1,1))+2,FALSE)-VLOOKUP(CONCATENATE('BMP P Tracking Table'!$U165," ",'BMP P Tracking Table'!$AD165),'Performance Curves'!$C$1:$L$46,_xlfn.SINGLE(MATCH('BMP P Tracking Table'!$AF165,'Performance Curves'!$D$1:$L$1,1))+1,FALSE)),"")</f>
        <v/>
      </c>
      <c r="AH165" s="104" t="str">
        <f>IFERROR(('BMP P Tracking Table'!$AF165-INDEX('Performance Curves'!$D$1:$L$1,1,MATCH('BMP P Tracking Table'!$AF165,'Performance Curves'!$D$1:$L$1,1)))/(INDEX('Performance Curves'!$D$1:$L$1,1,MATCH('BMP P Tracking Table'!$AF165,'Performance Curves'!$D$1:$L$1,1)+1)-INDEX('Performance Curves'!$D$1:$L$1,1,MATCH('BMP P Tracking Table'!$AF165,'Performance Curves'!$D$1:$L$1,1))),"")</f>
        <v/>
      </c>
      <c r="AI165" s="103" t="str">
        <f>IFERROR(IF('BMP P Tracking Table'!$AF165=2,VLOOKUP(CONCATENATE('BMP P Tracking Table'!$U165," ",'BMP P Tracking Table'!$AD165),'Performance Curves'!$C$1:$L$46,_xlfn.SINGLE(MATCH('BMP P Tracking Table'!$AF165,'Performance Curves'!$D$1:$L$1,1))+1,FALSE),'BMP P Tracking Table'!$AG165*'BMP P Tracking Table'!$AH165+VLOOKUP(CONCATENATE('BMP P Tracking Table'!$U165," ",'BMP P Tracking Table'!$AD165),'Performance Curves'!$C$1:$L$46,_xlfn.SINGLE(MATCH('BMP P Tracking Table'!$AF165,'Performance Curves'!$D$1:$L$1,1))+1,FALSE)),"")</f>
        <v/>
      </c>
      <c r="AJ165" s="104" t="str">
        <f>IFERROR('BMP P Tracking Table'!$AI165*'BMP P Tracking Table'!$AE165,"")</f>
        <v/>
      </c>
      <c r="AK165" s="65"/>
      <c r="AL165" s="98"/>
      <c r="AM165" s="98"/>
      <c r="AN165" s="64">
        <v>1</v>
      </c>
      <c r="AO165" s="102" t="str">
        <f t="shared" si="33"/>
        <v/>
      </c>
      <c r="AP165" s="98"/>
      <c r="AQ165" s="98"/>
      <c r="AR165" s="98"/>
      <c r="AS165" s="98"/>
      <c r="AT165" s="98"/>
      <c r="AU165" s="98"/>
      <c r="AV165" s="98"/>
      <c r="AW165" s="65"/>
      <c r="AX165" s="99"/>
      <c r="AY165" s="99"/>
      <c r="AZ165" s="104" t="str">
        <f>IF('BMP P Tracking Table'!$AL165="Yes",IF('BMP P Tracking Table'!$AM165="No",'BMP P Tracking Table'!$V165*VLOOKUP('BMP P Tracking Table'!$R165,'Loading Rates'!$B$1:$L$24,4,FALSE)+IF('BMP P Tracking Table'!$W165="By HSG",'BMP P Tracking Table'!$X165*VLOOKUP('BMP P Tracking Table'!$R165,'Loading Rates'!$B$1:$L$24,6,FALSE)+'BMP P Tracking Table'!$Y165*VLOOKUP('BMP P Tracking Table'!$R165,'Loading Rates'!$B$1:$L$24,7,FALSE)+'BMP P Tracking Table'!$Z165*VLOOKUP('BMP P Tracking Table'!$R165,'Loading Rates'!$B$1:$L$24,8,FALSE)+'BMP P Tracking Table'!$AA165*VLOOKUP('BMP P Tracking Table'!$R165,'Loading Rates'!$B$1:$L$24,9,FALSE),'BMP P Tracking Table'!$AB165*VLOOKUP('BMP P Tracking Table'!$R165,'Loading Rates'!$B$1:$L$24,10,FALSE)),'BMP P Tracking Table'!$AP165*VLOOKUP('BMP P Tracking Table'!$R165,'Loading Rates'!$B$1:$L$24,4,FALSE)+IF('BMP P Tracking Table'!$AQ165="By HSG",'BMP P Tracking Table'!$AR165*VLOOKUP('BMP P Tracking Table'!$R165,'Loading Rates'!$B$1:$L$24,6,FALSE)+'BMP P Tracking Table'!$AS165*VLOOKUP('BMP P Tracking Table'!$R165,'Loading Rates'!$B$1:$L$24,7,FALSE)+'BMP P Tracking Table'!$AT165*VLOOKUP('BMP P Tracking Table'!$R165,'Loading Rates'!$B$1:$L$24,8,FALSE)+'BMP P Tracking Table'!$AU165*VLOOKUP('BMP P Tracking Table'!$R165,'Loading Rates'!$B$1:$L$24,9,FALSE),'BMP P Tracking Table'!$AV165*VLOOKUP('BMP P Tracking Table'!$R165,'Loading Rates'!$B$1:$L$24,10,FALSE))),"")</f>
        <v/>
      </c>
      <c r="BA165" s="104" t="str">
        <f>IFERROR(IF('BMP P Tracking Table'!$AM165="Yes",MIN(2,IF('BMP P Tracking Table'!$AQ165="Total Pervious",(-(3630*'BMP P Tracking Table'!$AP165+20.691*'BMP P Tracking Table'!$AV165)+SQRT((3630*'BMP P Tracking Table'!$AP165+20.691*'BMP P Tracking Table'!$AV165)^2-(4*(996.798*'BMP P Tracking Table'!$AV165)*-'BMP P Tracking Table'!$AX165)))/(2*(996.798*'BMP P Tracking Table'!$AV165)),IF(SUM('BMP P Tracking Table'!$AR165:$AU165)=0,'BMP P Tracking Table'!$AV165/(-3630*'BMP P Tracking Table'!$AP165),(-(3630*'BMP P Tracking Table'!$AP165+20.691*'BMP P Tracking Table'!$AU165-216.711*'BMP P Tracking Table'!$AT165-83.853*'BMP P Tracking Table'!$AS165-42.834*'BMP P Tracking Table'!$AR165)+SQRT((3630*'BMP P Tracking Table'!$AP165+20.691*'BMP P Tracking Table'!$AU165-216.711*'BMP P Tracking Table'!$AT165-83.853*'BMP P Tracking Table'!$AS165-42.834*'BMP P Tracking Table'!$AR165)^2-(4*(149.919*'BMP P Tracking Table'!$AR165+236.676*'BMP P Tracking Table'!$AS165+726*'BMP P Tracking Table'!$AT165+996.798*'BMP P Tracking Table'!$AU165)*-'BMP P Tracking Table'!$AX165)))/(2*(149.919*'BMP P Tracking Table'!$AR165+236.676*'BMP P Tracking Table'!$AS165+726*'BMP P Tracking Table'!$AT165+996.798*'BMP P Tracking Table'!$AU165))))),MIN(2,IF('BMP P Tracking Table'!$AQ165="Total Pervious",(-(3630*'BMP P Tracking Table'!$V165+20.691*'BMP P Tracking Table'!$AB165)+SQRT((3630*'BMP P Tracking Table'!$V165+20.691*'BMP P Tracking Table'!$AB165)^2-(4*(996.798*'BMP P Tracking Table'!$AB165)*-'BMP P Tracking Table'!$AX165)))/(2*(996.798*'BMP P Tracking Table'!$AB165)),IF(SUM('BMP P Tracking Table'!$X165:$AA165)=0,'BMP P Tracking Table'!$AX165/(-3630*'BMP P Tracking Table'!$V165),(-(3630*'BMP P Tracking Table'!$V165+20.691*'BMP P Tracking Table'!$AA165-216.711*'BMP P Tracking Table'!$Z165-83.853*'BMP P Tracking Table'!$Y165-42.834*'BMP P Tracking Table'!$X165)+SQRT((3630*'BMP P Tracking Table'!$V165+20.691*'BMP P Tracking Table'!$AA165-216.711*'BMP P Tracking Table'!$Z165-83.853*'BMP P Tracking Table'!$Y165-42.834*'BMP P Tracking Table'!$X165)^2-(4*(149.919*'BMP P Tracking Table'!$X165+236.676*'BMP P Tracking Table'!$Y165+726*'BMP P Tracking Table'!$Z165+996.798*'BMP P Tracking Table'!$AA165)*-'BMP P Tracking Table'!$AX165)))/(2*(149.919*'BMP P Tracking Table'!$X165+236.676*'BMP P Tracking Table'!$Y165+726*'BMP P Tracking Table'!$Z165+996.798*'BMP P Tracking Table'!$AA165)))))),"")</f>
        <v/>
      </c>
      <c r="BB165" s="102" t="str">
        <f>IFERROR((VLOOKUP(CONCATENATE('BMP P Tracking Table'!$AW165," ",'BMP P Tracking Table'!$AY165),'Performance Curves'!$C$1:$L$46,_xlfn.SINGLE(MATCH('BMP P Tracking Table'!$BA165,'Performance Curves'!$D$1:$L$1,1))+2,FALSE)-VLOOKUP(CONCATENATE('BMP P Tracking Table'!$AW165," ",'BMP P Tracking Table'!$AY165),'Performance Curves'!$C$1:$L$46,_xlfn.SINGLE(MATCH('BMP P Tracking Table'!$BA165,'Performance Curves'!$D$1:$L$1,1))+1,FALSE)),"")</f>
        <v/>
      </c>
      <c r="BC165" s="102" t="str">
        <f>IFERROR(('BMP P Tracking Table'!$BA165-INDEX('Performance Curves'!$D$1:$L$1,1,MATCH('BMP P Tracking Table'!$BA165,'Performance Curves'!$D$1:$L$1,1)))/(INDEX('Performance Curves'!$D$1:$L$1,1,MATCH('BMP P Tracking Table'!$BA165,'Performance Curves'!$D$1:$L$1,1)+1)-INDEX('Performance Curves'!$D$1:$L$1,1,MATCH('BMP P Tracking Table'!$BA165,'Performance Curves'!$D$1:$L$1,1))),"")</f>
        <v/>
      </c>
      <c r="BD165" s="103" t="str" cm="1">
        <f t="array" ref="BD165">IFERROR(IF('BMP P Tracking Table'!$BA165=2,VLOOKUP(CONCATENATE('BMP P Tracking Table'!$AW165," ",'BMP P Tracking Table'!$AY165),'Performance Curves'!$C$1:$L$44,_xlfn.SINGLE(MATCH('BMP P Tracking Table'!$BA165,'Performance Curves'!$D$1:$L$1,1))+1,FALSE),'BMP P Tracking Table'!$BB165*'BMP P Tracking Table'!$BC165+VLOOKUP(CONCATENATE('BMP P Tracking Table'!$AW165," ",'BMP P Tracking Table'!$AY165),'Performance Curves'!$C$1:$L$44,_xlfn.SINGLE(MATCH('BMP P Tracking Table'!$BA165,'Performance Curves'!$D$1:$L$1,1))+1,FALSE)),"")</f>
        <v/>
      </c>
      <c r="BE165" s="104" t="str">
        <f>IFERROR('BMP P Tracking Table'!$BD165*'BMP P Tracking Table'!$AZ165,"")</f>
        <v/>
      </c>
      <c r="BF165" s="98"/>
      <c r="BG165" s="37">
        <f t="shared" si="34"/>
        <v>0</v>
      </c>
    </row>
    <row r="166" spans="2:59" s="36" customFormat="1">
      <c r="B166" s="65"/>
      <c r="C166" s="65"/>
      <c r="D166" s="65"/>
      <c r="E166" s="65"/>
      <c r="F166" s="94"/>
      <c r="G166" s="94"/>
      <c r="H166" s="65"/>
      <c r="I166" s="65"/>
      <c r="J166" s="65"/>
      <c r="K166" s="95"/>
      <c r="L166" s="65"/>
      <c r="M166" s="65"/>
      <c r="N166" s="65"/>
      <c r="O166" s="65"/>
      <c r="P166" s="65"/>
      <c r="Q166" s="65"/>
      <c r="R166" s="65" t="str">
        <f>IFERROR(VLOOKUP('BMP P Tracking Table'!$Q166,Dropdowns!$C$2:$E$15,3,FALSE),"")</f>
        <v/>
      </c>
      <c r="S166" s="65" t="str">
        <f>IFERROR(VLOOKUP('BMP P Tracking Table'!$R166,Dropdowns!$Q$3:$R$23,2,FALSE),"")</f>
        <v/>
      </c>
      <c r="T166" s="65"/>
      <c r="U166" s="65"/>
      <c r="V166" s="65"/>
      <c r="W166" s="65"/>
      <c r="X166" s="65"/>
      <c r="Y166" s="65"/>
      <c r="Z166" s="65"/>
      <c r="AA166" s="65"/>
      <c r="AB166" s="65"/>
      <c r="AC166" s="97"/>
      <c r="AD166" s="65"/>
      <c r="AE166" s="104" t="str">
        <f>IFERROR('BMP P Tracking Table'!$V166*VLOOKUP('BMP P Tracking Table'!$R166,'Loading Rates'!$B$1:$L$24,4,FALSE)+IF('BMP P Tracking Table'!$W166="By HSG",'BMP P Tracking Table'!$X166*VLOOKUP('BMP P Tracking Table'!$R166,'Loading Rates'!$B$1:$L$24,6,FALSE)+'BMP P Tracking Table'!$Y166*VLOOKUP('BMP P Tracking Table'!$R166,'Loading Rates'!$B$1:$L$24,7,FALSE)+'BMP P Tracking Table'!$Z166*VLOOKUP('BMP P Tracking Table'!$R166,'Loading Rates'!$B$1:$L$24,8,FALSE)+'BMP P Tracking Table'!$AA166*VLOOKUP('BMP P Tracking Table'!$R166,'Loading Rates'!$B$1:$L$24,9,FALSE),'BMP P Tracking Table'!$AB166*VLOOKUP('BMP P Tracking Table'!$R166,'Loading Rates'!$B$1:$L$24,10,FALSE)),"")</f>
        <v/>
      </c>
      <c r="AF166" s="104" t="str">
        <f>IFERROR(MIN(2,IF('BMP P Tracking Table'!$W166="Total Pervious",(-(3630*'BMP P Tracking Table'!$V166+20.691*'BMP P Tracking Table'!$AB166)+SQRT((3630*'BMP P Tracking Table'!$V166+20.691*'BMP P Tracking Table'!$AB166)^2-(4*(996.798*'BMP P Tracking Table'!$AB166)*-'BMP P Tracking Table'!$AC166)))/(2*(996.798*'BMP P Tracking Table'!$AB166)),IF(SUM('BMP P Tracking Table'!$X166:$AA166)=0,'BMP P Tracking Table'!$AC166/(-3630*'BMP P Tracking Table'!$V166),(-(3630*'BMP P Tracking Table'!$V166+20.691*'BMP P Tracking Table'!$AA166-216.711*'BMP P Tracking Table'!$Z166-83.853*'BMP P Tracking Table'!$Y166-42.834*'BMP P Tracking Table'!$X166)+SQRT((3630*'BMP P Tracking Table'!$V166+20.691*'BMP P Tracking Table'!$AA166-216.711*'BMP P Tracking Table'!$Z166-83.853*'BMP P Tracking Table'!$Y166-42.834*'BMP P Tracking Table'!$X166)^2-(4*(149.919*'BMP P Tracking Table'!$X166+236.676*'BMP P Tracking Table'!$Y166+726*'BMP P Tracking Table'!$Z166+996.798*'BMP P Tracking Table'!$AA166)*-'BMP P Tracking Table'!$AC166)))/(2*(149.919*'BMP P Tracking Table'!$X166+236.676*'BMP P Tracking Table'!$Y166+726*'BMP P Tracking Table'!$Z166+996.798*'BMP P Tracking Table'!$AA166))))),"")</f>
        <v/>
      </c>
      <c r="AG166" s="104" t="str">
        <f>IFERROR((VLOOKUP(CONCATENATE('BMP P Tracking Table'!$U166," ",'BMP P Tracking Table'!$AD166),'Performance Curves'!$C$1:$L$46,_xlfn.SINGLE(MATCH('BMP P Tracking Table'!$AF166,'Performance Curves'!$D$1:$L$1,1))+2,FALSE)-VLOOKUP(CONCATENATE('BMP P Tracking Table'!$U166," ",'BMP P Tracking Table'!$AD166),'Performance Curves'!$C$1:$L$46,_xlfn.SINGLE(MATCH('BMP P Tracking Table'!$AF166,'Performance Curves'!$D$1:$L$1,1))+1,FALSE)),"")</f>
        <v/>
      </c>
      <c r="AH166" s="104" t="str">
        <f>IFERROR(('BMP P Tracking Table'!$AF166-INDEX('Performance Curves'!$D$1:$L$1,1,MATCH('BMP P Tracking Table'!$AF166,'Performance Curves'!$D$1:$L$1,1)))/(INDEX('Performance Curves'!$D$1:$L$1,1,MATCH('BMP P Tracking Table'!$AF166,'Performance Curves'!$D$1:$L$1,1)+1)-INDEX('Performance Curves'!$D$1:$L$1,1,MATCH('BMP P Tracking Table'!$AF166,'Performance Curves'!$D$1:$L$1,1))),"")</f>
        <v/>
      </c>
      <c r="AI166" s="103" t="str">
        <f>IFERROR(IF('BMP P Tracking Table'!$AF166=2,VLOOKUP(CONCATENATE('BMP P Tracking Table'!$U166," ",'BMP P Tracking Table'!$AD166),'Performance Curves'!$C$1:$L$46,_xlfn.SINGLE(MATCH('BMP P Tracking Table'!$AF166,'Performance Curves'!$D$1:$L$1,1))+1,FALSE),'BMP P Tracking Table'!$AG166*'BMP P Tracking Table'!$AH166+VLOOKUP(CONCATENATE('BMP P Tracking Table'!$U166," ",'BMP P Tracking Table'!$AD166),'Performance Curves'!$C$1:$L$46,_xlfn.SINGLE(MATCH('BMP P Tracking Table'!$AF166,'Performance Curves'!$D$1:$L$1,1))+1,FALSE)),"")</f>
        <v/>
      </c>
      <c r="AJ166" s="104" t="str">
        <f>IFERROR('BMP P Tracking Table'!$AI166*'BMP P Tracking Table'!$AE166,"")</f>
        <v/>
      </c>
      <c r="AK166" s="65"/>
      <c r="AL166" s="98"/>
      <c r="AM166" s="98"/>
      <c r="AN166" s="64">
        <v>1</v>
      </c>
      <c r="AO166" s="102" t="str">
        <f t="shared" si="33"/>
        <v/>
      </c>
      <c r="AP166" s="98"/>
      <c r="AQ166" s="98"/>
      <c r="AR166" s="98"/>
      <c r="AS166" s="98"/>
      <c r="AT166" s="98"/>
      <c r="AU166" s="98"/>
      <c r="AV166" s="98"/>
      <c r="AW166" s="65"/>
      <c r="AX166" s="99"/>
      <c r="AY166" s="99"/>
      <c r="AZ166" s="104" t="str">
        <f>IF('BMP P Tracking Table'!$AL166="Yes",IF('BMP P Tracking Table'!$AM166="No",'BMP P Tracking Table'!$V166*VLOOKUP('BMP P Tracking Table'!$R166,'Loading Rates'!$B$1:$L$24,4,FALSE)+IF('BMP P Tracking Table'!$W166="By HSG",'BMP P Tracking Table'!$X166*VLOOKUP('BMP P Tracking Table'!$R166,'Loading Rates'!$B$1:$L$24,6,FALSE)+'BMP P Tracking Table'!$Y166*VLOOKUP('BMP P Tracking Table'!$R166,'Loading Rates'!$B$1:$L$24,7,FALSE)+'BMP P Tracking Table'!$Z166*VLOOKUP('BMP P Tracking Table'!$R166,'Loading Rates'!$B$1:$L$24,8,FALSE)+'BMP P Tracking Table'!$AA166*VLOOKUP('BMP P Tracking Table'!$R166,'Loading Rates'!$B$1:$L$24,9,FALSE),'BMP P Tracking Table'!$AB166*VLOOKUP('BMP P Tracking Table'!$R166,'Loading Rates'!$B$1:$L$24,10,FALSE)),'BMP P Tracking Table'!$AP166*VLOOKUP('BMP P Tracking Table'!$R166,'Loading Rates'!$B$1:$L$24,4,FALSE)+IF('BMP P Tracking Table'!$AQ166="By HSG",'BMP P Tracking Table'!$AR166*VLOOKUP('BMP P Tracking Table'!$R166,'Loading Rates'!$B$1:$L$24,6,FALSE)+'BMP P Tracking Table'!$AS166*VLOOKUP('BMP P Tracking Table'!$R166,'Loading Rates'!$B$1:$L$24,7,FALSE)+'BMP P Tracking Table'!$AT166*VLOOKUP('BMP P Tracking Table'!$R166,'Loading Rates'!$B$1:$L$24,8,FALSE)+'BMP P Tracking Table'!$AU166*VLOOKUP('BMP P Tracking Table'!$R166,'Loading Rates'!$B$1:$L$24,9,FALSE),'BMP P Tracking Table'!$AV166*VLOOKUP('BMP P Tracking Table'!$R166,'Loading Rates'!$B$1:$L$24,10,FALSE))),"")</f>
        <v/>
      </c>
      <c r="BA166" s="104" t="str">
        <f>IFERROR(IF('BMP P Tracking Table'!$AM166="Yes",MIN(2,IF('BMP P Tracking Table'!$AQ166="Total Pervious",(-(3630*'BMP P Tracking Table'!$AP166+20.691*'BMP P Tracking Table'!$AV166)+SQRT((3630*'BMP P Tracking Table'!$AP166+20.691*'BMP P Tracking Table'!$AV166)^2-(4*(996.798*'BMP P Tracking Table'!$AV166)*-'BMP P Tracking Table'!$AX166)))/(2*(996.798*'BMP P Tracking Table'!$AV166)),IF(SUM('BMP P Tracking Table'!$AR166:$AU166)=0,'BMP P Tracking Table'!$AV166/(-3630*'BMP P Tracking Table'!$AP166),(-(3630*'BMP P Tracking Table'!$AP166+20.691*'BMP P Tracking Table'!$AU166-216.711*'BMP P Tracking Table'!$AT166-83.853*'BMP P Tracking Table'!$AS166-42.834*'BMP P Tracking Table'!$AR166)+SQRT((3630*'BMP P Tracking Table'!$AP166+20.691*'BMP P Tracking Table'!$AU166-216.711*'BMP P Tracking Table'!$AT166-83.853*'BMP P Tracking Table'!$AS166-42.834*'BMP P Tracking Table'!$AR166)^2-(4*(149.919*'BMP P Tracking Table'!$AR166+236.676*'BMP P Tracking Table'!$AS166+726*'BMP P Tracking Table'!$AT166+996.798*'BMP P Tracking Table'!$AU166)*-'BMP P Tracking Table'!$AX166)))/(2*(149.919*'BMP P Tracking Table'!$AR166+236.676*'BMP P Tracking Table'!$AS166+726*'BMP P Tracking Table'!$AT166+996.798*'BMP P Tracking Table'!$AU166))))),MIN(2,IF('BMP P Tracking Table'!$AQ166="Total Pervious",(-(3630*'BMP P Tracking Table'!$V166+20.691*'BMP P Tracking Table'!$AB166)+SQRT((3630*'BMP P Tracking Table'!$V166+20.691*'BMP P Tracking Table'!$AB166)^2-(4*(996.798*'BMP P Tracking Table'!$AB166)*-'BMP P Tracking Table'!$AX166)))/(2*(996.798*'BMP P Tracking Table'!$AB166)),IF(SUM('BMP P Tracking Table'!$X166:$AA166)=0,'BMP P Tracking Table'!$AX166/(-3630*'BMP P Tracking Table'!$V166),(-(3630*'BMP P Tracking Table'!$V166+20.691*'BMP P Tracking Table'!$AA166-216.711*'BMP P Tracking Table'!$Z166-83.853*'BMP P Tracking Table'!$Y166-42.834*'BMP P Tracking Table'!$X166)+SQRT((3630*'BMP P Tracking Table'!$V166+20.691*'BMP P Tracking Table'!$AA166-216.711*'BMP P Tracking Table'!$Z166-83.853*'BMP P Tracking Table'!$Y166-42.834*'BMP P Tracking Table'!$X166)^2-(4*(149.919*'BMP P Tracking Table'!$X166+236.676*'BMP P Tracking Table'!$Y166+726*'BMP P Tracking Table'!$Z166+996.798*'BMP P Tracking Table'!$AA166)*-'BMP P Tracking Table'!$AX166)))/(2*(149.919*'BMP P Tracking Table'!$X166+236.676*'BMP P Tracking Table'!$Y166+726*'BMP P Tracking Table'!$Z166+996.798*'BMP P Tracking Table'!$AA166)))))),"")</f>
        <v/>
      </c>
      <c r="BB166" s="102" t="str">
        <f>IFERROR((VLOOKUP(CONCATENATE('BMP P Tracking Table'!$AW166," ",'BMP P Tracking Table'!$AY166),'Performance Curves'!$C$1:$L$46,_xlfn.SINGLE(MATCH('BMP P Tracking Table'!$BA166,'Performance Curves'!$D$1:$L$1,1))+2,FALSE)-VLOOKUP(CONCATENATE('BMP P Tracking Table'!$AW166," ",'BMP P Tracking Table'!$AY166),'Performance Curves'!$C$1:$L$46,_xlfn.SINGLE(MATCH('BMP P Tracking Table'!$BA166,'Performance Curves'!$D$1:$L$1,1))+1,FALSE)),"")</f>
        <v/>
      </c>
      <c r="BC166" s="102" t="str">
        <f>IFERROR(('BMP P Tracking Table'!$BA166-INDEX('Performance Curves'!$D$1:$L$1,1,MATCH('BMP P Tracking Table'!$BA166,'Performance Curves'!$D$1:$L$1,1)))/(INDEX('Performance Curves'!$D$1:$L$1,1,MATCH('BMP P Tracking Table'!$BA166,'Performance Curves'!$D$1:$L$1,1)+1)-INDEX('Performance Curves'!$D$1:$L$1,1,MATCH('BMP P Tracking Table'!$BA166,'Performance Curves'!$D$1:$L$1,1))),"")</f>
        <v/>
      </c>
      <c r="BD166" s="103" t="str" cm="1">
        <f t="array" ref="BD166">IFERROR(IF('BMP P Tracking Table'!$BA166=2,VLOOKUP(CONCATENATE('BMP P Tracking Table'!$AW166," ",'BMP P Tracking Table'!$AY166),'Performance Curves'!$C$1:$L$44,_xlfn.SINGLE(MATCH('BMP P Tracking Table'!$BA166,'Performance Curves'!$D$1:$L$1,1))+1,FALSE),'BMP P Tracking Table'!$BB166*'BMP P Tracking Table'!$BC166+VLOOKUP(CONCATENATE('BMP P Tracking Table'!$AW166," ",'BMP P Tracking Table'!$AY166),'Performance Curves'!$C$1:$L$44,_xlfn.SINGLE(MATCH('BMP P Tracking Table'!$BA166,'Performance Curves'!$D$1:$L$1,1))+1,FALSE)),"")</f>
        <v/>
      </c>
      <c r="BE166" s="104" t="str">
        <f>IFERROR('BMP P Tracking Table'!$BD166*'BMP P Tracking Table'!$AZ166,"")</f>
        <v/>
      </c>
      <c r="BF166" s="98"/>
      <c r="BG166" s="37">
        <f t="shared" si="34"/>
        <v>0</v>
      </c>
    </row>
    <row r="167" spans="2:59" s="36" customFormat="1">
      <c r="B167" s="65"/>
      <c r="C167" s="65"/>
      <c r="D167" s="65"/>
      <c r="E167" s="65"/>
      <c r="F167" s="94"/>
      <c r="G167" s="94"/>
      <c r="H167" s="65"/>
      <c r="I167" s="65"/>
      <c r="J167" s="65"/>
      <c r="K167" s="95"/>
      <c r="L167" s="65"/>
      <c r="M167" s="65"/>
      <c r="N167" s="65"/>
      <c r="O167" s="65"/>
      <c r="P167" s="65"/>
      <c r="Q167" s="65"/>
      <c r="R167" s="65" t="str">
        <f>IFERROR(VLOOKUP('BMP P Tracking Table'!$Q167,Dropdowns!$C$2:$E$15,3,FALSE),"")</f>
        <v/>
      </c>
      <c r="S167" s="65" t="str">
        <f>IFERROR(VLOOKUP('BMP P Tracking Table'!$R167,Dropdowns!$Q$3:$R$23,2,FALSE),"")</f>
        <v/>
      </c>
      <c r="T167" s="65"/>
      <c r="U167" s="65"/>
      <c r="V167" s="65"/>
      <c r="W167" s="65"/>
      <c r="X167" s="65"/>
      <c r="Y167" s="65"/>
      <c r="Z167" s="65"/>
      <c r="AA167" s="65"/>
      <c r="AB167" s="65"/>
      <c r="AC167" s="97"/>
      <c r="AD167" s="65"/>
      <c r="AE167" s="104" t="str">
        <f>IFERROR('BMP P Tracking Table'!$V167*VLOOKUP('BMP P Tracking Table'!$R167,'Loading Rates'!$B$1:$L$24,4,FALSE)+IF('BMP P Tracking Table'!$W167="By HSG",'BMP P Tracking Table'!$X167*VLOOKUP('BMP P Tracking Table'!$R167,'Loading Rates'!$B$1:$L$24,6,FALSE)+'BMP P Tracking Table'!$Y167*VLOOKUP('BMP P Tracking Table'!$R167,'Loading Rates'!$B$1:$L$24,7,FALSE)+'BMP P Tracking Table'!$Z167*VLOOKUP('BMP P Tracking Table'!$R167,'Loading Rates'!$B$1:$L$24,8,FALSE)+'BMP P Tracking Table'!$AA167*VLOOKUP('BMP P Tracking Table'!$R167,'Loading Rates'!$B$1:$L$24,9,FALSE),'BMP P Tracking Table'!$AB167*VLOOKUP('BMP P Tracking Table'!$R167,'Loading Rates'!$B$1:$L$24,10,FALSE)),"")</f>
        <v/>
      </c>
      <c r="AF167" s="104" t="str">
        <f>IFERROR(MIN(2,IF('BMP P Tracking Table'!$W167="Total Pervious",(-(3630*'BMP P Tracking Table'!$V167+20.691*'BMP P Tracking Table'!$AB167)+SQRT((3630*'BMP P Tracking Table'!$V167+20.691*'BMP P Tracking Table'!$AB167)^2-(4*(996.798*'BMP P Tracking Table'!$AB167)*-'BMP P Tracking Table'!$AC167)))/(2*(996.798*'BMP P Tracking Table'!$AB167)),IF(SUM('BMP P Tracking Table'!$X167:$AA167)=0,'BMP P Tracking Table'!$AC167/(-3630*'BMP P Tracking Table'!$V167),(-(3630*'BMP P Tracking Table'!$V167+20.691*'BMP P Tracking Table'!$AA167-216.711*'BMP P Tracking Table'!$Z167-83.853*'BMP P Tracking Table'!$Y167-42.834*'BMP P Tracking Table'!$X167)+SQRT((3630*'BMP P Tracking Table'!$V167+20.691*'BMP P Tracking Table'!$AA167-216.711*'BMP P Tracking Table'!$Z167-83.853*'BMP P Tracking Table'!$Y167-42.834*'BMP P Tracking Table'!$X167)^2-(4*(149.919*'BMP P Tracking Table'!$X167+236.676*'BMP P Tracking Table'!$Y167+726*'BMP P Tracking Table'!$Z167+996.798*'BMP P Tracking Table'!$AA167)*-'BMP P Tracking Table'!$AC167)))/(2*(149.919*'BMP P Tracking Table'!$X167+236.676*'BMP P Tracking Table'!$Y167+726*'BMP P Tracking Table'!$Z167+996.798*'BMP P Tracking Table'!$AA167))))),"")</f>
        <v/>
      </c>
      <c r="AG167" s="104" t="str">
        <f>IFERROR((VLOOKUP(CONCATENATE('BMP P Tracking Table'!$U167," ",'BMP P Tracking Table'!$AD167),'Performance Curves'!$C$1:$L$46,_xlfn.SINGLE(MATCH('BMP P Tracking Table'!$AF167,'Performance Curves'!$D$1:$L$1,1))+2,FALSE)-VLOOKUP(CONCATENATE('BMP P Tracking Table'!$U167," ",'BMP P Tracking Table'!$AD167),'Performance Curves'!$C$1:$L$46,_xlfn.SINGLE(MATCH('BMP P Tracking Table'!$AF167,'Performance Curves'!$D$1:$L$1,1))+1,FALSE)),"")</f>
        <v/>
      </c>
      <c r="AH167" s="104" t="str">
        <f>IFERROR(('BMP P Tracking Table'!$AF167-INDEX('Performance Curves'!$D$1:$L$1,1,MATCH('BMP P Tracking Table'!$AF167,'Performance Curves'!$D$1:$L$1,1)))/(INDEX('Performance Curves'!$D$1:$L$1,1,MATCH('BMP P Tracking Table'!$AF167,'Performance Curves'!$D$1:$L$1,1)+1)-INDEX('Performance Curves'!$D$1:$L$1,1,MATCH('BMP P Tracking Table'!$AF167,'Performance Curves'!$D$1:$L$1,1))),"")</f>
        <v/>
      </c>
      <c r="AI167" s="103" t="str">
        <f>IFERROR(IF('BMP P Tracking Table'!$AF167=2,VLOOKUP(CONCATENATE('BMP P Tracking Table'!$U167," ",'BMP P Tracking Table'!$AD167),'Performance Curves'!$C$1:$L$46,_xlfn.SINGLE(MATCH('BMP P Tracking Table'!$AF167,'Performance Curves'!$D$1:$L$1,1))+1,FALSE),'BMP P Tracking Table'!$AG167*'BMP P Tracking Table'!$AH167+VLOOKUP(CONCATENATE('BMP P Tracking Table'!$U167," ",'BMP P Tracking Table'!$AD167),'Performance Curves'!$C$1:$L$46,_xlfn.SINGLE(MATCH('BMP P Tracking Table'!$AF167,'Performance Curves'!$D$1:$L$1,1))+1,FALSE)),"")</f>
        <v/>
      </c>
      <c r="AJ167" s="104" t="str">
        <f>IFERROR('BMP P Tracking Table'!$AI167*'BMP P Tracking Table'!$AE167,"")</f>
        <v/>
      </c>
      <c r="AK167" s="65"/>
      <c r="AL167" s="98"/>
      <c r="AM167" s="98"/>
      <c r="AN167" s="64">
        <v>1</v>
      </c>
      <c r="AO167" s="102" t="str">
        <f t="shared" si="33"/>
        <v/>
      </c>
      <c r="AP167" s="98"/>
      <c r="AQ167" s="98"/>
      <c r="AR167" s="98"/>
      <c r="AS167" s="98"/>
      <c r="AT167" s="98"/>
      <c r="AU167" s="98"/>
      <c r="AV167" s="98"/>
      <c r="AW167" s="65"/>
      <c r="AX167" s="99"/>
      <c r="AY167" s="99"/>
      <c r="AZ167" s="104" t="str">
        <f>IF('BMP P Tracking Table'!$AL167="Yes",IF('BMP P Tracking Table'!$AM167="No",'BMP P Tracking Table'!$V167*VLOOKUP('BMP P Tracking Table'!$R167,'Loading Rates'!$B$1:$L$24,4,FALSE)+IF('BMP P Tracking Table'!$W167="By HSG",'BMP P Tracking Table'!$X167*VLOOKUP('BMP P Tracking Table'!$R167,'Loading Rates'!$B$1:$L$24,6,FALSE)+'BMP P Tracking Table'!$Y167*VLOOKUP('BMP P Tracking Table'!$R167,'Loading Rates'!$B$1:$L$24,7,FALSE)+'BMP P Tracking Table'!$Z167*VLOOKUP('BMP P Tracking Table'!$R167,'Loading Rates'!$B$1:$L$24,8,FALSE)+'BMP P Tracking Table'!$AA167*VLOOKUP('BMP P Tracking Table'!$R167,'Loading Rates'!$B$1:$L$24,9,FALSE),'BMP P Tracking Table'!$AB167*VLOOKUP('BMP P Tracking Table'!$R167,'Loading Rates'!$B$1:$L$24,10,FALSE)),'BMP P Tracking Table'!$AP167*VLOOKUP('BMP P Tracking Table'!$R167,'Loading Rates'!$B$1:$L$24,4,FALSE)+IF('BMP P Tracking Table'!$AQ167="By HSG",'BMP P Tracking Table'!$AR167*VLOOKUP('BMP P Tracking Table'!$R167,'Loading Rates'!$B$1:$L$24,6,FALSE)+'BMP P Tracking Table'!$AS167*VLOOKUP('BMP P Tracking Table'!$R167,'Loading Rates'!$B$1:$L$24,7,FALSE)+'BMP P Tracking Table'!$AT167*VLOOKUP('BMP P Tracking Table'!$R167,'Loading Rates'!$B$1:$L$24,8,FALSE)+'BMP P Tracking Table'!$AU167*VLOOKUP('BMP P Tracking Table'!$R167,'Loading Rates'!$B$1:$L$24,9,FALSE),'BMP P Tracking Table'!$AV167*VLOOKUP('BMP P Tracking Table'!$R167,'Loading Rates'!$B$1:$L$24,10,FALSE))),"")</f>
        <v/>
      </c>
      <c r="BA167" s="104" t="str">
        <f>IFERROR(IF('BMP P Tracking Table'!$AM167="Yes",MIN(2,IF('BMP P Tracking Table'!$AQ167="Total Pervious",(-(3630*'BMP P Tracking Table'!$AP167+20.691*'BMP P Tracking Table'!$AV167)+SQRT((3630*'BMP P Tracking Table'!$AP167+20.691*'BMP P Tracking Table'!$AV167)^2-(4*(996.798*'BMP P Tracking Table'!$AV167)*-'BMP P Tracking Table'!$AX167)))/(2*(996.798*'BMP P Tracking Table'!$AV167)),IF(SUM('BMP P Tracking Table'!$AR167:$AU167)=0,'BMP P Tracking Table'!$AV167/(-3630*'BMP P Tracking Table'!$AP167),(-(3630*'BMP P Tracking Table'!$AP167+20.691*'BMP P Tracking Table'!$AU167-216.711*'BMP P Tracking Table'!$AT167-83.853*'BMP P Tracking Table'!$AS167-42.834*'BMP P Tracking Table'!$AR167)+SQRT((3630*'BMP P Tracking Table'!$AP167+20.691*'BMP P Tracking Table'!$AU167-216.711*'BMP P Tracking Table'!$AT167-83.853*'BMP P Tracking Table'!$AS167-42.834*'BMP P Tracking Table'!$AR167)^2-(4*(149.919*'BMP P Tracking Table'!$AR167+236.676*'BMP P Tracking Table'!$AS167+726*'BMP P Tracking Table'!$AT167+996.798*'BMP P Tracking Table'!$AU167)*-'BMP P Tracking Table'!$AX167)))/(2*(149.919*'BMP P Tracking Table'!$AR167+236.676*'BMP P Tracking Table'!$AS167+726*'BMP P Tracking Table'!$AT167+996.798*'BMP P Tracking Table'!$AU167))))),MIN(2,IF('BMP P Tracking Table'!$AQ167="Total Pervious",(-(3630*'BMP P Tracking Table'!$V167+20.691*'BMP P Tracking Table'!$AB167)+SQRT((3630*'BMP P Tracking Table'!$V167+20.691*'BMP P Tracking Table'!$AB167)^2-(4*(996.798*'BMP P Tracking Table'!$AB167)*-'BMP P Tracking Table'!$AX167)))/(2*(996.798*'BMP P Tracking Table'!$AB167)),IF(SUM('BMP P Tracking Table'!$X167:$AA167)=0,'BMP P Tracking Table'!$AX167/(-3630*'BMP P Tracking Table'!$V167),(-(3630*'BMP P Tracking Table'!$V167+20.691*'BMP P Tracking Table'!$AA167-216.711*'BMP P Tracking Table'!$Z167-83.853*'BMP P Tracking Table'!$Y167-42.834*'BMP P Tracking Table'!$X167)+SQRT((3630*'BMP P Tracking Table'!$V167+20.691*'BMP P Tracking Table'!$AA167-216.711*'BMP P Tracking Table'!$Z167-83.853*'BMP P Tracking Table'!$Y167-42.834*'BMP P Tracking Table'!$X167)^2-(4*(149.919*'BMP P Tracking Table'!$X167+236.676*'BMP P Tracking Table'!$Y167+726*'BMP P Tracking Table'!$Z167+996.798*'BMP P Tracking Table'!$AA167)*-'BMP P Tracking Table'!$AX167)))/(2*(149.919*'BMP P Tracking Table'!$X167+236.676*'BMP P Tracking Table'!$Y167+726*'BMP P Tracking Table'!$Z167+996.798*'BMP P Tracking Table'!$AA167)))))),"")</f>
        <v/>
      </c>
      <c r="BB167" s="102" t="str">
        <f>IFERROR((VLOOKUP(CONCATENATE('BMP P Tracking Table'!$AW167," ",'BMP P Tracking Table'!$AY167),'Performance Curves'!$C$1:$L$46,_xlfn.SINGLE(MATCH('BMP P Tracking Table'!$BA167,'Performance Curves'!$D$1:$L$1,1))+2,FALSE)-VLOOKUP(CONCATENATE('BMP P Tracking Table'!$AW167," ",'BMP P Tracking Table'!$AY167),'Performance Curves'!$C$1:$L$46,_xlfn.SINGLE(MATCH('BMP P Tracking Table'!$BA167,'Performance Curves'!$D$1:$L$1,1))+1,FALSE)),"")</f>
        <v/>
      </c>
      <c r="BC167" s="102" t="str">
        <f>IFERROR(('BMP P Tracking Table'!$BA167-INDEX('Performance Curves'!$D$1:$L$1,1,MATCH('BMP P Tracking Table'!$BA167,'Performance Curves'!$D$1:$L$1,1)))/(INDEX('Performance Curves'!$D$1:$L$1,1,MATCH('BMP P Tracking Table'!$BA167,'Performance Curves'!$D$1:$L$1,1)+1)-INDEX('Performance Curves'!$D$1:$L$1,1,MATCH('BMP P Tracking Table'!$BA167,'Performance Curves'!$D$1:$L$1,1))),"")</f>
        <v/>
      </c>
      <c r="BD167" s="103" t="str" cm="1">
        <f t="array" ref="BD167">IFERROR(IF('BMP P Tracking Table'!$BA167=2,VLOOKUP(CONCATENATE('BMP P Tracking Table'!$AW167," ",'BMP P Tracking Table'!$AY167),'Performance Curves'!$C$1:$L$44,_xlfn.SINGLE(MATCH('BMP P Tracking Table'!$BA167,'Performance Curves'!$D$1:$L$1,1))+1,FALSE),'BMP P Tracking Table'!$BB167*'BMP P Tracking Table'!$BC167+VLOOKUP(CONCATENATE('BMP P Tracking Table'!$AW167," ",'BMP P Tracking Table'!$AY167),'Performance Curves'!$C$1:$L$44,_xlfn.SINGLE(MATCH('BMP P Tracking Table'!$BA167,'Performance Curves'!$D$1:$L$1,1))+1,FALSE)),"")</f>
        <v/>
      </c>
      <c r="BE167" s="104" t="str">
        <f>IFERROR('BMP P Tracking Table'!$BD167*'BMP P Tracking Table'!$AZ167,"")</f>
        <v/>
      </c>
      <c r="BF167" s="98"/>
      <c r="BG167" s="37">
        <f t="shared" si="34"/>
        <v>0</v>
      </c>
    </row>
    <row r="168" spans="2:59" s="36" customFormat="1">
      <c r="B168" s="65"/>
      <c r="C168" s="65"/>
      <c r="D168" s="65"/>
      <c r="E168" s="65"/>
      <c r="F168" s="94"/>
      <c r="G168" s="94"/>
      <c r="H168" s="65"/>
      <c r="I168" s="65"/>
      <c r="J168" s="65"/>
      <c r="K168" s="95"/>
      <c r="L168" s="65"/>
      <c r="M168" s="65"/>
      <c r="N168" s="65"/>
      <c r="O168" s="65"/>
      <c r="P168" s="65"/>
      <c r="Q168" s="65"/>
      <c r="R168" s="65" t="str">
        <f>IFERROR(VLOOKUP('BMP P Tracking Table'!$Q168,Dropdowns!$C$2:$E$15,3,FALSE),"")</f>
        <v/>
      </c>
      <c r="S168" s="65" t="str">
        <f>IFERROR(VLOOKUP('BMP P Tracking Table'!$R168,Dropdowns!$Q$3:$R$23,2,FALSE),"")</f>
        <v/>
      </c>
      <c r="T168" s="65"/>
      <c r="U168" s="65"/>
      <c r="V168" s="65"/>
      <c r="W168" s="65"/>
      <c r="X168" s="65"/>
      <c r="Y168" s="65"/>
      <c r="Z168" s="65"/>
      <c r="AA168" s="65"/>
      <c r="AB168" s="65"/>
      <c r="AC168" s="97"/>
      <c r="AD168" s="65"/>
      <c r="AE168" s="104" t="str">
        <f>IFERROR('BMP P Tracking Table'!$V168*VLOOKUP('BMP P Tracking Table'!$R168,'Loading Rates'!$B$1:$L$24,4,FALSE)+IF('BMP P Tracking Table'!$W168="By HSG",'BMP P Tracking Table'!$X168*VLOOKUP('BMP P Tracking Table'!$R168,'Loading Rates'!$B$1:$L$24,6,FALSE)+'BMP P Tracking Table'!$Y168*VLOOKUP('BMP P Tracking Table'!$R168,'Loading Rates'!$B$1:$L$24,7,FALSE)+'BMP P Tracking Table'!$Z168*VLOOKUP('BMP P Tracking Table'!$R168,'Loading Rates'!$B$1:$L$24,8,FALSE)+'BMP P Tracking Table'!$AA168*VLOOKUP('BMP P Tracking Table'!$R168,'Loading Rates'!$B$1:$L$24,9,FALSE),'BMP P Tracking Table'!$AB168*VLOOKUP('BMP P Tracking Table'!$R168,'Loading Rates'!$B$1:$L$24,10,FALSE)),"")</f>
        <v/>
      </c>
      <c r="AF168" s="104" t="str">
        <f>IFERROR(MIN(2,IF('BMP P Tracking Table'!$W168="Total Pervious",(-(3630*'BMP P Tracking Table'!$V168+20.691*'BMP P Tracking Table'!$AB168)+SQRT((3630*'BMP P Tracking Table'!$V168+20.691*'BMP P Tracking Table'!$AB168)^2-(4*(996.798*'BMP P Tracking Table'!$AB168)*-'BMP P Tracking Table'!$AC168)))/(2*(996.798*'BMP P Tracking Table'!$AB168)),IF(SUM('BMP P Tracking Table'!$X168:$AA168)=0,'BMP P Tracking Table'!$AC168/(-3630*'BMP P Tracking Table'!$V168),(-(3630*'BMP P Tracking Table'!$V168+20.691*'BMP P Tracking Table'!$AA168-216.711*'BMP P Tracking Table'!$Z168-83.853*'BMP P Tracking Table'!$Y168-42.834*'BMP P Tracking Table'!$X168)+SQRT((3630*'BMP P Tracking Table'!$V168+20.691*'BMP P Tracking Table'!$AA168-216.711*'BMP P Tracking Table'!$Z168-83.853*'BMP P Tracking Table'!$Y168-42.834*'BMP P Tracking Table'!$X168)^2-(4*(149.919*'BMP P Tracking Table'!$X168+236.676*'BMP P Tracking Table'!$Y168+726*'BMP P Tracking Table'!$Z168+996.798*'BMP P Tracking Table'!$AA168)*-'BMP P Tracking Table'!$AC168)))/(2*(149.919*'BMP P Tracking Table'!$X168+236.676*'BMP P Tracking Table'!$Y168+726*'BMP P Tracking Table'!$Z168+996.798*'BMP P Tracking Table'!$AA168))))),"")</f>
        <v/>
      </c>
      <c r="AG168" s="104" t="str">
        <f>IFERROR((VLOOKUP(CONCATENATE('BMP P Tracking Table'!$U168," ",'BMP P Tracking Table'!$AD168),'Performance Curves'!$C$1:$L$46,_xlfn.SINGLE(MATCH('BMP P Tracking Table'!$AF168,'Performance Curves'!$D$1:$L$1,1))+2,FALSE)-VLOOKUP(CONCATENATE('BMP P Tracking Table'!$U168," ",'BMP P Tracking Table'!$AD168),'Performance Curves'!$C$1:$L$46,_xlfn.SINGLE(MATCH('BMP P Tracking Table'!$AF168,'Performance Curves'!$D$1:$L$1,1))+1,FALSE)),"")</f>
        <v/>
      </c>
      <c r="AH168" s="104" t="str">
        <f>IFERROR(('BMP P Tracking Table'!$AF168-INDEX('Performance Curves'!$D$1:$L$1,1,MATCH('BMP P Tracking Table'!$AF168,'Performance Curves'!$D$1:$L$1,1)))/(INDEX('Performance Curves'!$D$1:$L$1,1,MATCH('BMP P Tracking Table'!$AF168,'Performance Curves'!$D$1:$L$1,1)+1)-INDEX('Performance Curves'!$D$1:$L$1,1,MATCH('BMP P Tracking Table'!$AF168,'Performance Curves'!$D$1:$L$1,1))),"")</f>
        <v/>
      </c>
      <c r="AI168" s="103" t="str">
        <f>IFERROR(IF('BMP P Tracking Table'!$AF168=2,VLOOKUP(CONCATENATE('BMP P Tracking Table'!$U168," ",'BMP P Tracking Table'!$AD168),'Performance Curves'!$C$1:$L$46,_xlfn.SINGLE(MATCH('BMP P Tracking Table'!$AF168,'Performance Curves'!$D$1:$L$1,1))+1,FALSE),'BMP P Tracking Table'!$AG168*'BMP P Tracking Table'!$AH168+VLOOKUP(CONCATENATE('BMP P Tracking Table'!$U168," ",'BMP P Tracking Table'!$AD168),'Performance Curves'!$C$1:$L$46,_xlfn.SINGLE(MATCH('BMP P Tracking Table'!$AF168,'Performance Curves'!$D$1:$L$1,1))+1,FALSE)),"")</f>
        <v/>
      </c>
      <c r="AJ168" s="104" t="str">
        <f>IFERROR('BMP P Tracking Table'!$AI168*'BMP P Tracking Table'!$AE168,"")</f>
        <v/>
      </c>
      <c r="AK168" s="65"/>
      <c r="AL168" s="98"/>
      <c r="AM168" s="98"/>
      <c r="AN168" s="64">
        <v>1</v>
      </c>
      <c r="AO168" s="102" t="str">
        <f t="shared" si="33"/>
        <v/>
      </c>
      <c r="AP168" s="98"/>
      <c r="AQ168" s="98"/>
      <c r="AR168" s="98"/>
      <c r="AS168" s="98"/>
      <c r="AT168" s="98"/>
      <c r="AU168" s="98"/>
      <c r="AV168" s="98"/>
      <c r="AW168" s="65"/>
      <c r="AX168" s="99"/>
      <c r="AY168" s="99"/>
      <c r="AZ168" s="104" t="str">
        <f>IF('BMP P Tracking Table'!$AL168="Yes",IF('BMP P Tracking Table'!$AM168="No",'BMP P Tracking Table'!$V168*VLOOKUP('BMP P Tracking Table'!$R168,'Loading Rates'!$B$1:$L$24,4,FALSE)+IF('BMP P Tracking Table'!$W168="By HSG",'BMP P Tracking Table'!$X168*VLOOKUP('BMP P Tracking Table'!$R168,'Loading Rates'!$B$1:$L$24,6,FALSE)+'BMP P Tracking Table'!$Y168*VLOOKUP('BMP P Tracking Table'!$R168,'Loading Rates'!$B$1:$L$24,7,FALSE)+'BMP P Tracking Table'!$Z168*VLOOKUP('BMP P Tracking Table'!$R168,'Loading Rates'!$B$1:$L$24,8,FALSE)+'BMP P Tracking Table'!$AA168*VLOOKUP('BMP P Tracking Table'!$R168,'Loading Rates'!$B$1:$L$24,9,FALSE),'BMP P Tracking Table'!$AB168*VLOOKUP('BMP P Tracking Table'!$R168,'Loading Rates'!$B$1:$L$24,10,FALSE)),'BMP P Tracking Table'!$AP168*VLOOKUP('BMP P Tracking Table'!$R168,'Loading Rates'!$B$1:$L$24,4,FALSE)+IF('BMP P Tracking Table'!$AQ168="By HSG",'BMP P Tracking Table'!$AR168*VLOOKUP('BMP P Tracking Table'!$R168,'Loading Rates'!$B$1:$L$24,6,FALSE)+'BMP P Tracking Table'!$AS168*VLOOKUP('BMP P Tracking Table'!$R168,'Loading Rates'!$B$1:$L$24,7,FALSE)+'BMP P Tracking Table'!$AT168*VLOOKUP('BMP P Tracking Table'!$R168,'Loading Rates'!$B$1:$L$24,8,FALSE)+'BMP P Tracking Table'!$AU168*VLOOKUP('BMP P Tracking Table'!$R168,'Loading Rates'!$B$1:$L$24,9,FALSE),'BMP P Tracking Table'!$AV168*VLOOKUP('BMP P Tracking Table'!$R168,'Loading Rates'!$B$1:$L$24,10,FALSE))),"")</f>
        <v/>
      </c>
      <c r="BA168" s="104" t="str">
        <f>IFERROR(IF('BMP P Tracking Table'!$AM168="Yes",MIN(2,IF('BMP P Tracking Table'!$AQ168="Total Pervious",(-(3630*'BMP P Tracking Table'!$AP168+20.691*'BMP P Tracking Table'!$AV168)+SQRT((3630*'BMP P Tracking Table'!$AP168+20.691*'BMP P Tracking Table'!$AV168)^2-(4*(996.798*'BMP P Tracking Table'!$AV168)*-'BMP P Tracking Table'!$AX168)))/(2*(996.798*'BMP P Tracking Table'!$AV168)),IF(SUM('BMP P Tracking Table'!$AR168:$AU168)=0,'BMP P Tracking Table'!$AV168/(-3630*'BMP P Tracking Table'!$AP168),(-(3630*'BMP P Tracking Table'!$AP168+20.691*'BMP P Tracking Table'!$AU168-216.711*'BMP P Tracking Table'!$AT168-83.853*'BMP P Tracking Table'!$AS168-42.834*'BMP P Tracking Table'!$AR168)+SQRT((3630*'BMP P Tracking Table'!$AP168+20.691*'BMP P Tracking Table'!$AU168-216.711*'BMP P Tracking Table'!$AT168-83.853*'BMP P Tracking Table'!$AS168-42.834*'BMP P Tracking Table'!$AR168)^2-(4*(149.919*'BMP P Tracking Table'!$AR168+236.676*'BMP P Tracking Table'!$AS168+726*'BMP P Tracking Table'!$AT168+996.798*'BMP P Tracking Table'!$AU168)*-'BMP P Tracking Table'!$AX168)))/(2*(149.919*'BMP P Tracking Table'!$AR168+236.676*'BMP P Tracking Table'!$AS168+726*'BMP P Tracking Table'!$AT168+996.798*'BMP P Tracking Table'!$AU168))))),MIN(2,IF('BMP P Tracking Table'!$AQ168="Total Pervious",(-(3630*'BMP P Tracking Table'!$V168+20.691*'BMP P Tracking Table'!$AB168)+SQRT((3630*'BMP P Tracking Table'!$V168+20.691*'BMP P Tracking Table'!$AB168)^2-(4*(996.798*'BMP P Tracking Table'!$AB168)*-'BMP P Tracking Table'!$AX168)))/(2*(996.798*'BMP P Tracking Table'!$AB168)),IF(SUM('BMP P Tracking Table'!$X168:$AA168)=0,'BMP P Tracking Table'!$AX168/(-3630*'BMP P Tracking Table'!$V168),(-(3630*'BMP P Tracking Table'!$V168+20.691*'BMP P Tracking Table'!$AA168-216.711*'BMP P Tracking Table'!$Z168-83.853*'BMP P Tracking Table'!$Y168-42.834*'BMP P Tracking Table'!$X168)+SQRT((3630*'BMP P Tracking Table'!$V168+20.691*'BMP P Tracking Table'!$AA168-216.711*'BMP P Tracking Table'!$Z168-83.853*'BMP P Tracking Table'!$Y168-42.834*'BMP P Tracking Table'!$X168)^2-(4*(149.919*'BMP P Tracking Table'!$X168+236.676*'BMP P Tracking Table'!$Y168+726*'BMP P Tracking Table'!$Z168+996.798*'BMP P Tracking Table'!$AA168)*-'BMP P Tracking Table'!$AX168)))/(2*(149.919*'BMP P Tracking Table'!$X168+236.676*'BMP P Tracking Table'!$Y168+726*'BMP P Tracking Table'!$Z168+996.798*'BMP P Tracking Table'!$AA168)))))),"")</f>
        <v/>
      </c>
      <c r="BB168" s="102" t="str">
        <f>IFERROR((VLOOKUP(CONCATENATE('BMP P Tracking Table'!$AW168," ",'BMP P Tracking Table'!$AY168),'Performance Curves'!$C$1:$L$46,_xlfn.SINGLE(MATCH('BMP P Tracking Table'!$BA168,'Performance Curves'!$D$1:$L$1,1))+2,FALSE)-VLOOKUP(CONCATENATE('BMP P Tracking Table'!$AW168," ",'BMP P Tracking Table'!$AY168),'Performance Curves'!$C$1:$L$46,_xlfn.SINGLE(MATCH('BMP P Tracking Table'!$BA168,'Performance Curves'!$D$1:$L$1,1))+1,FALSE)),"")</f>
        <v/>
      </c>
      <c r="BC168" s="102" t="str">
        <f>IFERROR(('BMP P Tracking Table'!$BA168-INDEX('Performance Curves'!$D$1:$L$1,1,MATCH('BMP P Tracking Table'!$BA168,'Performance Curves'!$D$1:$L$1,1)))/(INDEX('Performance Curves'!$D$1:$L$1,1,MATCH('BMP P Tracking Table'!$BA168,'Performance Curves'!$D$1:$L$1,1)+1)-INDEX('Performance Curves'!$D$1:$L$1,1,MATCH('BMP P Tracking Table'!$BA168,'Performance Curves'!$D$1:$L$1,1))),"")</f>
        <v/>
      </c>
      <c r="BD168" s="103" t="str" cm="1">
        <f t="array" ref="BD168">IFERROR(IF('BMP P Tracking Table'!$BA168=2,VLOOKUP(CONCATENATE('BMP P Tracking Table'!$AW168," ",'BMP P Tracking Table'!$AY168),'Performance Curves'!$C$1:$L$44,_xlfn.SINGLE(MATCH('BMP P Tracking Table'!$BA168,'Performance Curves'!$D$1:$L$1,1))+1,FALSE),'BMP P Tracking Table'!$BB168*'BMP P Tracking Table'!$BC168+VLOOKUP(CONCATENATE('BMP P Tracking Table'!$AW168," ",'BMP P Tracking Table'!$AY168),'Performance Curves'!$C$1:$L$44,_xlfn.SINGLE(MATCH('BMP P Tracking Table'!$BA168,'Performance Curves'!$D$1:$L$1,1))+1,FALSE)),"")</f>
        <v/>
      </c>
      <c r="BE168" s="104" t="str">
        <f>IFERROR('BMP P Tracking Table'!$BD168*'BMP P Tracking Table'!$AZ168,"")</f>
        <v/>
      </c>
      <c r="BF168" s="98"/>
      <c r="BG168" s="37">
        <f t="shared" si="34"/>
        <v>0</v>
      </c>
    </row>
    <row r="169" spans="2:59" s="36" customFormat="1">
      <c r="B169" s="65"/>
      <c r="C169" s="65"/>
      <c r="D169" s="65"/>
      <c r="E169" s="65"/>
      <c r="F169" s="94"/>
      <c r="G169" s="94"/>
      <c r="H169" s="65"/>
      <c r="I169" s="65"/>
      <c r="J169" s="65"/>
      <c r="K169" s="95"/>
      <c r="L169" s="65"/>
      <c r="M169" s="65"/>
      <c r="N169" s="65"/>
      <c r="O169" s="65"/>
      <c r="P169" s="65"/>
      <c r="Q169" s="65"/>
      <c r="R169" s="65" t="str">
        <f>IFERROR(VLOOKUP('BMP P Tracking Table'!$Q169,Dropdowns!$C$2:$E$15,3,FALSE),"")</f>
        <v/>
      </c>
      <c r="S169" s="65" t="str">
        <f>IFERROR(VLOOKUP('BMP P Tracking Table'!$R169,Dropdowns!$Q$3:$R$23,2,FALSE),"")</f>
        <v/>
      </c>
      <c r="T169" s="65"/>
      <c r="U169" s="65"/>
      <c r="V169" s="65"/>
      <c r="W169" s="65"/>
      <c r="X169" s="65"/>
      <c r="Y169" s="65"/>
      <c r="Z169" s="65"/>
      <c r="AA169" s="65"/>
      <c r="AB169" s="65"/>
      <c r="AC169" s="97"/>
      <c r="AD169" s="65"/>
      <c r="AE169" s="104" t="str">
        <f>IFERROR('BMP P Tracking Table'!$V169*VLOOKUP('BMP P Tracking Table'!$R169,'Loading Rates'!$B$1:$L$24,4,FALSE)+IF('BMP P Tracking Table'!$W169="By HSG",'BMP P Tracking Table'!$X169*VLOOKUP('BMP P Tracking Table'!$R169,'Loading Rates'!$B$1:$L$24,6,FALSE)+'BMP P Tracking Table'!$Y169*VLOOKUP('BMP P Tracking Table'!$R169,'Loading Rates'!$B$1:$L$24,7,FALSE)+'BMP P Tracking Table'!$Z169*VLOOKUP('BMP P Tracking Table'!$R169,'Loading Rates'!$B$1:$L$24,8,FALSE)+'BMP P Tracking Table'!$AA169*VLOOKUP('BMP P Tracking Table'!$R169,'Loading Rates'!$B$1:$L$24,9,FALSE),'BMP P Tracking Table'!$AB169*VLOOKUP('BMP P Tracking Table'!$R169,'Loading Rates'!$B$1:$L$24,10,FALSE)),"")</f>
        <v/>
      </c>
      <c r="AF169" s="104" t="str">
        <f>IFERROR(MIN(2,IF('BMP P Tracking Table'!$W169="Total Pervious",(-(3630*'BMP P Tracking Table'!$V169+20.691*'BMP P Tracking Table'!$AB169)+SQRT((3630*'BMP P Tracking Table'!$V169+20.691*'BMP P Tracking Table'!$AB169)^2-(4*(996.798*'BMP P Tracking Table'!$AB169)*-'BMP P Tracking Table'!$AC169)))/(2*(996.798*'BMP P Tracking Table'!$AB169)),IF(SUM('BMP P Tracking Table'!$X169:$AA169)=0,'BMP P Tracking Table'!$AC169/(-3630*'BMP P Tracking Table'!$V169),(-(3630*'BMP P Tracking Table'!$V169+20.691*'BMP P Tracking Table'!$AA169-216.711*'BMP P Tracking Table'!$Z169-83.853*'BMP P Tracking Table'!$Y169-42.834*'BMP P Tracking Table'!$X169)+SQRT((3630*'BMP P Tracking Table'!$V169+20.691*'BMP P Tracking Table'!$AA169-216.711*'BMP P Tracking Table'!$Z169-83.853*'BMP P Tracking Table'!$Y169-42.834*'BMP P Tracking Table'!$X169)^2-(4*(149.919*'BMP P Tracking Table'!$X169+236.676*'BMP P Tracking Table'!$Y169+726*'BMP P Tracking Table'!$Z169+996.798*'BMP P Tracking Table'!$AA169)*-'BMP P Tracking Table'!$AC169)))/(2*(149.919*'BMP P Tracking Table'!$X169+236.676*'BMP P Tracking Table'!$Y169+726*'BMP P Tracking Table'!$Z169+996.798*'BMP P Tracking Table'!$AA169))))),"")</f>
        <v/>
      </c>
      <c r="AG169" s="104" t="str">
        <f>IFERROR((VLOOKUP(CONCATENATE('BMP P Tracking Table'!$U169," ",'BMP P Tracking Table'!$AD169),'Performance Curves'!$C$1:$L$46,_xlfn.SINGLE(MATCH('BMP P Tracking Table'!$AF169,'Performance Curves'!$D$1:$L$1,1))+2,FALSE)-VLOOKUP(CONCATENATE('BMP P Tracking Table'!$U169," ",'BMP P Tracking Table'!$AD169),'Performance Curves'!$C$1:$L$46,_xlfn.SINGLE(MATCH('BMP P Tracking Table'!$AF169,'Performance Curves'!$D$1:$L$1,1))+1,FALSE)),"")</f>
        <v/>
      </c>
      <c r="AH169" s="104" t="str">
        <f>IFERROR(('BMP P Tracking Table'!$AF169-INDEX('Performance Curves'!$D$1:$L$1,1,MATCH('BMP P Tracking Table'!$AF169,'Performance Curves'!$D$1:$L$1,1)))/(INDEX('Performance Curves'!$D$1:$L$1,1,MATCH('BMP P Tracking Table'!$AF169,'Performance Curves'!$D$1:$L$1,1)+1)-INDEX('Performance Curves'!$D$1:$L$1,1,MATCH('BMP P Tracking Table'!$AF169,'Performance Curves'!$D$1:$L$1,1))),"")</f>
        <v/>
      </c>
      <c r="AI169" s="103" t="str">
        <f>IFERROR(IF('BMP P Tracking Table'!$AF169=2,VLOOKUP(CONCATENATE('BMP P Tracking Table'!$U169," ",'BMP P Tracking Table'!$AD169),'Performance Curves'!$C$1:$L$46,_xlfn.SINGLE(MATCH('BMP P Tracking Table'!$AF169,'Performance Curves'!$D$1:$L$1,1))+1,FALSE),'BMP P Tracking Table'!$AG169*'BMP P Tracking Table'!$AH169+VLOOKUP(CONCATENATE('BMP P Tracking Table'!$U169," ",'BMP P Tracking Table'!$AD169),'Performance Curves'!$C$1:$L$46,_xlfn.SINGLE(MATCH('BMP P Tracking Table'!$AF169,'Performance Curves'!$D$1:$L$1,1))+1,FALSE)),"")</f>
        <v/>
      </c>
      <c r="AJ169" s="104" t="str">
        <f>IFERROR('BMP P Tracking Table'!$AI169*'BMP P Tracking Table'!$AE169,"")</f>
        <v/>
      </c>
      <c r="AK169" s="65"/>
      <c r="AL169" s="98"/>
      <c r="AM169" s="98"/>
      <c r="AN169" s="64">
        <v>1</v>
      </c>
      <c r="AO169" s="102" t="str">
        <f t="shared" si="33"/>
        <v/>
      </c>
      <c r="AP169" s="98"/>
      <c r="AQ169" s="98"/>
      <c r="AR169" s="98"/>
      <c r="AS169" s="98"/>
      <c r="AT169" s="98"/>
      <c r="AU169" s="98"/>
      <c r="AV169" s="98"/>
      <c r="AW169" s="65"/>
      <c r="AX169" s="99"/>
      <c r="AY169" s="99"/>
      <c r="AZ169" s="104" t="str">
        <f>IF('BMP P Tracking Table'!$AL169="Yes",IF('BMP P Tracking Table'!$AM169="No",'BMP P Tracking Table'!$V169*VLOOKUP('BMP P Tracking Table'!$R169,'Loading Rates'!$B$1:$L$24,4,FALSE)+IF('BMP P Tracking Table'!$W169="By HSG",'BMP P Tracking Table'!$X169*VLOOKUP('BMP P Tracking Table'!$R169,'Loading Rates'!$B$1:$L$24,6,FALSE)+'BMP P Tracking Table'!$Y169*VLOOKUP('BMP P Tracking Table'!$R169,'Loading Rates'!$B$1:$L$24,7,FALSE)+'BMP P Tracking Table'!$Z169*VLOOKUP('BMP P Tracking Table'!$R169,'Loading Rates'!$B$1:$L$24,8,FALSE)+'BMP P Tracking Table'!$AA169*VLOOKUP('BMP P Tracking Table'!$R169,'Loading Rates'!$B$1:$L$24,9,FALSE),'BMP P Tracking Table'!$AB169*VLOOKUP('BMP P Tracking Table'!$R169,'Loading Rates'!$B$1:$L$24,10,FALSE)),'BMP P Tracking Table'!$AP169*VLOOKUP('BMP P Tracking Table'!$R169,'Loading Rates'!$B$1:$L$24,4,FALSE)+IF('BMP P Tracking Table'!$AQ169="By HSG",'BMP P Tracking Table'!$AR169*VLOOKUP('BMP P Tracking Table'!$R169,'Loading Rates'!$B$1:$L$24,6,FALSE)+'BMP P Tracking Table'!$AS169*VLOOKUP('BMP P Tracking Table'!$R169,'Loading Rates'!$B$1:$L$24,7,FALSE)+'BMP P Tracking Table'!$AT169*VLOOKUP('BMP P Tracking Table'!$R169,'Loading Rates'!$B$1:$L$24,8,FALSE)+'BMP P Tracking Table'!$AU169*VLOOKUP('BMP P Tracking Table'!$R169,'Loading Rates'!$B$1:$L$24,9,FALSE),'BMP P Tracking Table'!$AV169*VLOOKUP('BMP P Tracking Table'!$R169,'Loading Rates'!$B$1:$L$24,10,FALSE))),"")</f>
        <v/>
      </c>
      <c r="BA169" s="104" t="str">
        <f>IFERROR(IF('BMP P Tracking Table'!$AM169="Yes",MIN(2,IF('BMP P Tracking Table'!$AQ169="Total Pervious",(-(3630*'BMP P Tracking Table'!$AP169+20.691*'BMP P Tracking Table'!$AV169)+SQRT((3630*'BMP P Tracking Table'!$AP169+20.691*'BMP P Tracking Table'!$AV169)^2-(4*(996.798*'BMP P Tracking Table'!$AV169)*-'BMP P Tracking Table'!$AX169)))/(2*(996.798*'BMP P Tracking Table'!$AV169)),IF(SUM('BMP P Tracking Table'!$AR169:$AU169)=0,'BMP P Tracking Table'!$AV169/(-3630*'BMP P Tracking Table'!$AP169),(-(3630*'BMP P Tracking Table'!$AP169+20.691*'BMP P Tracking Table'!$AU169-216.711*'BMP P Tracking Table'!$AT169-83.853*'BMP P Tracking Table'!$AS169-42.834*'BMP P Tracking Table'!$AR169)+SQRT((3630*'BMP P Tracking Table'!$AP169+20.691*'BMP P Tracking Table'!$AU169-216.711*'BMP P Tracking Table'!$AT169-83.853*'BMP P Tracking Table'!$AS169-42.834*'BMP P Tracking Table'!$AR169)^2-(4*(149.919*'BMP P Tracking Table'!$AR169+236.676*'BMP P Tracking Table'!$AS169+726*'BMP P Tracking Table'!$AT169+996.798*'BMP P Tracking Table'!$AU169)*-'BMP P Tracking Table'!$AX169)))/(2*(149.919*'BMP P Tracking Table'!$AR169+236.676*'BMP P Tracking Table'!$AS169+726*'BMP P Tracking Table'!$AT169+996.798*'BMP P Tracking Table'!$AU169))))),MIN(2,IF('BMP P Tracking Table'!$AQ169="Total Pervious",(-(3630*'BMP P Tracking Table'!$V169+20.691*'BMP P Tracking Table'!$AB169)+SQRT((3630*'BMP P Tracking Table'!$V169+20.691*'BMP P Tracking Table'!$AB169)^2-(4*(996.798*'BMP P Tracking Table'!$AB169)*-'BMP P Tracking Table'!$AX169)))/(2*(996.798*'BMP P Tracking Table'!$AB169)),IF(SUM('BMP P Tracking Table'!$X169:$AA169)=0,'BMP P Tracking Table'!$AX169/(-3630*'BMP P Tracking Table'!$V169),(-(3630*'BMP P Tracking Table'!$V169+20.691*'BMP P Tracking Table'!$AA169-216.711*'BMP P Tracking Table'!$Z169-83.853*'BMP P Tracking Table'!$Y169-42.834*'BMP P Tracking Table'!$X169)+SQRT((3630*'BMP P Tracking Table'!$V169+20.691*'BMP P Tracking Table'!$AA169-216.711*'BMP P Tracking Table'!$Z169-83.853*'BMP P Tracking Table'!$Y169-42.834*'BMP P Tracking Table'!$X169)^2-(4*(149.919*'BMP P Tracking Table'!$X169+236.676*'BMP P Tracking Table'!$Y169+726*'BMP P Tracking Table'!$Z169+996.798*'BMP P Tracking Table'!$AA169)*-'BMP P Tracking Table'!$AX169)))/(2*(149.919*'BMP P Tracking Table'!$X169+236.676*'BMP P Tracking Table'!$Y169+726*'BMP P Tracking Table'!$Z169+996.798*'BMP P Tracking Table'!$AA169)))))),"")</f>
        <v/>
      </c>
      <c r="BB169" s="102" t="str">
        <f>IFERROR((VLOOKUP(CONCATENATE('BMP P Tracking Table'!$AW169," ",'BMP P Tracking Table'!$AY169),'Performance Curves'!$C$1:$L$46,_xlfn.SINGLE(MATCH('BMP P Tracking Table'!$BA169,'Performance Curves'!$D$1:$L$1,1))+2,FALSE)-VLOOKUP(CONCATENATE('BMP P Tracking Table'!$AW169," ",'BMP P Tracking Table'!$AY169),'Performance Curves'!$C$1:$L$46,_xlfn.SINGLE(MATCH('BMP P Tracking Table'!$BA169,'Performance Curves'!$D$1:$L$1,1))+1,FALSE)),"")</f>
        <v/>
      </c>
      <c r="BC169" s="102" t="str">
        <f>IFERROR(('BMP P Tracking Table'!$BA169-INDEX('Performance Curves'!$D$1:$L$1,1,MATCH('BMP P Tracking Table'!$BA169,'Performance Curves'!$D$1:$L$1,1)))/(INDEX('Performance Curves'!$D$1:$L$1,1,MATCH('BMP P Tracking Table'!$BA169,'Performance Curves'!$D$1:$L$1,1)+1)-INDEX('Performance Curves'!$D$1:$L$1,1,MATCH('BMP P Tracking Table'!$BA169,'Performance Curves'!$D$1:$L$1,1))),"")</f>
        <v/>
      </c>
      <c r="BD169" s="103" t="str" cm="1">
        <f t="array" ref="BD169">IFERROR(IF('BMP P Tracking Table'!$BA169=2,VLOOKUP(CONCATENATE('BMP P Tracking Table'!$AW169," ",'BMP P Tracking Table'!$AY169),'Performance Curves'!$C$1:$L$44,_xlfn.SINGLE(MATCH('BMP P Tracking Table'!$BA169,'Performance Curves'!$D$1:$L$1,1))+1,FALSE),'BMP P Tracking Table'!$BB169*'BMP P Tracking Table'!$BC169+VLOOKUP(CONCATENATE('BMP P Tracking Table'!$AW169," ",'BMP P Tracking Table'!$AY169),'Performance Curves'!$C$1:$L$44,_xlfn.SINGLE(MATCH('BMP P Tracking Table'!$BA169,'Performance Curves'!$D$1:$L$1,1))+1,FALSE)),"")</f>
        <v/>
      </c>
      <c r="BE169" s="104" t="str">
        <f>IFERROR('BMP P Tracking Table'!$BD169*'BMP P Tracking Table'!$AZ169,"")</f>
        <v/>
      </c>
      <c r="BF169" s="98"/>
      <c r="BG169" s="37">
        <f t="shared" si="34"/>
        <v>0</v>
      </c>
    </row>
    <row r="170" spans="2:59" s="36" customFormat="1">
      <c r="B170" s="65"/>
      <c r="C170" s="65"/>
      <c r="D170" s="65"/>
      <c r="E170" s="65"/>
      <c r="F170" s="94"/>
      <c r="G170" s="94"/>
      <c r="H170" s="65"/>
      <c r="I170" s="65"/>
      <c r="J170" s="65"/>
      <c r="K170" s="95"/>
      <c r="L170" s="65"/>
      <c r="M170" s="65"/>
      <c r="N170" s="65"/>
      <c r="O170" s="65"/>
      <c r="P170" s="65"/>
      <c r="Q170" s="65"/>
      <c r="R170" s="65" t="str">
        <f>IFERROR(VLOOKUP('BMP P Tracking Table'!$Q170,Dropdowns!$C$2:$E$15,3,FALSE),"")</f>
        <v/>
      </c>
      <c r="S170" s="65" t="str">
        <f>IFERROR(VLOOKUP('BMP P Tracking Table'!$R170,Dropdowns!$Q$3:$R$23,2,FALSE),"")</f>
        <v/>
      </c>
      <c r="T170" s="65"/>
      <c r="U170" s="65"/>
      <c r="V170" s="65"/>
      <c r="W170" s="65"/>
      <c r="X170" s="65"/>
      <c r="Y170" s="65"/>
      <c r="Z170" s="65"/>
      <c r="AA170" s="65"/>
      <c r="AB170" s="65"/>
      <c r="AC170" s="97"/>
      <c r="AD170" s="65"/>
      <c r="AE170" s="104" t="str">
        <f>IFERROR('BMP P Tracking Table'!$V170*VLOOKUP('BMP P Tracking Table'!$R170,'Loading Rates'!$B$1:$L$24,4,FALSE)+IF('BMP P Tracking Table'!$W170="By HSG",'BMP P Tracking Table'!$X170*VLOOKUP('BMP P Tracking Table'!$R170,'Loading Rates'!$B$1:$L$24,6,FALSE)+'BMP P Tracking Table'!$Y170*VLOOKUP('BMP P Tracking Table'!$R170,'Loading Rates'!$B$1:$L$24,7,FALSE)+'BMP P Tracking Table'!$Z170*VLOOKUP('BMP P Tracking Table'!$R170,'Loading Rates'!$B$1:$L$24,8,FALSE)+'BMP P Tracking Table'!$AA170*VLOOKUP('BMP P Tracking Table'!$R170,'Loading Rates'!$B$1:$L$24,9,FALSE),'BMP P Tracking Table'!$AB170*VLOOKUP('BMP P Tracking Table'!$R170,'Loading Rates'!$B$1:$L$24,10,FALSE)),"")</f>
        <v/>
      </c>
      <c r="AF170" s="104" t="str">
        <f>IFERROR(MIN(2,IF('BMP P Tracking Table'!$W170="Total Pervious",(-(3630*'BMP P Tracking Table'!$V170+20.691*'BMP P Tracking Table'!$AB170)+SQRT((3630*'BMP P Tracking Table'!$V170+20.691*'BMP P Tracking Table'!$AB170)^2-(4*(996.798*'BMP P Tracking Table'!$AB170)*-'BMP P Tracking Table'!$AC170)))/(2*(996.798*'BMP P Tracking Table'!$AB170)),IF(SUM('BMP P Tracking Table'!$X170:$AA170)=0,'BMP P Tracking Table'!$AC170/(-3630*'BMP P Tracking Table'!$V170),(-(3630*'BMP P Tracking Table'!$V170+20.691*'BMP P Tracking Table'!$AA170-216.711*'BMP P Tracking Table'!$Z170-83.853*'BMP P Tracking Table'!$Y170-42.834*'BMP P Tracking Table'!$X170)+SQRT((3630*'BMP P Tracking Table'!$V170+20.691*'BMP P Tracking Table'!$AA170-216.711*'BMP P Tracking Table'!$Z170-83.853*'BMP P Tracking Table'!$Y170-42.834*'BMP P Tracking Table'!$X170)^2-(4*(149.919*'BMP P Tracking Table'!$X170+236.676*'BMP P Tracking Table'!$Y170+726*'BMP P Tracking Table'!$Z170+996.798*'BMP P Tracking Table'!$AA170)*-'BMP P Tracking Table'!$AC170)))/(2*(149.919*'BMP P Tracking Table'!$X170+236.676*'BMP P Tracking Table'!$Y170+726*'BMP P Tracking Table'!$Z170+996.798*'BMP P Tracking Table'!$AA170))))),"")</f>
        <v/>
      </c>
      <c r="AG170" s="104" t="str">
        <f>IFERROR((VLOOKUP(CONCATENATE('BMP P Tracking Table'!$U170," ",'BMP P Tracking Table'!$AD170),'Performance Curves'!$C$1:$L$46,_xlfn.SINGLE(MATCH('BMP P Tracking Table'!$AF170,'Performance Curves'!$D$1:$L$1,1))+2,FALSE)-VLOOKUP(CONCATENATE('BMP P Tracking Table'!$U170," ",'BMP P Tracking Table'!$AD170),'Performance Curves'!$C$1:$L$46,_xlfn.SINGLE(MATCH('BMP P Tracking Table'!$AF170,'Performance Curves'!$D$1:$L$1,1))+1,FALSE)),"")</f>
        <v/>
      </c>
      <c r="AH170" s="104" t="str">
        <f>IFERROR(('BMP P Tracking Table'!$AF170-INDEX('Performance Curves'!$D$1:$L$1,1,MATCH('BMP P Tracking Table'!$AF170,'Performance Curves'!$D$1:$L$1,1)))/(INDEX('Performance Curves'!$D$1:$L$1,1,MATCH('BMP P Tracking Table'!$AF170,'Performance Curves'!$D$1:$L$1,1)+1)-INDEX('Performance Curves'!$D$1:$L$1,1,MATCH('BMP P Tracking Table'!$AF170,'Performance Curves'!$D$1:$L$1,1))),"")</f>
        <v/>
      </c>
      <c r="AI170" s="103" t="str">
        <f>IFERROR(IF('BMP P Tracking Table'!$AF170=2,VLOOKUP(CONCATENATE('BMP P Tracking Table'!$U170," ",'BMP P Tracking Table'!$AD170),'Performance Curves'!$C$1:$L$46,_xlfn.SINGLE(MATCH('BMP P Tracking Table'!$AF170,'Performance Curves'!$D$1:$L$1,1))+1,FALSE),'BMP P Tracking Table'!$AG170*'BMP P Tracking Table'!$AH170+VLOOKUP(CONCATENATE('BMP P Tracking Table'!$U170," ",'BMP P Tracking Table'!$AD170),'Performance Curves'!$C$1:$L$46,_xlfn.SINGLE(MATCH('BMP P Tracking Table'!$AF170,'Performance Curves'!$D$1:$L$1,1))+1,FALSE)),"")</f>
        <v/>
      </c>
      <c r="AJ170" s="104" t="str">
        <f>IFERROR('BMP P Tracking Table'!$AI170*'BMP P Tracking Table'!$AE170,"")</f>
        <v/>
      </c>
      <c r="AK170" s="65"/>
      <c r="AL170" s="98"/>
      <c r="AM170" s="98"/>
      <c r="AN170" s="64">
        <v>1</v>
      </c>
      <c r="AO170" s="102" t="str">
        <f t="shared" si="33"/>
        <v/>
      </c>
      <c r="AP170" s="98"/>
      <c r="AQ170" s="98"/>
      <c r="AR170" s="98"/>
      <c r="AS170" s="98"/>
      <c r="AT170" s="98"/>
      <c r="AU170" s="98"/>
      <c r="AV170" s="98"/>
      <c r="AW170" s="65"/>
      <c r="AX170" s="99"/>
      <c r="AY170" s="99"/>
      <c r="AZ170" s="104" t="str">
        <f>IF('BMP P Tracking Table'!$AL170="Yes",IF('BMP P Tracking Table'!$AM170="No",'BMP P Tracking Table'!$V170*VLOOKUP('BMP P Tracking Table'!$R170,'Loading Rates'!$B$1:$L$24,4,FALSE)+IF('BMP P Tracking Table'!$W170="By HSG",'BMP P Tracking Table'!$X170*VLOOKUP('BMP P Tracking Table'!$R170,'Loading Rates'!$B$1:$L$24,6,FALSE)+'BMP P Tracking Table'!$Y170*VLOOKUP('BMP P Tracking Table'!$R170,'Loading Rates'!$B$1:$L$24,7,FALSE)+'BMP P Tracking Table'!$Z170*VLOOKUP('BMP P Tracking Table'!$R170,'Loading Rates'!$B$1:$L$24,8,FALSE)+'BMP P Tracking Table'!$AA170*VLOOKUP('BMP P Tracking Table'!$R170,'Loading Rates'!$B$1:$L$24,9,FALSE),'BMP P Tracking Table'!$AB170*VLOOKUP('BMP P Tracking Table'!$R170,'Loading Rates'!$B$1:$L$24,10,FALSE)),'BMP P Tracking Table'!$AP170*VLOOKUP('BMP P Tracking Table'!$R170,'Loading Rates'!$B$1:$L$24,4,FALSE)+IF('BMP P Tracking Table'!$AQ170="By HSG",'BMP P Tracking Table'!$AR170*VLOOKUP('BMP P Tracking Table'!$R170,'Loading Rates'!$B$1:$L$24,6,FALSE)+'BMP P Tracking Table'!$AS170*VLOOKUP('BMP P Tracking Table'!$R170,'Loading Rates'!$B$1:$L$24,7,FALSE)+'BMP P Tracking Table'!$AT170*VLOOKUP('BMP P Tracking Table'!$R170,'Loading Rates'!$B$1:$L$24,8,FALSE)+'BMP P Tracking Table'!$AU170*VLOOKUP('BMP P Tracking Table'!$R170,'Loading Rates'!$B$1:$L$24,9,FALSE),'BMP P Tracking Table'!$AV170*VLOOKUP('BMP P Tracking Table'!$R170,'Loading Rates'!$B$1:$L$24,10,FALSE))),"")</f>
        <v/>
      </c>
      <c r="BA170" s="104" t="str">
        <f>IFERROR(IF('BMP P Tracking Table'!$AM170="Yes",MIN(2,IF('BMP P Tracking Table'!$AQ170="Total Pervious",(-(3630*'BMP P Tracking Table'!$AP170+20.691*'BMP P Tracking Table'!$AV170)+SQRT((3630*'BMP P Tracking Table'!$AP170+20.691*'BMP P Tracking Table'!$AV170)^2-(4*(996.798*'BMP P Tracking Table'!$AV170)*-'BMP P Tracking Table'!$AX170)))/(2*(996.798*'BMP P Tracking Table'!$AV170)),IF(SUM('BMP P Tracking Table'!$AR170:$AU170)=0,'BMP P Tracking Table'!$AV170/(-3630*'BMP P Tracking Table'!$AP170),(-(3630*'BMP P Tracking Table'!$AP170+20.691*'BMP P Tracking Table'!$AU170-216.711*'BMP P Tracking Table'!$AT170-83.853*'BMP P Tracking Table'!$AS170-42.834*'BMP P Tracking Table'!$AR170)+SQRT((3630*'BMP P Tracking Table'!$AP170+20.691*'BMP P Tracking Table'!$AU170-216.711*'BMP P Tracking Table'!$AT170-83.853*'BMP P Tracking Table'!$AS170-42.834*'BMP P Tracking Table'!$AR170)^2-(4*(149.919*'BMP P Tracking Table'!$AR170+236.676*'BMP P Tracking Table'!$AS170+726*'BMP P Tracking Table'!$AT170+996.798*'BMP P Tracking Table'!$AU170)*-'BMP P Tracking Table'!$AX170)))/(2*(149.919*'BMP P Tracking Table'!$AR170+236.676*'BMP P Tracking Table'!$AS170+726*'BMP P Tracking Table'!$AT170+996.798*'BMP P Tracking Table'!$AU170))))),MIN(2,IF('BMP P Tracking Table'!$AQ170="Total Pervious",(-(3630*'BMP P Tracking Table'!$V170+20.691*'BMP P Tracking Table'!$AB170)+SQRT((3630*'BMP P Tracking Table'!$V170+20.691*'BMP P Tracking Table'!$AB170)^2-(4*(996.798*'BMP P Tracking Table'!$AB170)*-'BMP P Tracking Table'!$AX170)))/(2*(996.798*'BMP P Tracking Table'!$AB170)),IF(SUM('BMP P Tracking Table'!$X170:$AA170)=0,'BMP P Tracking Table'!$AX170/(-3630*'BMP P Tracking Table'!$V170),(-(3630*'BMP P Tracking Table'!$V170+20.691*'BMP P Tracking Table'!$AA170-216.711*'BMP P Tracking Table'!$Z170-83.853*'BMP P Tracking Table'!$Y170-42.834*'BMP P Tracking Table'!$X170)+SQRT((3630*'BMP P Tracking Table'!$V170+20.691*'BMP P Tracking Table'!$AA170-216.711*'BMP P Tracking Table'!$Z170-83.853*'BMP P Tracking Table'!$Y170-42.834*'BMP P Tracking Table'!$X170)^2-(4*(149.919*'BMP P Tracking Table'!$X170+236.676*'BMP P Tracking Table'!$Y170+726*'BMP P Tracking Table'!$Z170+996.798*'BMP P Tracking Table'!$AA170)*-'BMP P Tracking Table'!$AX170)))/(2*(149.919*'BMP P Tracking Table'!$X170+236.676*'BMP P Tracking Table'!$Y170+726*'BMP P Tracking Table'!$Z170+996.798*'BMP P Tracking Table'!$AA170)))))),"")</f>
        <v/>
      </c>
      <c r="BB170" s="102" t="str">
        <f>IFERROR((VLOOKUP(CONCATENATE('BMP P Tracking Table'!$AW170," ",'BMP P Tracking Table'!$AY170),'Performance Curves'!$C$1:$L$46,_xlfn.SINGLE(MATCH('BMP P Tracking Table'!$BA170,'Performance Curves'!$D$1:$L$1,1))+2,FALSE)-VLOOKUP(CONCATENATE('BMP P Tracking Table'!$AW170," ",'BMP P Tracking Table'!$AY170),'Performance Curves'!$C$1:$L$46,_xlfn.SINGLE(MATCH('BMP P Tracking Table'!$BA170,'Performance Curves'!$D$1:$L$1,1))+1,FALSE)),"")</f>
        <v/>
      </c>
      <c r="BC170" s="102" t="str">
        <f>IFERROR(('BMP P Tracking Table'!$BA170-INDEX('Performance Curves'!$D$1:$L$1,1,MATCH('BMP P Tracking Table'!$BA170,'Performance Curves'!$D$1:$L$1,1)))/(INDEX('Performance Curves'!$D$1:$L$1,1,MATCH('BMP P Tracking Table'!$BA170,'Performance Curves'!$D$1:$L$1,1)+1)-INDEX('Performance Curves'!$D$1:$L$1,1,MATCH('BMP P Tracking Table'!$BA170,'Performance Curves'!$D$1:$L$1,1))),"")</f>
        <v/>
      </c>
      <c r="BD170" s="103" t="str" cm="1">
        <f t="array" ref="BD170">IFERROR(IF('BMP P Tracking Table'!$BA170=2,VLOOKUP(CONCATENATE('BMP P Tracking Table'!$AW170," ",'BMP P Tracking Table'!$AY170),'Performance Curves'!$C$1:$L$44,_xlfn.SINGLE(MATCH('BMP P Tracking Table'!$BA170,'Performance Curves'!$D$1:$L$1,1))+1,FALSE),'BMP P Tracking Table'!$BB170*'BMP P Tracking Table'!$BC170+VLOOKUP(CONCATENATE('BMP P Tracking Table'!$AW170," ",'BMP P Tracking Table'!$AY170),'Performance Curves'!$C$1:$L$44,_xlfn.SINGLE(MATCH('BMP P Tracking Table'!$BA170,'Performance Curves'!$D$1:$L$1,1))+1,FALSE)),"")</f>
        <v/>
      </c>
      <c r="BE170" s="104" t="str">
        <f>IFERROR('BMP P Tracking Table'!$BD170*'BMP P Tracking Table'!$AZ170,"")</f>
        <v/>
      </c>
      <c r="BF170" s="98"/>
      <c r="BG170" s="37">
        <f t="shared" si="34"/>
        <v>0</v>
      </c>
    </row>
    <row r="171" spans="2:59" s="36" customFormat="1">
      <c r="B171" s="65"/>
      <c r="C171" s="65"/>
      <c r="D171" s="65"/>
      <c r="E171" s="65"/>
      <c r="F171" s="94"/>
      <c r="G171" s="94"/>
      <c r="H171" s="65"/>
      <c r="I171" s="65"/>
      <c r="J171" s="65"/>
      <c r="K171" s="95"/>
      <c r="L171" s="65"/>
      <c r="M171" s="65"/>
      <c r="N171" s="65"/>
      <c r="O171" s="65"/>
      <c r="P171" s="65"/>
      <c r="Q171" s="65"/>
      <c r="R171" s="65" t="str">
        <f>IFERROR(VLOOKUP('BMP P Tracking Table'!$Q171,Dropdowns!$C$2:$E$15,3,FALSE),"")</f>
        <v/>
      </c>
      <c r="S171" s="65" t="str">
        <f>IFERROR(VLOOKUP('BMP P Tracking Table'!$R171,Dropdowns!$Q$3:$R$23,2,FALSE),"")</f>
        <v/>
      </c>
      <c r="T171" s="65"/>
      <c r="U171" s="65"/>
      <c r="V171" s="65"/>
      <c r="W171" s="65"/>
      <c r="X171" s="65"/>
      <c r="Y171" s="65"/>
      <c r="Z171" s="65"/>
      <c r="AA171" s="65"/>
      <c r="AB171" s="65"/>
      <c r="AC171" s="97"/>
      <c r="AD171" s="65"/>
      <c r="AE171" s="104" t="str">
        <f>IFERROR('BMP P Tracking Table'!$V171*VLOOKUP('BMP P Tracking Table'!$R171,'Loading Rates'!$B$1:$L$24,4,FALSE)+IF('BMP P Tracking Table'!$W171="By HSG",'BMP P Tracking Table'!$X171*VLOOKUP('BMP P Tracking Table'!$R171,'Loading Rates'!$B$1:$L$24,6,FALSE)+'BMP P Tracking Table'!$Y171*VLOOKUP('BMP P Tracking Table'!$R171,'Loading Rates'!$B$1:$L$24,7,FALSE)+'BMP P Tracking Table'!$Z171*VLOOKUP('BMP P Tracking Table'!$R171,'Loading Rates'!$B$1:$L$24,8,FALSE)+'BMP P Tracking Table'!$AA171*VLOOKUP('BMP P Tracking Table'!$R171,'Loading Rates'!$B$1:$L$24,9,FALSE),'BMP P Tracking Table'!$AB171*VLOOKUP('BMP P Tracking Table'!$R171,'Loading Rates'!$B$1:$L$24,10,FALSE)),"")</f>
        <v/>
      </c>
      <c r="AF171" s="104" t="str">
        <f>IFERROR(MIN(2,IF('BMP P Tracking Table'!$W171="Total Pervious",(-(3630*'BMP P Tracking Table'!$V171+20.691*'BMP P Tracking Table'!$AB171)+SQRT((3630*'BMP P Tracking Table'!$V171+20.691*'BMP P Tracking Table'!$AB171)^2-(4*(996.798*'BMP P Tracking Table'!$AB171)*-'BMP P Tracking Table'!$AC171)))/(2*(996.798*'BMP P Tracking Table'!$AB171)),IF(SUM('BMP P Tracking Table'!$X171:$AA171)=0,'BMP P Tracking Table'!$AC171/(-3630*'BMP P Tracking Table'!$V171),(-(3630*'BMP P Tracking Table'!$V171+20.691*'BMP P Tracking Table'!$AA171-216.711*'BMP P Tracking Table'!$Z171-83.853*'BMP P Tracking Table'!$Y171-42.834*'BMP P Tracking Table'!$X171)+SQRT((3630*'BMP P Tracking Table'!$V171+20.691*'BMP P Tracking Table'!$AA171-216.711*'BMP P Tracking Table'!$Z171-83.853*'BMP P Tracking Table'!$Y171-42.834*'BMP P Tracking Table'!$X171)^2-(4*(149.919*'BMP P Tracking Table'!$X171+236.676*'BMP P Tracking Table'!$Y171+726*'BMP P Tracking Table'!$Z171+996.798*'BMP P Tracking Table'!$AA171)*-'BMP P Tracking Table'!$AC171)))/(2*(149.919*'BMP P Tracking Table'!$X171+236.676*'BMP P Tracking Table'!$Y171+726*'BMP P Tracking Table'!$Z171+996.798*'BMP P Tracking Table'!$AA171))))),"")</f>
        <v/>
      </c>
      <c r="AG171" s="104" t="str">
        <f>IFERROR((VLOOKUP(CONCATENATE('BMP P Tracking Table'!$U171," ",'BMP P Tracking Table'!$AD171),'Performance Curves'!$C$1:$L$46,_xlfn.SINGLE(MATCH('BMP P Tracking Table'!$AF171,'Performance Curves'!$D$1:$L$1,1))+2,FALSE)-VLOOKUP(CONCATENATE('BMP P Tracking Table'!$U171," ",'BMP P Tracking Table'!$AD171),'Performance Curves'!$C$1:$L$46,_xlfn.SINGLE(MATCH('BMP P Tracking Table'!$AF171,'Performance Curves'!$D$1:$L$1,1))+1,FALSE)),"")</f>
        <v/>
      </c>
      <c r="AH171" s="104" t="str">
        <f>IFERROR(('BMP P Tracking Table'!$AF171-INDEX('Performance Curves'!$D$1:$L$1,1,MATCH('BMP P Tracking Table'!$AF171,'Performance Curves'!$D$1:$L$1,1)))/(INDEX('Performance Curves'!$D$1:$L$1,1,MATCH('BMP P Tracking Table'!$AF171,'Performance Curves'!$D$1:$L$1,1)+1)-INDEX('Performance Curves'!$D$1:$L$1,1,MATCH('BMP P Tracking Table'!$AF171,'Performance Curves'!$D$1:$L$1,1))),"")</f>
        <v/>
      </c>
      <c r="AI171" s="103" t="str">
        <f>IFERROR(IF('BMP P Tracking Table'!$AF171=2,VLOOKUP(CONCATENATE('BMP P Tracking Table'!$U171," ",'BMP P Tracking Table'!$AD171),'Performance Curves'!$C$1:$L$46,_xlfn.SINGLE(MATCH('BMP P Tracking Table'!$AF171,'Performance Curves'!$D$1:$L$1,1))+1,FALSE),'BMP P Tracking Table'!$AG171*'BMP P Tracking Table'!$AH171+VLOOKUP(CONCATENATE('BMP P Tracking Table'!$U171," ",'BMP P Tracking Table'!$AD171),'Performance Curves'!$C$1:$L$46,_xlfn.SINGLE(MATCH('BMP P Tracking Table'!$AF171,'Performance Curves'!$D$1:$L$1,1))+1,FALSE)),"")</f>
        <v/>
      </c>
      <c r="AJ171" s="104" t="str">
        <f>IFERROR('BMP P Tracking Table'!$AI171*'BMP P Tracking Table'!$AE171,"")</f>
        <v/>
      </c>
      <c r="AK171" s="65"/>
      <c r="AL171" s="98"/>
      <c r="AM171" s="98"/>
      <c r="AN171" s="64">
        <v>1</v>
      </c>
      <c r="AO171" s="102" t="str">
        <f t="shared" si="33"/>
        <v/>
      </c>
      <c r="AP171" s="98"/>
      <c r="AQ171" s="98"/>
      <c r="AR171" s="98"/>
      <c r="AS171" s="98"/>
      <c r="AT171" s="98"/>
      <c r="AU171" s="98"/>
      <c r="AV171" s="98"/>
      <c r="AW171" s="65"/>
      <c r="AX171" s="99"/>
      <c r="AY171" s="99"/>
      <c r="AZ171" s="104" t="str">
        <f>IF('BMP P Tracking Table'!$AL171="Yes",IF('BMP P Tracking Table'!$AM171="No",'BMP P Tracking Table'!$V171*VLOOKUP('BMP P Tracking Table'!$R171,'Loading Rates'!$B$1:$L$24,4,FALSE)+IF('BMP P Tracking Table'!$W171="By HSG",'BMP P Tracking Table'!$X171*VLOOKUP('BMP P Tracking Table'!$R171,'Loading Rates'!$B$1:$L$24,6,FALSE)+'BMP P Tracking Table'!$Y171*VLOOKUP('BMP P Tracking Table'!$R171,'Loading Rates'!$B$1:$L$24,7,FALSE)+'BMP P Tracking Table'!$Z171*VLOOKUP('BMP P Tracking Table'!$R171,'Loading Rates'!$B$1:$L$24,8,FALSE)+'BMP P Tracking Table'!$AA171*VLOOKUP('BMP P Tracking Table'!$R171,'Loading Rates'!$B$1:$L$24,9,FALSE),'BMP P Tracking Table'!$AB171*VLOOKUP('BMP P Tracking Table'!$R171,'Loading Rates'!$B$1:$L$24,10,FALSE)),'BMP P Tracking Table'!$AP171*VLOOKUP('BMP P Tracking Table'!$R171,'Loading Rates'!$B$1:$L$24,4,FALSE)+IF('BMP P Tracking Table'!$AQ171="By HSG",'BMP P Tracking Table'!$AR171*VLOOKUP('BMP P Tracking Table'!$R171,'Loading Rates'!$B$1:$L$24,6,FALSE)+'BMP P Tracking Table'!$AS171*VLOOKUP('BMP P Tracking Table'!$R171,'Loading Rates'!$B$1:$L$24,7,FALSE)+'BMP P Tracking Table'!$AT171*VLOOKUP('BMP P Tracking Table'!$R171,'Loading Rates'!$B$1:$L$24,8,FALSE)+'BMP P Tracking Table'!$AU171*VLOOKUP('BMP P Tracking Table'!$R171,'Loading Rates'!$B$1:$L$24,9,FALSE),'BMP P Tracking Table'!$AV171*VLOOKUP('BMP P Tracking Table'!$R171,'Loading Rates'!$B$1:$L$24,10,FALSE))),"")</f>
        <v/>
      </c>
      <c r="BA171" s="104" t="str">
        <f>IFERROR(IF('BMP P Tracking Table'!$AM171="Yes",MIN(2,IF('BMP P Tracking Table'!$AQ171="Total Pervious",(-(3630*'BMP P Tracking Table'!$AP171+20.691*'BMP P Tracking Table'!$AV171)+SQRT((3630*'BMP P Tracking Table'!$AP171+20.691*'BMP P Tracking Table'!$AV171)^2-(4*(996.798*'BMP P Tracking Table'!$AV171)*-'BMP P Tracking Table'!$AX171)))/(2*(996.798*'BMP P Tracking Table'!$AV171)),IF(SUM('BMP P Tracking Table'!$AR171:$AU171)=0,'BMP P Tracking Table'!$AV171/(-3630*'BMP P Tracking Table'!$AP171),(-(3630*'BMP P Tracking Table'!$AP171+20.691*'BMP P Tracking Table'!$AU171-216.711*'BMP P Tracking Table'!$AT171-83.853*'BMP P Tracking Table'!$AS171-42.834*'BMP P Tracking Table'!$AR171)+SQRT((3630*'BMP P Tracking Table'!$AP171+20.691*'BMP P Tracking Table'!$AU171-216.711*'BMP P Tracking Table'!$AT171-83.853*'BMP P Tracking Table'!$AS171-42.834*'BMP P Tracking Table'!$AR171)^2-(4*(149.919*'BMP P Tracking Table'!$AR171+236.676*'BMP P Tracking Table'!$AS171+726*'BMP P Tracking Table'!$AT171+996.798*'BMP P Tracking Table'!$AU171)*-'BMP P Tracking Table'!$AX171)))/(2*(149.919*'BMP P Tracking Table'!$AR171+236.676*'BMP P Tracking Table'!$AS171+726*'BMP P Tracking Table'!$AT171+996.798*'BMP P Tracking Table'!$AU171))))),MIN(2,IF('BMP P Tracking Table'!$AQ171="Total Pervious",(-(3630*'BMP P Tracking Table'!$V171+20.691*'BMP P Tracking Table'!$AB171)+SQRT((3630*'BMP P Tracking Table'!$V171+20.691*'BMP P Tracking Table'!$AB171)^2-(4*(996.798*'BMP P Tracking Table'!$AB171)*-'BMP P Tracking Table'!$AX171)))/(2*(996.798*'BMP P Tracking Table'!$AB171)),IF(SUM('BMP P Tracking Table'!$X171:$AA171)=0,'BMP P Tracking Table'!$AX171/(-3630*'BMP P Tracking Table'!$V171),(-(3630*'BMP P Tracking Table'!$V171+20.691*'BMP P Tracking Table'!$AA171-216.711*'BMP P Tracking Table'!$Z171-83.853*'BMP P Tracking Table'!$Y171-42.834*'BMP P Tracking Table'!$X171)+SQRT((3630*'BMP P Tracking Table'!$V171+20.691*'BMP P Tracking Table'!$AA171-216.711*'BMP P Tracking Table'!$Z171-83.853*'BMP P Tracking Table'!$Y171-42.834*'BMP P Tracking Table'!$X171)^2-(4*(149.919*'BMP P Tracking Table'!$X171+236.676*'BMP P Tracking Table'!$Y171+726*'BMP P Tracking Table'!$Z171+996.798*'BMP P Tracking Table'!$AA171)*-'BMP P Tracking Table'!$AX171)))/(2*(149.919*'BMP P Tracking Table'!$X171+236.676*'BMP P Tracking Table'!$Y171+726*'BMP P Tracking Table'!$Z171+996.798*'BMP P Tracking Table'!$AA171)))))),"")</f>
        <v/>
      </c>
      <c r="BB171" s="102" t="str">
        <f>IFERROR((VLOOKUP(CONCATENATE('BMP P Tracking Table'!$AW171," ",'BMP P Tracking Table'!$AY171),'Performance Curves'!$C$1:$L$46,_xlfn.SINGLE(MATCH('BMP P Tracking Table'!$BA171,'Performance Curves'!$D$1:$L$1,1))+2,FALSE)-VLOOKUP(CONCATENATE('BMP P Tracking Table'!$AW171," ",'BMP P Tracking Table'!$AY171),'Performance Curves'!$C$1:$L$46,_xlfn.SINGLE(MATCH('BMP P Tracking Table'!$BA171,'Performance Curves'!$D$1:$L$1,1))+1,FALSE)),"")</f>
        <v/>
      </c>
      <c r="BC171" s="102" t="str">
        <f>IFERROR(('BMP P Tracking Table'!$BA171-INDEX('Performance Curves'!$D$1:$L$1,1,MATCH('BMP P Tracking Table'!$BA171,'Performance Curves'!$D$1:$L$1,1)))/(INDEX('Performance Curves'!$D$1:$L$1,1,MATCH('BMP P Tracking Table'!$BA171,'Performance Curves'!$D$1:$L$1,1)+1)-INDEX('Performance Curves'!$D$1:$L$1,1,MATCH('BMP P Tracking Table'!$BA171,'Performance Curves'!$D$1:$L$1,1))),"")</f>
        <v/>
      </c>
      <c r="BD171" s="103" t="str" cm="1">
        <f t="array" ref="BD171">IFERROR(IF('BMP P Tracking Table'!$BA171=2,VLOOKUP(CONCATENATE('BMP P Tracking Table'!$AW171," ",'BMP P Tracking Table'!$AY171),'Performance Curves'!$C$1:$L$44,_xlfn.SINGLE(MATCH('BMP P Tracking Table'!$BA171,'Performance Curves'!$D$1:$L$1,1))+1,FALSE),'BMP P Tracking Table'!$BB171*'BMP P Tracking Table'!$BC171+VLOOKUP(CONCATENATE('BMP P Tracking Table'!$AW171," ",'BMP P Tracking Table'!$AY171),'Performance Curves'!$C$1:$L$44,_xlfn.SINGLE(MATCH('BMP P Tracking Table'!$BA171,'Performance Curves'!$D$1:$L$1,1))+1,FALSE)),"")</f>
        <v/>
      </c>
      <c r="BE171" s="104" t="str">
        <f>IFERROR('BMP P Tracking Table'!$BD171*'BMP P Tracking Table'!$AZ171,"")</f>
        <v/>
      </c>
      <c r="BF171" s="98"/>
      <c r="BG171" s="37">
        <f t="shared" si="34"/>
        <v>0</v>
      </c>
    </row>
    <row r="172" spans="2:59" s="36" customFormat="1">
      <c r="B172" s="65"/>
      <c r="C172" s="65"/>
      <c r="D172" s="65"/>
      <c r="E172" s="65"/>
      <c r="F172" s="94"/>
      <c r="G172" s="94"/>
      <c r="H172" s="65"/>
      <c r="I172" s="65"/>
      <c r="J172" s="65"/>
      <c r="K172" s="95"/>
      <c r="L172" s="65"/>
      <c r="M172" s="65"/>
      <c r="N172" s="65"/>
      <c r="O172" s="65"/>
      <c r="P172" s="65"/>
      <c r="Q172" s="65"/>
      <c r="R172" s="65" t="str">
        <f>IFERROR(VLOOKUP('BMP P Tracking Table'!$Q172,Dropdowns!$C$2:$E$15,3,FALSE),"")</f>
        <v/>
      </c>
      <c r="S172" s="65" t="str">
        <f>IFERROR(VLOOKUP('BMP P Tracking Table'!$R172,Dropdowns!$Q$3:$R$23,2,FALSE),"")</f>
        <v/>
      </c>
      <c r="T172" s="65"/>
      <c r="U172" s="65"/>
      <c r="V172" s="65"/>
      <c r="W172" s="65"/>
      <c r="X172" s="65"/>
      <c r="Y172" s="65"/>
      <c r="Z172" s="65"/>
      <c r="AA172" s="65"/>
      <c r="AB172" s="65"/>
      <c r="AC172" s="97"/>
      <c r="AD172" s="65"/>
      <c r="AE172" s="104" t="str">
        <f>IFERROR('BMP P Tracking Table'!$V172*VLOOKUP('BMP P Tracking Table'!$R172,'Loading Rates'!$B$1:$L$24,4,FALSE)+IF('BMP P Tracking Table'!$W172="By HSG",'BMP P Tracking Table'!$X172*VLOOKUP('BMP P Tracking Table'!$R172,'Loading Rates'!$B$1:$L$24,6,FALSE)+'BMP P Tracking Table'!$Y172*VLOOKUP('BMP P Tracking Table'!$R172,'Loading Rates'!$B$1:$L$24,7,FALSE)+'BMP P Tracking Table'!$Z172*VLOOKUP('BMP P Tracking Table'!$R172,'Loading Rates'!$B$1:$L$24,8,FALSE)+'BMP P Tracking Table'!$AA172*VLOOKUP('BMP P Tracking Table'!$R172,'Loading Rates'!$B$1:$L$24,9,FALSE),'BMP P Tracking Table'!$AB172*VLOOKUP('BMP P Tracking Table'!$R172,'Loading Rates'!$B$1:$L$24,10,FALSE)),"")</f>
        <v/>
      </c>
      <c r="AF172" s="104" t="str">
        <f>IFERROR(MIN(2,IF('BMP P Tracking Table'!$W172="Total Pervious",(-(3630*'BMP P Tracking Table'!$V172+20.691*'BMP P Tracking Table'!$AB172)+SQRT((3630*'BMP P Tracking Table'!$V172+20.691*'BMP P Tracking Table'!$AB172)^2-(4*(996.798*'BMP P Tracking Table'!$AB172)*-'BMP P Tracking Table'!$AC172)))/(2*(996.798*'BMP P Tracking Table'!$AB172)),IF(SUM('BMP P Tracking Table'!$X172:$AA172)=0,'BMP P Tracking Table'!$AC172/(-3630*'BMP P Tracking Table'!$V172),(-(3630*'BMP P Tracking Table'!$V172+20.691*'BMP P Tracking Table'!$AA172-216.711*'BMP P Tracking Table'!$Z172-83.853*'BMP P Tracking Table'!$Y172-42.834*'BMP P Tracking Table'!$X172)+SQRT((3630*'BMP P Tracking Table'!$V172+20.691*'BMP P Tracking Table'!$AA172-216.711*'BMP P Tracking Table'!$Z172-83.853*'BMP P Tracking Table'!$Y172-42.834*'BMP P Tracking Table'!$X172)^2-(4*(149.919*'BMP P Tracking Table'!$X172+236.676*'BMP P Tracking Table'!$Y172+726*'BMP P Tracking Table'!$Z172+996.798*'BMP P Tracking Table'!$AA172)*-'BMP P Tracking Table'!$AC172)))/(2*(149.919*'BMP P Tracking Table'!$X172+236.676*'BMP P Tracking Table'!$Y172+726*'BMP P Tracking Table'!$Z172+996.798*'BMP P Tracking Table'!$AA172))))),"")</f>
        <v/>
      </c>
      <c r="AG172" s="104" t="str">
        <f>IFERROR((VLOOKUP(CONCATENATE('BMP P Tracking Table'!$U172," ",'BMP P Tracking Table'!$AD172),'Performance Curves'!$C$1:$L$46,_xlfn.SINGLE(MATCH('BMP P Tracking Table'!$AF172,'Performance Curves'!$D$1:$L$1,1))+2,FALSE)-VLOOKUP(CONCATENATE('BMP P Tracking Table'!$U172," ",'BMP P Tracking Table'!$AD172),'Performance Curves'!$C$1:$L$46,_xlfn.SINGLE(MATCH('BMP P Tracking Table'!$AF172,'Performance Curves'!$D$1:$L$1,1))+1,FALSE)),"")</f>
        <v/>
      </c>
      <c r="AH172" s="104" t="str">
        <f>IFERROR(('BMP P Tracking Table'!$AF172-INDEX('Performance Curves'!$D$1:$L$1,1,MATCH('BMP P Tracking Table'!$AF172,'Performance Curves'!$D$1:$L$1,1)))/(INDEX('Performance Curves'!$D$1:$L$1,1,MATCH('BMP P Tracking Table'!$AF172,'Performance Curves'!$D$1:$L$1,1)+1)-INDEX('Performance Curves'!$D$1:$L$1,1,MATCH('BMP P Tracking Table'!$AF172,'Performance Curves'!$D$1:$L$1,1))),"")</f>
        <v/>
      </c>
      <c r="AI172" s="103" t="str">
        <f>IFERROR(IF('BMP P Tracking Table'!$AF172=2,VLOOKUP(CONCATENATE('BMP P Tracking Table'!$U172," ",'BMP P Tracking Table'!$AD172),'Performance Curves'!$C$1:$L$46,_xlfn.SINGLE(MATCH('BMP P Tracking Table'!$AF172,'Performance Curves'!$D$1:$L$1,1))+1,FALSE),'BMP P Tracking Table'!$AG172*'BMP P Tracking Table'!$AH172+VLOOKUP(CONCATENATE('BMP P Tracking Table'!$U172," ",'BMP P Tracking Table'!$AD172),'Performance Curves'!$C$1:$L$46,_xlfn.SINGLE(MATCH('BMP P Tracking Table'!$AF172,'Performance Curves'!$D$1:$L$1,1))+1,FALSE)),"")</f>
        <v/>
      </c>
      <c r="AJ172" s="104" t="str">
        <f>IFERROR('BMP P Tracking Table'!$AI172*'BMP P Tracking Table'!$AE172,"")</f>
        <v/>
      </c>
      <c r="AK172" s="65"/>
      <c r="AL172" s="98"/>
      <c r="AM172" s="98"/>
      <c r="AN172" s="64">
        <v>1</v>
      </c>
      <c r="AO172" s="102" t="str">
        <f t="shared" si="33"/>
        <v/>
      </c>
      <c r="AP172" s="98"/>
      <c r="AQ172" s="98"/>
      <c r="AR172" s="98"/>
      <c r="AS172" s="98"/>
      <c r="AT172" s="98"/>
      <c r="AU172" s="98"/>
      <c r="AV172" s="98"/>
      <c r="AW172" s="65"/>
      <c r="AX172" s="99"/>
      <c r="AY172" s="99"/>
      <c r="AZ172" s="104" t="str">
        <f>IF('BMP P Tracking Table'!$AL172="Yes",IF('BMP P Tracking Table'!$AM172="No",'BMP P Tracking Table'!$V172*VLOOKUP('BMP P Tracking Table'!$R172,'Loading Rates'!$B$1:$L$24,4,FALSE)+IF('BMP P Tracking Table'!$W172="By HSG",'BMP P Tracking Table'!$X172*VLOOKUP('BMP P Tracking Table'!$R172,'Loading Rates'!$B$1:$L$24,6,FALSE)+'BMP P Tracking Table'!$Y172*VLOOKUP('BMP P Tracking Table'!$R172,'Loading Rates'!$B$1:$L$24,7,FALSE)+'BMP P Tracking Table'!$Z172*VLOOKUP('BMP P Tracking Table'!$R172,'Loading Rates'!$B$1:$L$24,8,FALSE)+'BMP P Tracking Table'!$AA172*VLOOKUP('BMP P Tracking Table'!$R172,'Loading Rates'!$B$1:$L$24,9,FALSE),'BMP P Tracking Table'!$AB172*VLOOKUP('BMP P Tracking Table'!$R172,'Loading Rates'!$B$1:$L$24,10,FALSE)),'BMP P Tracking Table'!$AP172*VLOOKUP('BMP P Tracking Table'!$R172,'Loading Rates'!$B$1:$L$24,4,FALSE)+IF('BMP P Tracking Table'!$AQ172="By HSG",'BMP P Tracking Table'!$AR172*VLOOKUP('BMP P Tracking Table'!$R172,'Loading Rates'!$B$1:$L$24,6,FALSE)+'BMP P Tracking Table'!$AS172*VLOOKUP('BMP P Tracking Table'!$R172,'Loading Rates'!$B$1:$L$24,7,FALSE)+'BMP P Tracking Table'!$AT172*VLOOKUP('BMP P Tracking Table'!$R172,'Loading Rates'!$B$1:$L$24,8,FALSE)+'BMP P Tracking Table'!$AU172*VLOOKUP('BMP P Tracking Table'!$R172,'Loading Rates'!$B$1:$L$24,9,FALSE),'BMP P Tracking Table'!$AV172*VLOOKUP('BMP P Tracking Table'!$R172,'Loading Rates'!$B$1:$L$24,10,FALSE))),"")</f>
        <v/>
      </c>
      <c r="BA172" s="104" t="str">
        <f>IFERROR(IF('BMP P Tracking Table'!$AM172="Yes",MIN(2,IF('BMP P Tracking Table'!$AQ172="Total Pervious",(-(3630*'BMP P Tracking Table'!$AP172+20.691*'BMP P Tracking Table'!$AV172)+SQRT((3630*'BMP P Tracking Table'!$AP172+20.691*'BMP P Tracking Table'!$AV172)^2-(4*(996.798*'BMP P Tracking Table'!$AV172)*-'BMP P Tracking Table'!$AX172)))/(2*(996.798*'BMP P Tracking Table'!$AV172)),IF(SUM('BMP P Tracking Table'!$AR172:$AU172)=0,'BMP P Tracking Table'!$AV172/(-3630*'BMP P Tracking Table'!$AP172),(-(3630*'BMP P Tracking Table'!$AP172+20.691*'BMP P Tracking Table'!$AU172-216.711*'BMP P Tracking Table'!$AT172-83.853*'BMP P Tracking Table'!$AS172-42.834*'BMP P Tracking Table'!$AR172)+SQRT((3630*'BMP P Tracking Table'!$AP172+20.691*'BMP P Tracking Table'!$AU172-216.711*'BMP P Tracking Table'!$AT172-83.853*'BMP P Tracking Table'!$AS172-42.834*'BMP P Tracking Table'!$AR172)^2-(4*(149.919*'BMP P Tracking Table'!$AR172+236.676*'BMP P Tracking Table'!$AS172+726*'BMP P Tracking Table'!$AT172+996.798*'BMP P Tracking Table'!$AU172)*-'BMP P Tracking Table'!$AX172)))/(2*(149.919*'BMP P Tracking Table'!$AR172+236.676*'BMP P Tracking Table'!$AS172+726*'BMP P Tracking Table'!$AT172+996.798*'BMP P Tracking Table'!$AU172))))),MIN(2,IF('BMP P Tracking Table'!$AQ172="Total Pervious",(-(3630*'BMP P Tracking Table'!$V172+20.691*'BMP P Tracking Table'!$AB172)+SQRT((3630*'BMP P Tracking Table'!$V172+20.691*'BMP P Tracking Table'!$AB172)^2-(4*(996.798*'BMP P Tracking Table'!$AB172)*-'BMP P Tracking Table'!$AX172)))/(2*(996.798*'BMP P Tracking Table'!$AB172)),IF(SUM('BMP P Tracking Table'!$X172:$AA172)=0,'BMP P Tracking Table'!$AX172/(-3630*'BMP P Tracking Table'!$V172),(-(3630*'BMP P Tracking Table'!$V172+20.691*'BMP P Tracking Table'!$AA172-216.711*'BMP P Tracking Table'!$Z172-83.853*'BMP P Tracking Table'!$Y172-42.834*'BMP P Tracking Table'!$X172)+SQRT((3630*'BMP P Tracking Table'!$V172+20.691*'BMP P Tracking Table'!$AA172-216.711*'BMP P Tracking Table'!$Z172-83.853*'BMP P Tracking Table'!$Y172-42.834*'BMP P Tracking Table'!$X172)^2-(4*(149.919*'BMP P Tracking Table'!$X172+236.676*'BMP P Tracking Table'!$Y172+726*'BMP P Tracking Table'!$Z172+996.798*'BMP P Tracking Table'!$AA172)*-'BMP P Tracking Table'!$AX172)))/(2*(149.919*'BMP P Tracking Table'!$X172+236.676*'BMP P Tracking Table'!$Y172+726*'BMP P Tracking Table'!$Z172+996.798*'BMP P Tracking Table'!$AA172)))))),"")</f>
        <v/>
      </c>
      <c r="BB172" s="102" t="str">
        <f>IFERROR((VLOOKUP(CONCATENATE('BMP P Tracking Table'!$AW172," ",'BMP P Tracking Table'!$AY172),'Performance Curves'!$C$1:$L$46,_xlfn.SINGLE(MATCH('BMP P Tracking Table'!$BA172,'Performance Curves'!$D$1:$L$1,1))+2,FALSE)-VLOOKUP(CONCATENATE('BMP P Tracking Table'!$AW172," ",'BMP P Tracking Table'!$AY172),'Performance Curves'!$C$1:$L$46,_xlfn.SINGLE(MATCH('BMP P Tracking Table'!$BA172,'Performance Curves'!$D$1:$L$1,1))+1,FALSE)),"")</f>
        <v/>
      </c>
      <c r="BC172" s="102" t="str">
        <f>IFERROR(('BMP P Tracking Table'!$BA172-INDEX('Performance Curves'!$D$1:$L$1,1,MATCH('BMP P Tracking Table'!$BA172,'Performance Curves'!$D$1:$L$1,1)))/(INDEX('Performance Curves'!$D$1:$L$1,1,MATCH('BMP P Tracking Table'!$BA172,'Performance Curves'!$D$1:$L$1,1)+1)-INDEX('Performance Curves'!$D$1:$L$1,1,MATCH('BMP P Tracking Table'!$BA172,'Performance Curves'!$D$1:$L$1,1))),"")</f>
        <v/>
      </c>
      <c r="BD172" s="103" t="str" cm="1">
        <f t="array" ref="BD172">IFERROR(IF('BMP P Tracking Table'!$BA172=2,VLOOKUP(CONCATENATE('BMP P Tracking Table'!$AW172," ",'BMP P Tracking Table'!$AY172),'Performance Curves'!$C$1:$L$44,_xlfn.SINGLE(MATCH('BMP P Tracking Table'!$BA172,'Performance Curves'!$D$1:$L$1,1))+1,FALSE),'BMP P Tracking Table'!$BB172*'BMP P Tracking Table'!$BC172+VLOOKUP(CONCATENATE('BMP P Tracking Table'!$AW172," ",'BMP P Tracking Table'!$AY172),'Performance Curves'!$C$1:$L$44,_xlfn.SINGLE(MATCH('BMP P Tracking Table'!$BA172,'Performance Curves'!$D$1:$L$1,1))+1,FALSE)),"")</f>
        <v/>
      </c>
      <c r="BE172" s="104" t="str">
        <f>IFERROR('BMP P Tracking Table'!$BD172*'BMP P Tracking Table'!$AZ172,"")</f>
        <v/>
      </c>
      <c r="BF172" s="98"/>
      <c r="BG172" s="37">
        <f t="shared" si="34"/>
        <v>0</v>
      </c>
    </row>
    <row r="173" spans="2:59" s="36" customFormat="1">
      <c r="B173" s="65"/>
      <c r="C173" s="65"/>
      <c r="D173" s="65"/>
      <c r="E173" s="65"/>
      <c r="F173" s="94"/>
      <c r="G173" s="94"/>
      <c r="H173" s="65"/>
      <c r="I173" s="65"/>
      <c r="J173" s="65"/>
      <c r="K173" s="95"/>
      <c r="L173" s="65"/>
      <c r="M173" s="65"/>
      <c r="N173" s="65"/>
      <c r="O173" s="65"/>
      <c r="P173" s="65"/>
      <c r="Q173" s="65"/>
      <c r="R173" s="65" t="str">
        <f>IFERROR(VLOOKUP('BMP P Tracking Table'!$Q173,Dropdowns!$C$2:$E$15,3,FALSE),"")</f>
        <v/>
      </c>
      <c r="S173" s="65" t="str">
        <f>IFERROR(VLOOKUP('BMP P Tracking Table'!$R173,Dropdowns!$Q$3:$R$23,2,FALSE),"")</f>
        <v/>
      </c>
      <c r="T173" s="65"/>
      <c r="U173" s="65"/>
      <c r="V173" s="65"/>
      <c r="W173" s="65"/>
      <c r="X173" s="65"/>
      <c r="Y173" s="65"/>
      <c r="Z173" s="65"/>
      <c r="AA173" s="65"/>
      <c r="AB173" s="65"/>
      <c r="AC173" s="97"/>
      <c r="AD173" s="65"/>
      <c r="AE173" s="104" t="str">
        <f>IFERROR('BMP P Tracking Table'!$V173*VLOOKUP('BMP P Tracking Table'!$R173,'Loading Rates'!$B$1:$L$24,4,FALSE)+IF('BMP P Tracking Table'!$W173="By HSG",'BMP P Tracking Table'!$X173*VLOOKUP('BMP P Tracking Table'!$R173,'Loading Rates'!$B$1:$L$24,6,FALSE)+'BMP P Tracking Table'!$Y173*VLOOKUP('BMP P Tracking Table'!$R173,'Loading Rates'!$B$1:$L$24,7,FALSE)+'BMP P Tracking Table'!$Z173*VLOOKUP('BMP P Tracking Table'!$R173,'Loading Rates'!$B$1:$L$24,8,FALSE)+'BMP P Tracking Table'!$AA173*VLOOKUP('BMP P Tracking Table'!$R173,'Loading Rates'!$B$1:$L$24,9,FALSE),'BMP P Tracking Table'!$AB173*VLOOKUP('BMP P Tracking Table'!$R173,'Loading Rates'!$B$1:$L$24,10,FALSE)),"")</f>
        <v/>
      </c>
      <c r="AF173" s="104" t="str">
        <f>IFERROR(MIN(2,IF('BMP P Tracking Table'!$W173="Total Pervious",(-(3630*'BMP P Tracking Table'!$V173+20.691*'BMP P Tracking Table'!$AB173)+SQRT((3630*'BMP P Tracking Table'!$V173+20.691*'BMP P Tracking Table'!$AB173)^2-(4*(996.798*'BMP P Tracking Table'!$AB173)*-'BMP P Tracking Table'!$AC173)))/(2*(996.798*'BMP P Tracking Table'!$AB173)),IF(SUM('BMP P Tracking Table'!$X173:$AA173)=0,'BMP P Tracking Table'!$AC173/(-3630*'BMP P Tracking Table'!$V173),(-(3630*'BMP P Tracking Table'!$V173+20.691*'BMP P Tracking Table'!$AA173-216.711*'BMP P Tracking Table'!$Z173-83.853*'BMP P Tracking Table'!$Y173-42.834*'BMP P Tracking Table'!$X173)+SQRT((3630*'BMP P Tracking Table'!$V173+20.691*'BMP P Tracking Table'!$AA173-216.711*'BMP P Tracking Table'!$Z173-83.853*'BMP P Tracking Table'!$Y173-42.834*'BMP P Tracking Table'!$X173)^2-(4*(149.919*'BMP P Tracking Table'!$X173+236.676*'BMP P Tracking Table'!$Y173+726*'BMP P Tracking Table'!$Z173+996.798*'BMP P Tracking Table'!$AA173)*-'BMP P Tracking Table'!$AC173)))/(2*(149.919*'BMP P Tracking Table'!$X173+236.676*'BMP P Tracking Table'!$Y173+726*'BMP P Tracking Table'!$Z173+996.798*'BMP P Tracking Table'!$AA173))))),"")</f>
        <v/>
      </c>
      <c r="AG173" s="104" t="str">
        <f>IFERROR((VLOOKUP(CONCATENATE('BMP P Tracking Table'!$U173," ",'BMP P Tracking Table'!$AD173),'Performance Curves'!$C$1:$L$46,_xlfn.SINGLE(MATCH('BMP P Tracking Table'!$AF173,'Performance Curves'!$D$1:$L$1,1))+2,FALSE)-VLOOKUP(CONCATENATE('BMP P Tracking Table'!$U173," ",'BMP P Tracking Table'!$AD173),'Performance Curves'!$C$1:$L$46,_xlfn.SINGLE(MATCH('BMP P Tracking Table'!$AF173,'Performance Curves'!$D$1:$L$1,1))+1,FALSE)),"")</f>
        <v/>
      </c>
      <c r="AH173" s="104" t="str">
        <f>IFERROR(('BMP P Tracking Table'!$AF173-INDEX('Performance Curves'!$D$1:$L$1,1,MATCH('BMP P Tracking Table'!$AF173,'Performance Curves'!$D$1:$L$1,1)))/(INDEX('Performance Curves'!$D$1:$L$1,1,MATCH('BMP P Tracking Table'!$AF173,'Performance Curves'!$D$1:$L$1,1)+1)-INDEX('Performance Curves'!$D$1:$L$1,1,MATCH('BMP P Tracking Table'!$AF173,'Performance Curves'!$D$1:$L$1,1))),"")</f>
        <v/>
      </c>
      <c r="AI173" s="103" t="str">
        <f>IFERROR(IF('BMP P Tracking Table'!$AF173=2,VLOOKUP(CONCATENATE('BMP P Tracking Table'!$U173," ",'BMP P Tracking Table'!$AD173),'Performance Curves'!$C$1:$L$46,_xlfn.SINGLE(MATCH('BMP P Tracking Table'!$AF173,'Performance Curves'!$D$1:$L$1,1))+1,FALSE),'BMP P Tracking Table'!$AG173*'BMP P Tracking Table'!$AH173+VLOOKUP(CONCATENATE('BMP P Tracking Table'!$U173," ",'BMP P Tracking Table'!$AD173),'Performance Curves'!$C$1:$L$46,_xlfn.SINGLE(MATCH('BMP P Tracking Table'!$AF173,'Performance Curves'!$D$1:$L$1,1))+1,FALSE)),"")</f>
        <v/>
      </c>
      <c r="AJ173" s="104" t="str">
        <f>IFERROR('BMP P Tracking Table'!$AI173*'BMP P Tracking Table'!$AE173,"")</f>
        <v/>
      </c>
      <c r="AK173" s="65"/>
      <c r="AL173" s="98"/>
      <c r="AM173" s="98"/>
      <c r="AN173" s="64">
        <v>1</v>
      </c>
      <c r="AO173" s="102" t="str">
        <f t="shared" si="33"/>
        <v/>
      </c>
      <c r="AP173" s="98"/>
      <c r="AQ173" s="98"/>
      <c r="AR173" s="98"/>
      <c r="AS173" s="98"/>
      <c r="AT173" s="98"/>
      <c r="AU173" s="98"/>
      <c r="AV173" s="98"/>
      <c r="AW173" s="65"/>
      <c r="AX173" s="99"/>
      <c r="AY173" s="99"/>
      <c r="AZ173" s="104" t="str">
        <f>IF('BMP P Tracking Table'!$AL173="Yes",IF('BMP P Tracking Table'!$AM173="No",'BMP P Tracking Table'!$V173*VLOOKUP('BMP P Tracking Table'!$R173,'Loading Rates'!$B$1:$L$24,4,FALSE)+IF('BMP P Tracking Table'!$W173="By HSG",'BMP P Tracking Table'!$X173*VLOOKUP('BMP P Tracking Table'!$R173,'Loading Rates'!$B$1:$L$24,6,FALSE)+'BMP P Tracking Table'!$Y173*VLOOKUP('BMP P Tracking Table'!$R173,'Loading Rates'!$B$1:$L$24,7,FALSE)+'BMP P Tracking Table'!$Z173*VLOOKUP('BMP P Tracking Table'!$R173,'Loading Rates'!$B$1:$L$24,8,FALSE)+'BMP P Tracking Table'!$AA173*VLOOKUP('BMP P Tracking Table'!$R173,'Loading Rates'!$B$1:$L$24,9,FALSE),'BMP P Tracking Table'!$AB173*VLOOKUP('BMP P Tracking Table'!$R173,'Loading Rates'!$B$1:$L$24,10,FALSE)),'BMP P Tracking Table'!$AP173*VLOOKUP('BMP P Tracking Table'!$R173,'Loading Rates'!$B$1:$L$24,4,FALSE)+IF('BMP P Tracking Table'!$AQ173="By HSG",'BMP P Tracking Table'!$AR173*VLOOKUP('BMP P Tracking Table'!$R173,'Loading Rates'!$B$1:$L$24,6,FALSE)+'BMP P Tracking Table'!$AS173*VLOOKUP('BMP P Tracking Table'!$R173,'Loading Rates'!$B$1:$L$24,7,FALSE)+'BMP P Tracking Table'!$AT173*VLOOKUP('BMP P Tracking Table'!$R173,'Loading Rates'!$B$1:$L$24,8,FALSE)+'BMP P Tracking Table'!$AU173*VLOOKUP('BMP P Tracking Table'!$R173,'Loading Rates'!$B$1:$L$24,9,FALSE),'BMP P Tracking Table'!$AV173*VLOOKUP('BMP P Tracking Table'!$R173,'Loading Rates'!$B$1:$L$24,10,FALSE))),"")</f>
        <v/>
      </c>
      <c r="BA173" s="104" t="str">
        <f>IFERROR(IF('BMP P Tracking Table'!$AM173="Yes",MIN(2,IF('BMP P Tracking Table'!$AQ173="Total Pervious",(-(3630*'BMP P Tracking Table'!$AP173+20.691*'BMP P Tracking Table'!$AV173)+SQRT((3630*'BMP P Tracking Table'!$AP173+20.691*'BMP P Tracking Table'!$AV173)^2-(4*(996.798*'BMP P Tracking Table'!$AV173)*-'BMP P Tracking Table'!$AX173)))/(2*(996.798*'BMP P Tracking Table'!$AV173)),IF(SUM('BMP P Tracking Table'!$AR173:$AU173)=0,'BMP P Tracking Table'!$AV173/(-3630*'BMP P Tracking Table'!$AP173),(-(3630*'BMP P Tracking Table'!$AP173+20.691*'BMP P Tracking Table'!$AU173-216.711*'BMP P Tracking Table'!$AT173-83.853*'BMP P Tracking Table'!$AS173-42.834*'BMP P Tracking Table'!$AR173)+SQRT((3630*'BMP P Tracking Table'!$AP173+20.691*'BMP P Tracking Table'!$AU173-216.711*'BMP P Tracking Table'!$AT173-83.853*'BMP P Tracking Table'!$AS173-42.834*'BMP P Tracking Table'!$AR173)^2-(4*(149.919*'BMP P Tracking Table'!$AR173+236.676*'BMP P Tracking Table'!$AS173+726*'BMP P Tracking Table'!$AT173+996.798*'BMP P Tracking Table'!$AU173)*-'BMP P Tracking Table'!$AX173)))/(2*(149.919*'BMP P Tracking Table'!$AR173+236.676*'BMP P Tracking Table'!$AS173+726*'BMP P Tracking Table'!$AT173+996.798*'BMP P Tracking Table'!$AU173))))),MIN(2,IF('BMP P Tracking Table'!$AQ173="Total Pervious",(-(3630*'BMP P Tracking Table'!$V173+20.691*'BMP P Tracking Table'!$AB173)+SQRT((3630*'BMP P Tracking Table'!$V173+20.691*'BMP P Tracking Table'!$AB173)^2-(4*(996.798*'BMP P Tracking Table'!$AB173)*-'BMP P Tracking Table'!$AX173)))/(2*(996.798*'BMP P Tracking Table'!$AB173)),IF(SUM('BMP P Tracking Table'!$X173:$AA173)=0,'BMP P Tracking Table'!$AX173/(-3630*'BMP P Tracking Table'!$V173),(-(3630*'BMP P Tracking Table'!$V173+20.691*'BMP P Tracking Table'!$AA173-216.711*'BMP P Tracking Table'!$Z173-83.853*'BMP P Tracking Table'!$Y173-42.834*'BMP P Tracking Table'!$X173)+SQRT((3630*'BMP P Tracking Table'!$V173+20.691*'BMP P Tracking Table'!$AA173-216.711*'BMP P Tracking Table'!$Z173-83.853*'BMP P Tracking Table'!$Y173-42.834*'BMP P Tracking Table'!$X173)^2-(4*(149.919*'BMP P Tracking Table'!$X173+236.676*'BMP P Tracking Table'!$Y173+726*'BMP P Tracking Table'!$Z173+996.798*'BMP P Tracking Table'!$AA173)*-'BMP P Tracking Table'!$AX173)))/(2*(149.919*'BMP P Tracking Table'!$X173+236.676*'BMP P Tracking Table'!$Y173+726*'BMP P Tracking Table'!$Z173+996.798*'BMP P Tracking Table'!$AA173)))))),"")</f>
        <v/>
      </c>
      <c r="BB173" s="102" t="str">
        <f>IFERROR((VLOOKUP(CONCATENATE('BMP P Tracking Table'!$AW173," ",'BMP P Tracking Table'!$AY173),'Performance Curves'!$C$1:$L$46,_xlfn.SINGLE(MATCH('BMP P Tracking Table'!$BA173,'Performance Curves'!$D$1:$L$1,1))+2,FALSE)-VLOOKUP(CONCATENATE('BMP P Tracking Table'!$AW173," ",'BMP P Tracking Table'!$AY173),'Performance Curves'!$C$1:$L$46,_xlfn.SINGLE(MATCH('BMP P Tracking Table'!$BA173,'Performance Curves'!$D$1:$L$1,1))+1,FALSE)),"")</f>
        <v/>
      </c>
      <c r="BC173" s="102" t="str">
        <f>IFERROR(('BMP P Tracking Table'!$BA173-INDEX('Performance Curves'!$D$1:$L$1,1,MATCH('BMP P Tracking Table'!$BA173,'Performance Curves'!$D$1:$L$1,1)))/(INDEX('Performance Curves'!$D$1:$L$1,1,MATCH('BMP P Tracking Table'!$BA173,'Performance Curves'!$D$1:$L$1,1)+1)-INDEX('Performance Curves'!$D$1:$L$1,1,MATCH('BMP P Tracking Table'!$BA173,'Performance Curves'!$D$1:$L$1,1))),"")</f>
        <v/>
      </c>
      <c r="BD173" s="103" t="str" cm="1">
        <f t="array" ref="BD173">IFERROR(IF('BMP P Tracking Table'!$BA173=2,VLOOKUP(CONCATENATE('BMP P Tracking Table'!$AW173," ",'BMP P Tracking Table'!$AY173),'Performance Curves'!$C$1:$L$44,_xlfn.SINGLE(MATCH('BMP P Tracking Table'!$BA173,'Performance Curves'!$D$1:$L$1,1))+1,FALSE),'BMP P Tracking Table'!$BB173*'BMP P Tracking Table'!$BC173+VLOOKUP(CONCATENATE('BMP P Tracking Table'!$AW173," ",'BMP P Tracking Table'!$AY173),'Performance Curves'!$C$1:$L$44,_xlfn.SINGLE(MATCH('BMP P Tracking Table'!$BA173,'Performance Curves'!$D$1:$L$1,1))+1,FALSE)),"")</f>
        <v/>
      </c>
      <c r="BE173" s="104" t="str">
        <f>IFERROR('BMP P Tracking Table'!$BD173*'BMP P Tracking Table'!$AZ173,"")</f>
        <v/>
      </c>
      <c r="BF173" s="92"/>
      <c r="BG173" s="37">
        <f t="shared" si="34"/>
        <v>0</v>
      </c>
    </row>
    <row r="174" spans="2:59" s="36" customFormat="1">
      <c r="B174" s="65"/>
      <c r="C174" s="65"/>
      <c r="D174" s="65"/>
      <c r="E174" s="65"/>
      <c r="F174" s="94"/>
      <c r="G174" s="94"/>
      <c r="H174" s="65"/>
      <c r="I174" s="65"/>
      <c r="J174" s="65"/>
      <c r="K174" s="95"/>
      <c r="L174" s="65"/>
      <c r="M174" s="65"/>
      <c r="N174" s="65"/>
      <c r="O174" s="65"/>
      <c r="P174" s="65"/>
      <c r="Q174" s="65"/>
      <c r="R174" s="65" t="str">
        <f>IFERROR(VLOOKUP('BMP P Tracking Table'!$Q174,Dropdowns!$C$2:$E$15,3,FALSE),"")</f>
        <v/>
      </c>
      <c r="S174" s="65" t="str">
        <f>IFERROR(VLOOKUP('BMP P Tracking Table'!$R174,Dropdowns!$Q$3:$R$23,2,FALSE),"")</f>
        <v/>
      </c>
      <c r="T174" s="65"/>
      <c r="U174" s="65"/>
      <c r="V174" s="65"/>
      <c r="W174" s="65"/>
      <c r="X174" s="65"/>
      <c r="Y174" s="65"/>
      <c r="Z174" s="65"/>
      <c r="AA174" s="65"/>
      <c r="AB174" s="65"/>
      <c r="AC174" s="97"/>
      <c r="AD174" s="65"/>
      <c r="AE174" s="104" t="str">
        <f>IFERROR('BMP P Tracking Table'!$V174*VLOOKUP('BMP P Tracking Table'!$R174,'Loading Rates'!$B$1:$L$24,4,FALSE)+IF('BMP P Tracking Table'!$W174="By HSG",'BMP P Tracking Table'!$X174*VLOOKUP('BMP P Tracking Table'!$R174,'Loading Rates'!$B$1:$L$24,6,FALSE)+'BMP P Tracking Table'!$Y174*VLOOKUP('BMP P Tracking Table'!$R174,'Loading Rates'!$B$1:$L$24,7,FALSE)+'BMP P Tracking Table'!$Z174*VLOOKUP('BMP P Tracking Table'!$R174,'Loading Rates'!$B$1:$L$24,8,FALSE)+'BMP P Tracking Table'!$AA174*VLOOKUP('BMP P Tracking Table'!$R174,'Loading Rates'!$B$1:$L$24,9,FALSE),'BMP P Tracking Table'!$AB174*VLOOKUP('BMP P Tracking Table'!$R174,'Loading Rates'!$B$1:$L$24,10,FALSE)),"")</f>
        <v/>
      </c>
      <c r="AF174" s="104" t="str">
        <f>IFERROR(MIN(2,IF('BMP P Tracking Table'!$W174="Total Pervious",(-(3630*'BMP P Tracking Table'!$V174+20.691*'BMP P Tracking Table'!$AB174)+SQRT((3630*'BMP P Tracking Table'!$V174+20.691*'BMP P Tracking Table'!$AB174)^2-(4*(996.798*'BMP P Tracking Table'!$AB174)*-'BMP P Tracking Table'!$AC174)))/(2*(996.798*'BMP P Tracking Table'!$AB174)),IF(SUM('BMP P Tracking Table'!$X174:$AA174)=0,'BMP P Tracking Table'!$AC174/(-3630*'BMP P Tracking Table'!$V174),(-(3630*'BMP P Tracking Table'!$V174+20.691*'BMP P Tracking Table'!$AA174-216.711*'BMP P Tracking Table'!$Z174-83.853*'BMP P Tracking Table'!$Y174-42.834*'BMP P Tracking Table'!$X174)+SQRT((3630*'BMP P Tracking Table'!$V174+20.691*'BMP P Tracking Table'!$AA174-216.711*'BMP P Tracking Table'!$Z174-83.853*'BMP P Tracking Table'!$Y174-42.834*'BMP P Tracking Table'!$X174)^2-(4*(149.919*'BMP P Tracking Table'!$X174+236.676*'BMP P Tracking Table'!$Y174+726*'BMP P Tracking Table'!$Z174+996.798*'BMP P Tracking Table'!$AA174)*-'BMP P Tracking Table'!$AC174)))/(2*(149.919*'BMP P Tracking Table'!$X174+236.676*'BMP P Tracking Table'!$Y174+726*'BMP P Tracking Table'!$Z174+996.798*'BMP P Tracking Table'!$AA174))))),"")</f>
        <v/>
      </c>
      <c r="AG174" s="104" t="str">
        <f>IFERROR((VLOOKUP(CONCATENATE('BMP P Tracking Table'!$U174," ",'BMP P Tracking Table'!$AD174),'Performance Curves'!$C$1:$L$46,_xlfn.SINGLE(MATCH('BMP P Tracking Table'!$AF174,'Performance Curves'!$D$1:$L$1,1))+2,FALSE)-VLOOKUP(CONCATENATE('BMP P Tracking Table'!$U174," ",'BMP P Tracking Table'!$AD174),'Performance Curves'!$C$1:$L$46,_xlfn.SINGLE(MATCH('BMP P Tracking Table'!$AF174,'Performance Curves'!$D$1:$L$1,1))+1,FALSE)),"")</f>
        <v/>
      </c>
      <c r="AH174" s="104" t="str">
        <f>IFERROR(('BMP P Tracking Table'!$AF174-INDEX('Performance Curves'!$D$1:$L$1,1,MATCH('BMP P Tracking Table'!$AF174,'Performance Curves'!$D$1:$L$1,1)))/(INDEX('Performance Curves'!$D$1:$L$1,1,MATCH('BMP P Tracking Table'!$AF174,'Performance Curves'!$D$1:$L$1,1)+1)-INDEX('Performance Curves'!$D$1:$L$1,1,MATCH('BMP P Tracking Table'!$AF174,'Performance Curves'!$D$1:$L$1,1))),"")</f>
        <v/>
      </c>
      <c r="AI174" s="103" t="str">
        <f>IFERROR(IF('BMP P Tracking Table'!$AF174=2,VLOOKUP(CONCATENATE('BMP P Tracking Table'!$U174," ",'BMP P Tracking Table'!$AD174),'Performance Curves'!$C$1:$L$46,_xlfn.SINGLE(MATCH('BMP P Tracking Table'!$AF174,'Performance Curves'!$D$1:$L$1,1))+1,FALSE),'BMP P Tracking Table'!$AG174*'BMP P Tracking Table'!$AH174+VLOOKUP(CONCATENATE('BMP P Tracking Table'!$U174," ",'BMP P Tracking Table'!$AD174),'Performance Curves'!$C$1:$L$46,_xlfn.SINGLE(MATCH('BMP P Tracking Table'!$AF174,'Performance Curves'!$D$1:$L$1,1))+1,FALSE)),"")</f>
        <v/>
      </c>
      <c r="AJ174" s="104" t="str">
        <f>IFERROR('BMP P Tracking Table'!$AI174*'BMP P Tracking Table'!$AE174,"")</f>
        <v/>
      </c>
      <c r="AK174" s="65"/>
      <c r="AL174" s="98"/>
      <c r="AM174" s="98"/>
      <c r="AN174" s="64">
        <v>1</v>
      </c>
      <c r="AO174" s="102" t="str">
        <f t="shared" si="33"/>
        <v/>
      </c>
      <c r="AP174" s="98"/>
      <c r="AQ174" s="98"/>
      <c r="AR174" s="98"/>
      <c r="AS174" s="98"/>
      <c r="AT174" s="98"/>
      <c r="AU174" s="98"/>
      <c r="AV174" s="98"/>
      <c r="AW174" s="65"/>
      <c r="AX174" s="99"/>
      <c r="AY174" s="99"/>
      <c r="AZ174" s="104" t="str">
        <f>IF('BMP P Tracking Table'!$AL174="Yes",IF('BMP P Tracking Table'!$AM174="No",'BMP P Tracking Table'!$V174*VLOOKUP('BMP P Tracking Table'!$R174,'Loading Rates'!$B$1:$L$24,4,FALSE)+IF('BMP P Tracking Table'!$W174="By HSG",'BMP P Tracking Table'!$X174*VLOOKUP('BMP P Tracking Table'!$R174,'Loading Rates'!$B$1:$L$24,6,FALSE)+'BMP P Tracking Table'!$Y174*VLOOKUP('BMP P Tracking Table'!$R174,'Loading Rates'!$B$1:$L$24,7,FALSE)+'BMP P Tracking Table'!$Z174*VLOOKUP('BMP P Tracking Table'!$R174,'Loading Rates'!$B$1:$L$24,8,FALSE)+'BMP P Tracking Table'!$AA174*VLOOKUP('BMP P Tracking Table'!$R174,'Loading Rates'!$B$1:$L$24,9,FALSE),'BMP P Tracking Table'!$AB174*VLOOKUP('BMP P Tracking Table'!$R174,'Loading Rates'!$B$1:$L$24,10,FALSE)),'BMP P Tracking Table'!$AP174*VLOOKUP('BMP P Tracking Table'!$R174,'Loading Rates'!$B$1:$L$24,4,FALSE)+IF('BMP P Tracking Table'!$AQ174="By HSG",'BMP P Tracking Table'!$AR174*VLOOKUP('BMP P Tracking Table'!$R174,'Loading Rates'!$B$1:$L$24,6,FALSE)+'BMP P Tracking Table'!$AS174*VLOOKUP('BMP P Tracking Table'!$R174,'Loading Rates'!$B$1:$L$24,7,FALSE)+'BMP P Tracking Table'!$AT174*VLOOKUP('BMP P Tracking Table'!$R174,'Loading Rates'!$B$1:$L$24,8,FALSE)+'BMP P Tracking Table'!$AU174*VLOOKUP('BMP P Tracking Table'!$R174,'Loading Rates'!$B$1:$L$24,9,FALSE),'BMP P Tracking Table'!$AV174*VLOOKUP('BMP P Tracking Table'!$R174,'Loading Rates'!$B$1:$L$24,10,FALSE))),"")</f>
        <v/>
      </c>
      <c r="BA174" s="104" t="str">
        <f>IFERROR(IF('BMP P Tracking Table'!$AM174="Yes",MIN(2,IF('BMP P Tracking Table'!$AQ174="Total Pervious",(-(3630*'BMP P Tracking Table'!$AP174+20.691*'BMP P Tracking Table'!$AV174)+SQRT((3630*'BMP P Tracking Table'!$AP174+20.691*'BMP P Tracking Table'!$AV174)^2-(4*(996.798*'BMP P Tracking Table'!$AV174)*-'BMP P Tracking Table'!$AX174)))/(2*(996.798*'BMP P Tracking Table'!$AV174)),IF(SUM('BMP P Tracking Table'!$AR174:$AU174)=0,'BMP P Tracking Table'!$AV174/(-3630*'BMP P Tracking Table'!$AP174),(-(3630*'BMP P Tracking Table'!$AP174+20.691*'BMP P Tracking Table'!$AU174-216.711*'BMP P Tracking Table'!$AT174-83.853*'BMP P Tracking Table'!$AS174-42.834*'BMP P Tracking Table'!$AR174)+SQRT((3630*'BMP P Tracking Table'!$AP174+20.691*'BMP P Tracking Table'!$AU174-216.711*'BMP P Tracking Table'!$AT174-83.853*'BMP P Tracking Table'!$AS174-42.834*'BMP P Tracking Table'!$AR174)^2-(4*(149.919*'BMP P Tracking Table'!$AR174+236.676*'BMP P Tracking Table'!$AS174+726*'BMP P Tracking Table'!$AT174+996.798*'BMP P Tracking Table'!$AU174)*-'BMP P Tracking Table'!$AX174)))/(2*(149.919*'BMP P Tracking Table'!$AR174+236.676*'BMP P Tracking Table'!$AS174+726*'BMP P Tracking Table'!$AT174+996.798*'BMP P Tracking Table'!$AU174))))),MIN(2,IF('BMP P Tracking Table'!$AQ174="Total Pervious",(-(3630*'BMP P Tracking Table'!$V174+20.691*'BMP P Tracking Table'!$AB174)+SQRT((3630*'BMP P Tracking Table'!$V174+20.691*'BMP P Tracking Table'!$AB174)^2-(4*(996.798*'BMP P Tracking Table'!$AB174)*-'BMP P Tracking Table'!$AX174)))/(2*(996.798*'BMP P Tracking Table'!$AB174)),IF(SUM('BMP P Tracking Table'!$X174:$AA174)=0,'BMP P Tracking Table'!$AX174/(-3630*'BMP P Tracking Table'!$V174),(-(3630*'BMP P Tracking Table'!$V174+20.691*'BMP P Tracking Table'!$AA174-216.711*'BMP P Tracking Table'!$Z174-83.853*'BMP P Tracking Table'!$Y174-42.834*'BMP P Tracking Table'!$X174)+SQRT((3630*'BMP P Tracking Table'!$V174+20.691*'BMP P Tracking Table'!$AA174-216.711*'BMP P Tracking Table'!$Z174-83.853*'BMP P Tracking Table'!$Y174-42.834*'BMP P Tracking Table'!$X174)^2-(4*(149.919*'BMP P Tracking Table'!$X174+236.676*'BMP P Tracking Table'!$Y174+726*'BMP P Tracking Table'!$Z174+996.798*'BMP P Tracking Table'!$AA174)*-'BMP P Tracking Table'!$AX174)))/(2*(149.919*'BMP P Tracking Table'!$X174+236.676*'BMP P Tracking Table'!$Y174+726*'BMP P Tracking Table'!$Z174+996.798*'BMP P Tracking Table'!$AA174)))))),"")</f>
        <v/>
      </c>
      <c r="BB174" s="102" t="str">
        <f>IFERROR((VLOOKUP(CONCATENATE('BMP P Tracking Table'!$AW174," ",'BMP P Tracking Table'!$AY174),'Performance Curves'!$C$1:$L$46,_xlfn.SINGLE(MATCH('BMP P Tracking Table'!$BA174,'Performance Curves'!$D$1:$L$1,1))+2,FALSE)-VLOOKUP(CONCATENATE('BMP P Tracking Table'!$AW174," ",'BMP P Tracking Table'!$AY174),'Performance Curves'!$C$1:$L$46,_xlfn.SINGLE(MATCH('BMP P Tracking Table'!$BA174,'Performance Curves'!$D$1:$L$1,1))+1,FALSE)),"")</f>
        <v/>
      </c>
      <c r="BC174" s="102" t="str">
        <f>IFERROR(('BMP P Tracking Table'!$BA174-INDEX('Performance Curves'!$D$1:$L$1,1,MATCH('BMP P Tracking Table'!$BA174,'Performance Curves'!$D$1:$L$1,1)))/(INDEX('Performance Curves'!$D$1:$L$1,1,MATCH('BMP P Tracking Table'!$BA174,'Performance Curves'!$D$1:$L$1,1)+1)-INDEX('Performance Curves'!$D$1:$L$1,1,MATCH('BMP P Tracking Table'!$BA174,'Performance Curves'!$D$1:$L$1,1))),"")</f>
        <v/>
      </c>
      <c r="BD174" s="103" t="str" cm="1">
        <f t="array" ref="BD174">IFERROR(IF('BMP P Tracking Table'!$BA174=2,VLOOKUP(CONCATENATE('BMP P Tracking Table'!$AW174," ",'BMP P Tracking Table'!$AY174),'Performance Curves'!$C$1:$L$44,_xlfn.SINGLE(MATCH('BMP P Tracking Table'!$BA174,'Performance Curves'!$D$1:$L$1,1))+1,FALSE),'BMP P Tracking Table'!$BB174*'BMP P Tracking Table'!$BC174+VLOOKUP(CONCATENATE('BMP P Tracking Table'!$AW174," ",'BMP P Tracking Table'!$AY174),'Performance Curves'!$C$1:$L$44,_xlfn.SINGLE(MATCH('BMP P Tracking Table'!$BA174,'Performance Curves'!$D$1:$L$1,1))+1,FALSE)),"")</f>
        <v/>
      </c>
      <c r="BE174" s="104" t="str">
        <f>IFERROR('BMP P Tracking Table'!$BD174*'BMP P Tracking Table'!$AZ174,"")</f>
        <v/>
      </c>
      <c r="BF174" s="98"/>
      <c r="BG174" s="37">
        <f t="shared" si="34"/>
        <v>0</v>
      </c>
    </row>
    <row r="175" spans="2:59" s="36" customFormat="1">
      <c r="B175" s="65"/>
      <c r="C175" s="65"/>
      <c r="D175" s="65"/>
      <c r="E175" s="65"/>
      <c r="F175" s="94"/>
      <c r="G175" s="94"/>
      <c r="H175" s="65"/>
      <c r="I175" s="65"/>
      <c r="J175" s="65"/>
      <c r="K175" s="95"/>
      <c r="L175" s="65"/>
      <c r="M175" s="65"/>
      <c r="N175" s="65"/>
      <c r="O175" s="65"/>
      <c r="P175" s="65"/>
      <c r="Q175" s="65"/>
      <c r="R175" s="65" t="str">
        <f>IFERROR(VLOOKUP('BMP P Tracking Table'!$Q175,Dropdowns!$C$2:$E$15,3,FALSE),"")</f>
        <v/>
      </c>
      <c r="S175" s="65" t="str">
        <f>IFERROR(VLOOKUP('BMP P Tracking Table'!$R175,Dropdowns!$Q$3:$R$23,2,FALSE),"")</f>
        <v/>
      </c>
      <c r="T175" s="65"/>
      <c r="U175" s="65"/>
      <c r="V175" s="65"/>
      <c r="W175" s="65"/>
      <c r="X175" s="65"/>
      <c r="Y175" s="65"/>
      <c r="Z175" s="65"/>
      <c r="AA175" s="65"/>
      <c r="AB175" s="65"/>
      <c r="AC175" s="97"/>
      <c r="AD175" s="65"/>
      <c r="AE175" s="104" t="str">
        <f>IFERROR('BMP P Tracking Table'!$V175*VLOOKUP('BMP P Tracking Table'!$R175,'Loading Rates'!$B$1:$L$24,4,FALSE)+IF('BMP P Tracking Table'!$W175="By HSG",'BMP P Tracking Table'!$X175*VLOOKUP('BMP P Tracking Table'!$R175,'Loading Rates'!$B$1:$L$24,6,FALSE)+'BMP P Tracking Table'!$Y175*VLOOKUP('BMP P Tracking Table'!$R175,'Loading Rates'!$B$1:$L$24,7,FALSE)+'BMP P Tracking Table'!$Z175*VLOOKUP('BMP P Tracking Table'!$R175,'Loading Rates'!$B$1:$L$24,8,FALSE)+'BMP P Tracking Table'!$AA175*VLOOKUP('BMP P Tracking Table'!$R175,'Loading Rates'!$B$1:$L$24,9,FALSE),'BMP P Tracking Table'!$AB175*VLOOKUP('BMP P Tracking Table'!$R175,'Loading Rates'!$B$1:$L$24,10,FALSE)),"")</f>
        <v/>
      </c>
      <c r="AF175" s="104" t="str">
        <f>IFERROR(MIN(2,IF('BMP P Tracking Table'!$W175="Total Pervious",(-(3630*'BMP P Tracking Table'!$V175+20.691*'BMP P Tracking Table'!$AB175)+SQRT((3630*'BMP P Tracking Table'!$V175+20.691*'BMP P Tracking Table'!$AB175)^2-(4*(996.798*'BMP P Tracking Table'!$AB175)*-'BMP P Tracking Table'!$AC175)))/(2*(996.798*'BMP P Tracking Table'!$AB175)),IF(SUM('BMP P Tracking Table'!$X175:$AA175)=0,'BMP P Tracking Table'!$AC175/(-3630*'BMP P Tracking Table'!$V175),(-(3630*'BMP P Tracking Table'!$V175+20.691*'BMP P Tracking Table'!$AA175-216.711*'BMP P Tracking Table'!$Z175-83.853*'BMP P Tracking Table'!$Y175-42.834*'BMP P Tracking Table'!$X175)+SQRT((3630*'BMP P Tracking Table'!$V175+20.691*'BMP P Tracking Table'!$AA175-216.711*'BMP P Tracking Table'!$Z175-83.853*'BMP P Tracking Table'!$Y175-42.834*'BMP P Tracking Table'!$X175)^2-(4*(149.919*'BMP P Tracking Table'!$X175+236.676*'BMP P Tracking Table'!$Y175+726*'BMP P Tracking Table'!$Z175+996.798*'BMP P Tracking Table'!$AA175)*-'BMP P Tracking Table'!$AC175)))/(2*(149.919*'BMP P Tracking Table'!$X175+236.676*'BMP P Tracking Table'!$Y175+726*'BMP P Tracking Table'!$Z175+996.798*'BMP P Tracking Table'!$AA175))))),"")</f>
        <v/>
      </c>
      <c r="AG175" s="104" t="str">
        <f>IFERROR((VLOOKUP(CONCATENATE('BMP P Tracking Table'!$U175," ",'BMP P Tracking Table'!$AD175),'Performance Curves'!$C$1:$L$46,_xlfn.SINGLE(MATCH('BMP P Tracking Table'!$AF175,'Performance Curves'!$D$1:$L$1,1))+2,FALSE)-VLOOKUP(CONCATENATE('BMP P Tracking Table'!$U175," ",'BMP P Tracking Table'!$AD175),'Performance Curves'!$C$1:$L$46,_xlfn.SINGLE(MATCH('BMP P Tracking Table'!$AF175,'Performance Curves'!$D$1:$L$1,1))+1,FALSE)),"")</f>
        <v/>
      </c>
      <c r="AH175" s="104" t="str">
        <f>IFERROR(('BMP P Tracking Table'!$AF175-INDEX('Performance Curves'!$D$1:$L$1,1,MATCH('BMP P Tracking Table'!$AF175,'Performance Curves'!$D$1:$L$1,1)))/(INDEX('Performance Curves'!$D$1:$L$1,1,MATCH('BMP P Tracking Table'!$AF175,'Performance Curves'!$D$1:$L$1,1)+1)-INDEX('Performance Curves'!$D$1:$L$1,1,MATCH('BMP P Tracking Table'!$AF175,'Performance Curves'!$D$1:$L$1,1))),"")</f>
        <v/>
      </c>
      <c r="AI175" s="103" t="str">
        <f>IFERROR(IF('BMP P Tracking Table'!$AF175=2,VLOOKUP(CONCATENATE('BMP P Tracking Table'!$U175," ",'BMP P Tracking Table'!$AD175),'Performance Curves'!$C$1:$L$46,_xlfn.SINGLE(MATCH('BMP P Tracking Table'!$AF175,'Performance Curves'!$D$1:$L$1,1))+1,FALSE),'BMP P Tracking Table'!$AG175*'BMP P Tracking Table'!$AH175+VLOOKUP(CONCATENATE('BMP P Tracking Table'!$U175," ",'BMP P Tracking Table'!$AD175),'Performance Curves'!$C$1:$L$46,_xlfn.SINGLE(MATCH('BMP P Tracking Table'!$AF175,'Performance Curves'!$D$1:$L$1,1))+1,FALSE)),"")</f>
        <v/>
      </c>
      <c r="AJ175" s="104" t="str">
        <f>IFERROR('BMP P Tracking Table'!$AI175*'BMP P Tracking Table'!$AE175,"")</f>
        <v/>
      </c>
      <c r="AK175" s="65"/>
      <c r="AL175" s="98"/>
      <c r="AM175" s="98"/>
      <c r="AN175" s="64">
        <v>1</v>
      </c>
      <c r="AO175" s="102" t="str">
        <f t="shared" si="33"/>
        <v/>
      </c>
      <c r="AP175" s="98"/>
      <c r="AQ175" s="98"/>
      <c r="AR175" s="98"/>
      <c r="AS175" s="98"/>
      <c r="AT175" s="98"/>
      <c r="AU175" s="98"/>
      <c r="AV175" s="98"/>
      <c r="AW175" s="65"/>
      <c r="AX175" s="99"/>
      <c r="AY175" s="99"/>
      <c r="AZ175" s="104" t="str">
        <f>IF('BMP P Tracking Table'!$AL175="Yes",IF('BMP P Tracking Table'!$AM175="No",'BMP P Tracking Table'!$V175*VLOOKUP('BMP P Tracking Table'!$R175,'Loading Rates'!$B$1:$L$24,4,FALSE)+IF('BMP P Tracking Table'!$W175="By HSG",'BMP P Tracking Table'!$X175*VLOOKUP('BMP P Tracking Table'!$R175,'Loading Rates'!$B$1:$L$24,6,FALSE)+'BMP P Tracking Table'!$Y175*VLOOKUP('BMP P Tracking Table'!$R175,'Loading Rates'!$B$1:$L$24,7,FALSE)+'BMP P Tracking Table'!$Z175*VLOOKUP('BMP P Tracking Table'!$R175,'Loading Rates'!$B$1:$L$24,8,FALSE)+'BMP P Tracking Table'!$AA175*VLOOKUP('BMP P Tracking Table'!$R175,'Loading Rates'!$B$1:$L$24,9,FALSE),'BMP P Tracking Table'!$AB175*VLOOKUP('BMP P Tracking Table'!$R175,'Loading Rates'!$B$1:$L$24,10,FALSE)),'BMP P Tracking Table'!$AP175*VLOOKUP('BMP P Tracking Table'!$R175,'Loading Rates'!$B$1:$L$24,4,FALSE)+IF('BMP P Tracking Table'!$AQ175="By HSG",'BMP P Tracking Table'!$AR175*VLOOKUP('BMP P Tracking Table'!$R175,'Loading Rates'!$B$1:$L$24,6,FALSE)+'BMP P Tracking Table'!$AS175*VLOOKUP('BMP P Tracking Table'!$R175,'Loading Rates'!$B$1:$L$24,7,FALSE)+'BMP P Tracking Table'!$AT175*VLOOKUP('BMP P Tracking Table'!$R175,'Loading Rates'!$B$1:$L$24,8,FALSE)+'BMP P Tracking Table'!$AU175*VLOOKUP('BMP P Tracking Table'!$R175,'Loading Rates'!$B$1:$L$24,9,FALSE),'BMP P Tracking Table'!$AV175*VLOOKUP('BMP P Tracking Table'!$R175,'Loading Rates'!$B$1:$L$24,10,FALSE))),"")</f>
        <v/>
      </c>
      <c r="BA175" s="104" t="str">
        <f>IFERROR(IF('BMP P Tracking Table'!$AM175="Yes",MIN(2,IF('BMP P Tracking Table'!$AQ175="Total Pervious",(-(3630*'BMP P Tracking Table'!$AP175+20.691*'BMP P Tracking Table'!$AV175)+SQRT((3630*'BMP P Tracking Table'!$AP175+20.691*'BMP P Tracking Table'!$AV175)^2-(4*(996.798*'BMP P Tracking Table'!$AV175)*-'BMP P Tracking Table'!$AX175)))/(2*(996.798*'BMP P Tracking Table'!$AV175)),IF(SUM('BMP P Tracking Table'!$AR175:$AU175)=0,'BMP P Tracking Table'!$AV175/(-3630*'BMP P Tracking Table'!$AP175),(-(3630*'BMP P Tracking Table'!$AP175+20.691*'BMP P Tracking Table'!$AU175-216.711*'BMP P Tracking Table'!$AT175-83.853*'BMP P Tracking Table'!$AS175-42.834*'BMP P Tracking Table'!$AR175)+SQRT((3630*'BMP P Tracking Table'!$AP175+20.691*'BMP P Tracking Table'!$AU175-216.711*'BMP P Tracking Table'!$AT175-83.853*'BMP P Tracking Table'!$AS175-42.834*'BMP P Tracking Table'!$AR175)^2-(4*(149.919*'BMP P Tracking Table'!$AR175+236.676*'BMP P Tracking Table'!$AS175+726*'BMP P Tracking Table'!$AT175+996.798*'BMP P Tracking Table'!$AU175)*-'BMP P Tracking Table'!$AX175)))/(2*(149.919*'BMP P Tracking Table'!$AR175+236.676*'BMP P Tracking Table'!$AS175+726*'BMP P Tracking Table'!$AT175+996.798*'BMP P Tracking Table'!$AU175))))),MIN(2,IF('BMP P Tracking Table'!$AQ175="Total Pervious",(-(3630*'BMP P Tracking Table'!$V175+20.691*'BMP P Tracking Table'!$AB175)+SQRT((3630*'BMP P Tracking Table'!$V175+20.691*'BMP P Tracking Table'!$AB175)^2-(4*(996.798*'BMP P Tracking Table'!$AB175)*-'BMP P Tracking Table'!$AX175)))/(2*(996.798*'BMP P Tracking Table'!$AB175)),IF(SUM('BMP P Tracking Table'!$X175:$AA175)=0,'BMP P Tracking Table'!$AX175/(-3630*'BMP P Tracking Table'!$V175),(-(3630*'BMP P Tracking Table'!$V175+20.691*'BMP P Tracking Table'!$AA175-216.711*'BMP P Tracking Table'!$Z175-83.853*'BMP P Tracking Table'!$Y175-42.834*'BMP P Tracking Table'!$X175)+SQRT((3630*'BMP P Tracking Table'!$V175+20.691*'BMP P Tracking Table'!$AA175-216.711*'BMP P Tracking Table'!$Z175-83.853*'BMP P Tracking Table'!$Y175-42.834*'BMP P Tracking Table'!$X175)^2-(4*(149.919*'BMP P Tracking Table'!$X175+236.676*'BMP P Tracking Table'!$Y175+726*'BMP P Tracking Table'!$Z175+996.798*'BMP P Tracking Table'!$AA175)*-'BMP P Tracking Table'!$AX175)))/(2*(149.919*'BMP P Tracking Table'!$X175+236.676*'BMP P Tracking Table'!$Y175+726*'BMP P Tracking Table'!$Z175+996.798*'BMP P Tracking Table'!$AA175)))))),"")</f>
        <v/>
      </c>
      <c r="BB175" s="102" t="str">
        <f>IFERROR((VLOOKUP(CONCATENATE('BMP P Tracking Table'!$AW175," ",'BMP P Tracking Table'!$AY175),'Performance Curves'!$C$1:$L$46,_xlfn.SINGLE(MATCH('BMP P Tracking Table'!$BA175,'Performance Curves'!$D$1:$L$1,1))+2,FALSE)-VLOOKUP(CONCATENATE('BMP P Tracking Table'!$AW175," ",'BMP P Tracking Table'!$AY175),'Performance Curves'!$C$1:$L$46,_xlfn.SINGLE(MATCH('BMP P Tracking Table'!$BA175,'Performance Curves'!$D$1:$L$1,1))+1,FALSE)),"")</f>
        <v/>
      </c>
      <c r="BC175" s="102" t="str">
        <f>IFERROR(('BMP P Tracking Table'!$BA175-INDEX('Performance Curves'!$D$1:$L$1,1,MATCH('BMP P Tracking Table'!$BA175,'Performance Curves'!$D$1:$L$1,1)))/(INDEX('Performance Curves'!$D$1:$L$1,1,MATCH('BMP P Tracking Table'!$BA175,'Performance Curves'!$D$1:$L$1,1)+1)-INDEX('Performance Curves'!$D$1:$L$1,1,MATCH('BMP P Tracking Table'!$BA175,'Performance Curves'!$D$1:$L$1,1))),"")</f>
        <v/>
      </c>
      <c r="BD175" s="103" t="str" cm="1">
        <f t="array" ref="BD175">IFERROR(IF('BMP P Tracking Table'!$BA175=2,VLOOKUP(CONCATENATE('BMP P Tracking Table'!$AW175," ",'BMP P Tracking Table'!$AY175),'Performance Curves'!$C$1:$L$44,_xlfn.SINGLE(MATCH('BMP P Tracking Table'!$BA175,'Performance Curves'!$D$1:$L$1,1))+1,FALSE),'BMP P Tracking Table'!$BB175*'BMP P Tracking Table'!$BC175+VLOOKUP(CONCATENATE('BMP P Tracking Table'!$AW175," ",'BMP P Tracking Table'!$AY175),'Performance Curves'!$C$1:$L$44,_xlfn.SINGLE(MATCH('BMP P Tracking Table'!$BA175,'Performance Curves'!$D$1:$L$1,1))+1,FALSE)),"")</f>
        <v/>
      </c>
      <c r="BE175" s="104" t="str">
        <f>IFERROR('BMP P Tracking Table'!$BD175*'BMP P Tracking Table'!$AZ175,"")</f>
        <v/>
      </c>
      <c r="BF175" s="98"/>
      <c r="BG175" s="37">
        <f t="shared" si="34"/>
        <v>0</v>
      </c>
    </row>
    <row r="176" spans="2:59" s="36" customFormat="1">
      <c r="B176" s="65"/>
      <c r="C176" s="65"/>
      <c r="D176" s="65"/>
      <c r="E176" s="65"/>
      <c r="F176" s="94"/>
      <c r="G176" s="94"/>
      <c r="H176" s="65"/>
      <c r="I176" s="65"/>
      <c r="J176" s="65"/>
      <c r="K176" s="95"/>
      <c r="L176" s="65"/>
      <c r="M176" s="65"/>
      <c r="N176" s="65"/>
      <c r="O176" s="65"/>
      <c r="P176" s="65"/>
      <c r="Q176" s="65"/>
      <c r="R176" s="65" t="str">
        <f>IFERROR(VLOOKUP('BMP P Tracking Table'!$Q176,Dropdowns!$C$2:$E$15,3,FALSE),"")</f>
        <v/>
      </c>
      <c r="S176" s="65" t="str">
        <f>IFERROR(VLOOKUP('BMP P Tracking Table'!$R176,Dropdowns!$Q$3:$R$23,2,FALSE),"")</f>
        <v/>
      </c>
      <c r="T176" s="65"/>
      <c r="U176" s="65"/>
      <c r="V176" s="65"/>
      <c r="W176" s="65"/>
      <c r="X176" s="65"/>
      <c r="Y176" s="65"/>
      <c r="Z176" s="65"/>
      <c r="AA176" s="65"/>
      <c r="AB176" s="65"/>
      <c r="AC176" s="97"/>
      <c r="AD176" s="65"/>
      <c r="AE176" s="104" t="str">
        <f>IFERROR('BMP P Tracking Table'!$V176*VLOOKUP('BMP P Tracking Table'!$R176,'Loading Rates'!$B$1:$L$24,4,FALSE)+IF('BMP P Tracking Table'!$W176="By HSG",'BMP P Tracking Table'!$X176*VLOOKUP('BMP P Tracking Table'!$R176,'Loading Rates'!$B$1:$L$24,6,FALSE)+'BMP P Tracking Table'!$Y176*VLOOKUP('BMP P Tracking Table'!$R176,'Loading Rates'!$B$1:$L$24,7,FALSE)+'BMP P Tracking Table'!$Z176*VLOOKUP('BMP P Tracking Table'!$R176,'Loading Rates'!$B$1:$L$24,8,FALSE)+'BMP P Tracking Table'!$AA176*VLOOKUP('BMP P Tracking Table'!$R176,'Loading Rates'!$B$1:$L$24,9,FALSE),'BMP P Tracking Table'!$AB176*VLOOKUP('BMP P Tracking Table'!$R176,'Loading Rates'!$B$1:$L$24,10,FALSE)),"")</f>
        <v/>
      </c>
      <c r="AF176" s="104" t="str">
        <f>IFERROR(MIN(2,IF('BMP P Tracking Table'!$W176="Total Pervious",(-(3630*'BMP P Tracking Table'!$V176+20.691*'BMP P Tracking Table'!$AB176)+SQRT((3630*'BMP P Tracking Table'!$V176+20.691*'BMP P Tracking Table'!$AB176)^2-(4*(996.798*'BMP P Tracking Table'!$AB176)*-'BMP P Tracking Table'!$AC176)))/(2*(996.798*'BMP P Tracking Table'!$AB176)),IF(SUM('BMP P Tracking Table'!$X176:$AA176)=0,'BMP P Tracking Table'!$AC176/(-3630*'BMP P Tracking Table'!$V176),(-(3630*'BMP P Tracking Table'!$V176+20.691*'BMP P Tracking Table'!$AA176-216.711*'BMP P Tracking Table'!$Z176-83.853*'BMP P Tracking Table'!$Y176-42.834*'BMP P Tracking Table'!$X176)+SQRT((3630*'BMP P Tracking Table'!$V176+20.691*'BMP P Tracking Table'!$AA176-216.711*'BMP P Tracking Table'!$Z176-83.853*'BMP P Tracking Table'!$Y176-42.834*'BMP P Tracking Table'!$X176)^2-(4*(149.919*'BMP P Tracking Table'!$X176+236.676*'BMP P Tracking Table'!$Y176+726*'BMP P Tracking Table'!$Z176+996.798*'BMP P Tracking Table'!$AA176)*-'BMP P Tracking Table'!$AC176)))/(2*(149.919*'BMP P Tracking Table'!$X176+236.676*'BMP P Tracking Table'!$Y176+726*'BMP P Tracking Table'!$Z176+996.798*'BMP P Tracking Table'!$AA176))))),"")</f>
        <v/>
      </c>
      <c r="AG176" s="104" t="str">
        <f>IFERROR((VLOOKUP(CONCATENATE('BMP P Tracking Table'!$U176," ",'BMP P Tracking Table'!$AD176),'Performance Curves'!$C$1:$L$46,_xlfn.SINGLE(MATCH('BMP P Tracking Table'!$AF176,'Performance Curves'!$D$1:$L$1,1))+2,FALSE)-VLOOKUP(CONCATENATE('BMP P Tracking Table'!$U176," ",'BMP P Tracking Table'!$AD176),'Performance Curves'!$C$1:$L$46,_xlfn.SINGLE(MATCH('BMP P Tracking Table'!$AF176,'Performance Curves'!$D$1:$L$1,1))+1,FALSE)),"")</f>
        <v/>
      </c>
      <c r="AH176" s="104" t="str">
        <f>IFERROR(('BMP P Tracking Table'!$AF176-INDEX('Performance Curves'!$D$1:$L$1,1,MATCH('BMP P Tracking Table'!$AF176,'Performance Curves'!$D$1:$L$1,1)))/(INDEX('Performance Curves'!$D$1:$L$1,1,MATCH('BMP P Tracking Table'!$AF176,'Performance Curves'!$D$1:$L$1,1)+1)-INDEX('Performance Curves'!$D$1:$L$1,1,MATCH('BMP P Tracking Table'!$AF176,'Performance Curves'!$D$1:$L$1,1))),"")</f>
        <v/>
      </c>
      <c r="AI176" s="103" t="str">
        <f>IFERROR(IF('BMP P Tracking Table'!$AF176=2,VLOOKUP(CONCATENATE('BMP P Tracking Table'!$U176," ",'BMP P Tracking Table'!$AD176),'Performance Curves'!$C$1:$L$46,_xlfn.SINGLE(MATCH('BMP P Tracking Table'!$AF176,'Performance Curves'!$D$1:$L$1,1))+1,FALSE),'BMP P Tracking Table'!$AG176*'BMP P Tracking Table'!$AH176+VLOOKUP(CONCATENATE('BMP P Tracking Table'!$U176," ",'BMP P Tracking Table'!$AD176),'Performance Curves'!$C$1:$L$46,_xlfn.SINGLE(MATCH('BMP P Tracking Table'!$AF176,'Performance Curves'!$D$1:$L$1,1))+1,FALSE)),"")</f>
        <v/>
      </c>
      <c r="AJ176" s="104" t="str">
        <f>IFERROR('BMP P Tracking Table'!$AI176*'BMP P Tracking Table'!$AE176,"")</f>
        <v/>
      </c>
      <c r="AK176" s="65"/>
      <c r="AL176" s="98"/>
      <c r="AM176" s="98"/>
      <c r="AN176" s="64">
        <v>1</v>
      </c>
      <c r="AO176" s="102" t="str">
        <f t="shared" si="33"/>
        <v/>
      </c>
      <c r="AP176" s="98"/>
      <c r="AQ176" s="98"/>
      <c r="AR176" s="98"/>
      <c r="AS176" s="98"/>
      <c r="AT176" s="98"/>
      <c r="AU176" s="98"/>
      <c r="AV176" s="98"/>
      <c r="AW176" s="65"/>
      <c r="AX176" s="99"/>
      <c r="AY176" s="99"/>
      <c r="AZ176" s="104" t="str">
        <f>IF('BMP P Tracking Table'!$AL176="Yes",IF('BMP P Tracking Table'!$AM176="No",'BMP P Tracking Table'!$V176*VLOOKUP('BMP P Tracking Table'!$R176,'Loading Rates'!$B$1:$L$24,4,FALSE)+IF('BMP P Tracking Table'!$W176="By HSG",'BMP P Tracking Table'!$X176*VLOOKUP('BMP P Tracking Table'!$R176,'Loading Rates'!$B$1:$L$24,6,FALSE)+'BMP P Tracking Table'!$Y176*VLOOKUP('BMP P Tracking Table'!$R176,'Loading Rates'!$B$1:$L$24,7,FALSE)+'BMP P Tracking Table'!$Z176*VLOOKUP('BMP P Tracking Table'!$R176,'Loading Rates'!$B$1:$L$24,8,FALSE)+'BMP P Tracking Table'!$AA176*VLOOKUP('BMP P Tracking Table'!$R176,'Loading Rates'!$B$1:$L$24,9,FALSE),'BMP P Tracking Table'!$AB176*VLOOKUP('BMP P Tracking Table'!$R176,'Loading Rates'!$B$1:$L$24,10,FALSE)),'BMP P Tracking Table'!$AP176*VLOOKUP('BMP P Tracking Table'!$R176,'Loading Rates'!$B$1:$L$24,4,FALSE)+IF('BMP P Tracking Table'!$AQ176="By HSG",'BMP P Tracking Table'!$AR176*VLOOKUP('BMP P Tracking Table'!$R176,'Loading Rates'!$B$1:$L$24,6,FALSE)+'BMP P Tracking Table'!$AS176*VLOOKUP('BMP P Tracking Table'!$R176,'Loading Rates'!$B$1:$L$24,7,FALSE)+'BMP P Tracking Table'!$AT176*VLOOKUP('BMP P Tracking Table'!$R176,'Loading Rates'!$B$1:$L$24,8,FALSE)+'BMP P Tracking Table'!$AU176*VLOOKUP('BMP P Tracking Table'!$R176,'Loading Rates'!$B$1:$L$24,9,FALSE),'BMP P Tracking Table'!$AV176*VLOOKUP('BMP P Tracking Table'!$R176,'Loading Rates'!$B$1:$L$24,10,FALSE))),"")</f>
        <v/>
      </c>
      <c r="BA176" s="104" t="str">
        <f>IFERROR(IF('BMP P Tracking Table'!$AM176="Yes",MIN(2,IF('BMP P Tracking Table'!$AQ176="Total Pervious",(-(3630*'BMP P Tracking Table'!$AP176+20.691*'BMP P Tracking Table'!$AV176)+SQRT((3630*'BMP P Tracking Table'!$AP176+20.691*'BMP P Tracking Table'!$AV176)^2-(4*(996.798*'BMP P Tracking Table'!$AV176)*-'BMP P Tracking Table'!$AX176)))/(2*(996.798*'BMP P Tracking Table'!$AV176)),IF(SUM('BMP P Tracking Table'!$AR176:$AU176)=0,'BMP P Tracking Table'!$AV176/(-3630*'BMP P Tracking Table'!$AP176),(-(3630*'BMP P Tracking Table'!$AP176+20.691*'BMP P Tracking Table'!$AU176-216.711*'BMP P Tracking Table'!$AT176-83.853*'BMP P Tracking Table'!$AS176-42.834*'BMP P Tracking Table'!$AR176)+SQRT((3630*'BMP P Tracking Table'!$AP176+20.691*'BMP P Tracking Table'!$AU176-216.711*'BMP P Tracking Table'!$AT176-83.853*'BMP P Tracking Table'!$AS176-42.834*'BMP P Tracking Table'!$AR176)^2-(4*(149.919*'BMP P Tracking Table'!$AR176+236.676*'BMP P Tracking Table'!$AS176+726*'BMP P Tracking Table'!$AT176+996.798*'BMP P Tracking Table'!$AU176)*-'BMP P Tracking Table'!$AX176)))/(2*(149.919*'BMP P Tracking Table'!$AR176+236.676*'BMP P Tracking Table'!$AS176+726*'BMP P Tracking Table'!$AT176+996.798*'BMP P Tracking Table'!$AU176))))),MIN(2,IF('BMP P Tracking Table'!$AQ176="Total Pervious",(-(3630*'BMP P Tracking Table'!$V176+20.691*'BMP P Tracking Table'!$AB176)+SQRT((3630*'BMP P Tracking Table'!$V176+20.691*'BMP P Tracking Table'!$AB176)^2-(4*(996.798*'BMP P Tracking Table'!$AB176)*-'BMP P Tracking Table'!$AX176)))/(2*(996.798*'BMP P Tracking Table'!$AB176)),IF(SUM('BMP P Tracking Table'!$X176:$AA176)=0,'BMP P Tracking Table'!$AX176/(-3630*'BMP P Tracking Table'!$V176),(-(3630*'BMP P Tracking Table'!$V176+20.691*'BMP P Tracking Table'!$AA176-216.711*'BMP P Tracking Table'!$Z176-83.853*'BMP P Tracking Table'!$Y176-42.834*'BMP P Tracking Table'!$X176)+SQRT((3630*'BMP P Tracking Table'!$V176+20.691*'BMP P Tracking Table'!$AA176-216.711*'BMP P Tracking Table'!$Z176-83.853*'BMP P Tracking Table'!$Y176-42.834*'BMP P Tracking Table'!$X176)^2-(4*(149.919*'BMP P Tracking Table'!$X176+236.676*'BMP P Tracking Table'!$Y176+726*'BMP P Tracking Table'!$Z176+996.798*'BMP P Tracking Table'!$AA176)*-'BMP P Tracking Table'!$AX176)))/(2*(149.919*'BMP P Tracking Table'!$X176+236.676*'BMP P Tracking Table'!$Y176+726*'BMP P Tracking Table'!$Z176+996.798*'BMP P Tracking Table'!$AA176)))))),"")</f>
        <v/>
      </c>
      <c r="BB176" s="102" t="str">
        <f>IFERROR((VLOOKUP(CONCATENATE('BMP P Tracking Table'!$AW176," ",'BMP P Tracking Table'!$AY176),'Performance Curves'!$C$1:$L$46,_xlfn.SINGLE(MATCH('BMP P Tracking Table'!$BA176,'Performance Curves'!$D$1:$L$1,1))+2,FALSE)-VLOOKUP(CONCATENATE('BMP P Tracking Table'!$AW176," ",'BMP P Tracking Table'!$AY176),'Performance Curves'!$C$1:$L$46,_xlfn.SINGLE(MATCH('BMP P Tracking Table'!$BA176,'Performance Curves'!$D$1:$L$1,1))+1,FALSE)),"")</f>
        <v/>
      </c>
      <c r="BC176" s="102" t="str">
        <f>IFERROR(('BMP P Tracking Table'!$BA176-INDEX('Performance Curves'!$D$1:$L$1,1,MATCH('BMP P Tracking Table'!$BA176,'Performance Curves'!$D$1:$L$1,1)))/(INDEX('Performance Curves'!$D$1:$L$1,1,MATCH('BMP P Tracking Table'!$BA176,'Performance Curves'!$D$1:$L$1,1)+1)-INDEX('Performance Curves'!$D$1:$L$1,1,MATCH('BMP P Tracking Table'!$BA176,'Performance Curves'!$D$1:$L$1,1))),"")</f>
        <v/>
      </c>
      <c r="BD176" s="103" t="str" cm="1">
        <f t="array" ref="BD176">IFERROR(IF('BMP P Tracking Table'!$BA176=2,VLOOKUP(CONCATENATE('BMP P Tracking Table'!$AW176," ",'BMP P Tracking Table'!$AY176),'Performance Curves'!$C$1:$L$44,_xlfn.SINGLE(MATCH('BMP P Tracking Table'!$BA176,'Performance Curves'!$D$1:$L$1,1))+1,FALSE),'BMP P Tracking Table'!$BB176*'BMP P Tracking Table'!$BC176+VLOOKUP(CONCATENATE('BMP P Tracking Table'!$AW176," ",'BMP P Tracking Table'!$AY176),'Performance Curves'!$C$1:$L$44,_xlfn.SINGLE(MATCH('BMP P Tracking Table'!$BA176,'Performance Curves'!$D$1:$L$1,1))+1,FALSE)),"")</f>
        <v/>
      </c>
      <c r="BE176" s="104" t="str">
        <f>IFERROR('BMP P Tracking Table'!$BD176*'BMP P Tracking Table'!$AZ176,"")</f>
        <v/>
      </c>
      <c r="BF176" s="98"/>
      <c r="BG176" s="37">
        <f t="shared" si="34"/>
        <v>0</v>
      </c>
    </row>
    <row r="177" spans="2:59" s="36" customFormat="1">
      <c r="B177" s="65"/>
      <c r="C177" s="65"/>
      <c r="D177" s="65"/>
      <c r="E177" s="65"/>
      <c r="F177" s="94"/>
      <c r="G177" s="94"/>
      <c r="H177" s="65"/>
      <c r="I177" s="65"/>
      <c r="J177" s="65"/>
      <c r="K177" s="95"/>
      <c r="L177" s="65"/>
      <c r="M177" s="65"/>
      <c r="N177" s="65"/>
      <c r="O177" s="65"/>
      <c r="P177" s="65"/>
      <c r="Q177" s="65"/>
      <c r="R177" s="65" t="str">
        <f>IFERROR(VLOOKUP('BMP P Tracking Table'!$Q177,Dropdowns!$C$2:$E$15,3,FALSE),"")</f>
        <v/>
      </c>
      <c r="S177" s="65" t="str">
        <f>IFERROR(VLOOKUP('BMP P Tracking Table'!$R177,Dropdowns!$Q$3:$R$23,2,FALSE),"")</f>
        <v/>
      </c>
      <c r="T177" s="65"/>
      <c r="U177" s="65"/>
      <c r="V177" s="65"/>
      <c r="W177" s="65"/>
      <c r="X177" s="65"/>
      <c r="Y177" s="65"/>
      <c r="Z177" s="65"/>
      <c r="AA177" s="65"/>
      <c r="AB177" s="65"/>
      <c r="AC177" s="97"/>
      <c r="AD177" s="65"/>
      <c r="AE177" s="104" t="str">
        <f>IFERROR('BMP P Tracking Table'!$V177*VLOOKUP('BMP P Tracking Table'!$R177,'Loading Rates'!$B$1:$L$24,4,FALSE)+IF('BMP P Tracking Table'!$W177="By HSG",'BMP P Tracking Table'!$X177*VLOOKUP('BMP P Tracking Table'!$R177,'Loading Rates'!$B$1:$L$24,6,FALSE)+'BMP P Tracking Table'!$Y177*VLOOKUP('BMP P Tracking Table'!$R177,'Loading Rates'!$B$1:$L$24,7,FALSE)+'BMP P Tracking Table'!$Z177*VLOOKUP('BMP P Tracking Table'!$R177,'Loading Rates'!$B$1:$L$24,8,FALSE)+'BMP P Tracking Table'!$AA177*VLOOKUP('BMP P Tracking Table'!$R177,'Loading Rates'!$B$1:$L$24,9,FALSE),'BMP P Tracking Table'!$AB177*VLOOKUP('BMP P Tracking Table'!$R177,'Loading Rates'!$B$1:$L$24,10,FALSE)),"")</f>
        <v/>
      </c>
      <c r="AF177" s="104" t="str">
        <f>IFERROR(MIN(2,IF('BMP P Tracking Table'!$W177="Total Pervious",(-(3630*'BMP P Tracking Table'!$V177+20.691*'BMP P Tracking Table'!$AB177)+SQRT((3630*'BMP P Tracking Table'!$V177+20.691*'BMP P Tracking Table'!$AB177)^2-(4*(996.798*'BMP P Tracking Table'!$AB177)*-'BMP P Tracking Table'!$AC177)))/(2*(996.798*'BMP P Tracking Table'!$AB177)),IF(SUM('BMP P Tracking Table'!$X177:$AA177)=0,'BMP P Tracking Table'!$AC177/(-3630*'BMP P Tracking Table'!$V177),(-(3630*'BMP P Tracking Table'!$V177+20.691*'BMP P Tracking Table'!$AA177-216.711*'BMP P Tracking Table'!$Z177-83.853*'BMP P Tracking Table'!$Y177-42.834*'BMP P Tracking Table'!$X177)+SQRT((3630*'BMP P Tracking Table'!$V177+20.691*'BMP P Tracking Table'!$AA177-216.711*'BMP P Tracking Table'!$Z177-83.853*'BMP P Tracking Table'!$Y177-42.834*'BMP P Tracking Table'!$X177)^2-(4*(149.919*'BMP P Tracking Table'!$X177+236.676*'BMP P Tracking Table'!$Y177+726*'BMP P Tracking Table'!$Z177+996.798*'BMP P Tracking Table'!$AA177)*-'BMP P Tracking Table'!$AC177)))/(2*(149.919*'BMP P Tracking Table'!$X177+236.676*'BMP P Tracking Table'!$Y177+726*'BMP P Tracking Table'!$Z177+996.798*'BMP P Tracking Table'!$AA177))))),"")</f>
        <v/>
      </c>
      <c r="AG177" s="104" t="str">
        <f>IFERROR((VLOOKUP(CONCATENATE('BMP P Tracking Table'!$U177," ",'BMP P Tracking Table'!$AD177),'Performance Curves'!$C$1:$L$46,_xlfn.SINGLE(MATCH('BMP P Tracking Table'!$AF177,'Performance Curves'!$D$1:$L$1,1))+2,FALSE)-VLOOKUP(CONCATENATE('BMP P Tracking Table'!$U177," ",'BMP P Tracking Table'!$AD177),'Performance Curves'!$C$1:$L$46,_xlfn.SINGLE(MATCH('BMP P Tracking Table'!$AF177,'Performance Curves'!$D$1:$L$1,1))+1,FALSE)),"")</f>
        <v/>
      </c>
      <c r="AH177" s="104" t="str">
        <f>IFERROR(('BMP P Tracking Table'!$AF177-INDEX('Performance Curves'!$D$1:$L$1,1,MATCH('BMP P Tracking Table'!$AF177,'Performance Curves'!$D$1:$L$1,1)))/(INDEX('Performance Curves'!$D$1:$L$1,1,MATCH('BMP P Tracking Table'!$AF177,'Performance Curves'!$D$1:$L$1,1)+1)-INDEX('Performance Curves'!$D$1:$L$1,1,MATCH('BMP P Tracking Table'!$AF177,'Performance Curves'!$D$1:$L$1,1))),"")</f>
        <v/>
      </c>
      <c r="AI177" s="103" t="str">
        <f>IFERROR(IF('BMP P Tracking Table'!$AF177=2,VLOOKUP(CONCATENATE('BMP P Tracking Table'!$U177," ",'BMP P Tracking Table'!$AD177),'Performance Curves'!$C$1:$L$46,_xlfn.SINGLE(MATCH('BMP P Tracking Table'!$AF177,'Performance Curves'!$D$1:$L$1,1))+1,FALSE),'BMP P Tracking Table'!$AG177*'BMP P Tracking Table'!$AH177+VLOOKUP(CONCATENATE('BMP P Tracking Table'!$U177," ",'BMP P Tracking Table'!$AD177),'Performance Curves'!$C$1:$L$46,_xlfn.SINGLE(MATCH('BMP P Tracking Table'!$AF177,'Performance Curves'!$D$1:$L$1,1))+1,FALSE)),"")</f>
        <v/>
      </c>
      <c r="AJ177" s="104" t="str">
        <f>IFERROR('BMP P Tracking Table'!$AI177*'BMP P Tracking Table'!$AE177,"")</f>
        <v/>
      </c>
      <c r="AK177" s="65"/>
      <c r="AL177" s="98"/>
      <c r="AM177" s="98"/>
      <c r="AN177" s="64">
        <v>1</v>
      </c>
      <c r="AO177" s="102" t="str">
        <f t="shared" si="33"/>
        <v/>
      </c>
      <c r="AP177" s="98"/>
      <c r="AQ177" s="98"/>
      <c r="AR177" s="98"/>
      <c r="AS177" s="98"/>
      <c r="AT177" s="98"/>
      <c r="AU177" s="98"/>
      <c r="AV177" s="98"/>
      <c r="AW177" s="65"/>
      <c r="AX177" s="99"/>
      <c r="AY177" s="99"/>
      <c r="AZ177" s="104" t="str">
        <f>IF('BMP P Tracking Table'!$AL177="Yes",IF('BMP P Tracking Table'!$AM177="No",'BMP P Tracking Table'!$V177*VLOOKUP('BMP P Tracking Table'!$R177,'Loading Rates'!$B$1:$L$24,4,FALSE)+IF('BMP P Tracking Table'!$W177="By HSG",'BMP P Tracking Table'!$X177*VLOOKUP('BMP P Tracking Table'!$R177,'Loading Rates'!$B$1:$L$24,6,FALSE)+'BMP P Tracking Table'!$Y177*VLOOKUP('BMP P Tracking Table'!$R177,'Loading Rates'!$B$1:$L$24,7,FALSE)+'BMP P Tracking Table'!$Z177*VLOOKUP('BMP P Tracking Table'!$R177,'Loading Rates'!$B$1:$L$24,8,FALSE)+'BMP P Tracking Table'!$AA177*VLOOKUP('BMP P Tracking Table'!$R177,'Loading Rates'!$B$1:$L$24,9,FALSE),'BMP P Tracking Table'!$AB177*VLOOKUP('BMP P Tracking Table'!$R177,'Loading Rates'!$B$1:$L$24,10,FALSE)),'BMP P Tracking Table'!$AP177*VLOOKUP('BMP P Tracking Table'!$R177,'Loading Rates'!$B$1:$L$24,4,FALSE)+IF('BMP P Tracking Table'!$AQ177="By HSG",'BMP P Tracking Table'!$AR177*VLOOKUP('BMP P Tracking Table'!$R177,'Loading Rates'!$B$1:$L$24,6,FALSE)+'BMP P Tracking Table'!$AS177*VLOOKUP('BMP P Tracking Table'!$R177,'Loading Rates'!$B$1:$L$24,7,FALSE)+'BMP P Tracking Table'!$AT177*VLOOKUP('BMP P Tracking Table'!$R177,'Loading Rates'!$B$1:$L$24,8,FALSE)+'BMP P Tracking Table'!$AU177*VLOOKUP('BMP P Tracking Table'!$R177,'Loading Rates'!$B$1:$L$24,9,FALSE),'BMP P Tracking Table'!$AV177*VLOOKUP('BMP P Tracking Table'!$R177,'Loading Rates'!$B$1:$L$24,10,FALSE))),"")</f>
        <v/>
      </c>
      <c r="BA177" s="104" t="str">
        <f>IFERROR(IF('BMP P Tracking Table'!$AM177="Yes",MIN(2,IF('BMP P Tracking Table'!$AQ177="Total Pervious",(-(3630*'BMP P Tracking Table'!$AP177+20.691*'BMP P Tracking Table'!$AV177)+SQRT((3630*'BMP P Tracking Table'!$AP177+20.691*'BMP P Tracking Table'!$AV177)^2-(4*(996.798*'BMP P Tracking Table'!$AV177)*-'BMP P Tracking Table'!$AX177)))/(2*(996.798*'BMP P Tracking Table'!$AV177)),IF(SUM('BMP P Tracking Table'!$AR177:$AU177)=0,'BMP P Tracking Table'!$AV177/(-3630*'BMP P Tracking Table'!$AP177),(-(3630*'BMP P Tracking Table'!$AP177+20.691*'BMP P Tracking Table'!$AU177-216.711*'BMP P Tracking Table'!$AT177-83.853*'BMP P Tracking Table'!$AS177-42.834*'BMP P Tracking Table'!$AR177)+SQRT((3630*'BMP P Tracking Table'!$AP177+20.691*'BMP P Tracking Table'!$AU177-216.711*'BMP P Tracking Table'!$AT177-83.853*'BMP P Tracking Table'!$AS177-42.834*'BMP P Tracking Table'!$AR177)^2-(4*(149.919*'BMP P Tracking Table'!$AR177+236.676*'BMP P Tracking Table'!$AS177+726*'BMP P Tracking Table'!$AT177+996.798*'BMP P Tracking Table'!$AU177)*-'BMP P Tracking Table'!$AX177)))/(2*(149.919*'BMP P Tracking Table'!$AR177+236.676*'BMP P Tracking Table'!$AS177+726*'BMP P Tracking Table'!$AT177+996.798*'BMP P Tracking Table'!$AU177))))),MIN(2,IF('BMP P Tracking Table'!$AQ177="Total Pervious",(-(3630*'BMP P Tracking Table'!$V177+20.691*'BMP P Tracking Table'!$AB177)+SQRT((3630*'BMP P Tracking Table'!$V177+20.691*'BMP P Tracking Table'!$AB177)^2-(4*(996.798*'BMP P Tracking Table'!$AB177)*-'BMP P Tracking Table'!$AX177)))/(2*(996.798*'BMP P Tracking Table'!$AB177)),IF(SUM('BMP P Tracking Table'!$X177:$AA177)=0,'BMP P Tracking Table'!$AX177/(-3630*'BMP P Tracking Table'!$V177),(-(3630*'BMP P Tracking Table'!$V177+20.691*'BMP P Tracking Table'!$AA177-216.711*'BMP P Tracking Table'!$Z177-83.853*'BMP P Tracking Table'!$Y177-42.834*'BMP P Tracking Table'!$X177)+SQRT((3630*'BMP P Tracking Table'!$V177+20.691*'BMP P Tracking Table'!$AA177-216.711*'BMP P Tracking Table'!$Z177-83.853*'BMP P Tracking Table'!$Y177-42.834*'BMP P Tracking Table'!$X177)^2-(4*(149.919*'BMP P Tracking Table'!$X177+236.676*'BMP P Tracking Table'!$Y177+726*'BMP P Tracking Table'!$Z177+996.798*'BMP P Tracking Table'!$AA177)*-'BMP P Tracking Table'!$AX177)))/(2*(149.919*'BMP P Tracking Table'!$X177+236.676*'BMP P Tracking Table'!$Y177+726*'BMP P Tracking Table'!$Z177+996.798*'BMP P Tracking Table'!$AA177)))))),"")</f>
        <v/>
      </c>
      <c r="BB177" s="102" t="str">
        <f>IFERROR((VLOOKUP(CONCATENATE('BMP P Tracking Table'!$AW177," ",'BMP P Tracking Table'!$AY177),'Performance Curves'!$C$1:$L$46,_xlfn.SINGLE(MATCH('BMP P Tracking Table'!$BA177,'Performance Curves'!$D$1:$L$1,1))+2,FALSE)-VLOOKUP(CONCATENATE('BMP P Tracking Table'!$AW177," ",'BMP P Tracking Table'!$AY177),'Performance Curves'!$C$1:$L$46,_xlfn.SINGLE(MATCH('BMP P Tracking Table'!$BA177,'Performance Curves'!$D$1:$L$1,1))+1,FALSE)),"")</f>
        <v/>
      </c>
      <c r="BC177" s="102" t="str">
        <f>IFERROR(('BMP P Tracking Table'!$BA177-INDEX('Performance Curves'!$D$1:$L$1,1,MATCH('BMP P Tracking Table'!$BA177,'Performance Curves'!$D$1:$L$1,1)))/(INDEX('Performance Curves'!$D$1:$L$1,1,MATCH('BMP P Tracking Table'!$BA177,'Performance Curves'!$D$1:$L$1,1)+1)-INDEX('Performance Curves'!$D$1:$L$1,1,MATCH('BMP P Tracking Table'!$BA177,'Performance Curves'!$D$1:$L$1,1))),"")</f>
        <v/>
      </c>
      <c r="BD177" s="103" t="str" cm="1">
        <f t="array" ref="BD177">IFERROR(IF('BMP P Tracking Table'!$BA177=2,VLOOKUP(CONCATENATE('BMP P Tracking Table'!$AW177," ",'BMP P Tracking Table'!$AY177),'Performance Curves'!$C$1:$L$44,_xlfn.SINGLE(MATCH('BMP P Tracking Table'!$BA177,'Performance Curves'!$D$1:$L$1,1))+1,FALSE),'BMP P Tracking Table'!$BB177*'BMP P Tracking Table'!$BC177+VLOOKUP(CONCATENATE('BMP P Tracking Table'!$AW177," ",'BMP P Tracking Table'!$AY177),'Performance Curves'!$C$1:$L$44,_xlfn.SINGLE(MATCH('BMP P Tracking Table'!$BA177,'Performance Curves'!$D$1:$L$1,1))+1,FALSE)),"")</f>
        <v/>
      </c>
      <c r="BE177" s="104" t="str">
        <f>IFERROR('BMP P Tracking Table'!$BD177*'BMP P Tracking Table'!$AZ177,"")</f>
        <v/>
      </c>
      <c r="BF177" s="98"/>
      <c r="BG177" s="37">
        <f t="shared" si="34"/>
        <v>0</v>
      </c>
    </row>
    <row r="178" spans="2:59" s="36" customFormat="1">
      <c r="B178" s="65"/>
      <c r="C178" s="65"/>
      <c r="D178" s="65"/>
      <c r="E178" s="65"/>
      <c r="F178" s="94"/>
      <c r="G178" s="94"/>
      <c r="H178" s="65"/>
      <c r="I178" s="65"/>
      <c r="J178" s="65"/>
      <c r="K178" s="95"/>
      <c r="L178" s="65"/>
      <c r="M178" s="65"/>
      <c r="N178" s="65"/>
      <c r="O178" s="65"/>
      <c r="P178" s="65"/>
      <c r="Q178" s="65"/>
      <c r="R178" s="65" t="str">
        <f>IFERROR(VLOOKUP('BMP P Tracking Table'!$Q178,Dropdowns!$C$2:$E$15,3,FALSE),"")</f>
        <v/>
      </c>
      <c r="S178" s="65" t="str">
        <f>IFERROR(VLOOKUP('BMP P Tracking Table'!$R178,Dropdowns!$Q$3:$R$23,2,FALSE),"")</f>
        <v/>
      </c>
      <c r="T178" s="65"/>
      <c r="U178" s="65"/>
      <c r="V178" s="65"/>
      <c r="W178" s="65"/>
      <c r="X178" s="65"/>
      <c r="Y178" s="65"/>
      <c r="Z178" s="65"/>
      <c r="AA178" s="65"/>
      <c r="AB178" s="65"/>
      <c r="AC178" s="97"/>
      <c r="AD178" s="65"/>
      <c r="AE178" s="104" t="str">
        <f>IFERROR('BMP P Tracking Table'!$V178*VLOOKUP('BMP P Tracking Table'!$R178,'Loading Rates'!$B$1:$L$24,4,FALSE)+IF('BMP P Tracking Table'!$W178="By HSG",'BMP P Tracking Table'!$X178*VLOOKUP('BMP P Tracking Table'!$R178,'Loading Rates'!$B$1:$L$24,6,FALSE)+'BMP P Tracking Table'!$Y178*VLOOKUP('BMP P Tracking Table'!$R178,'Loading Rates'!$B$1:$L$24,7,FALSE)+'BMP P Tracking Table'!$Z178*VLOOKUP('BMP P Tracking Table'!$R178,'Loading Rates'!$B$1:$L$24,8,FALSE)+'BMP P Tracking Table'!$AA178*VLOOKUP('BMP P Tracking Table'!$R178,'Loading Rates'!$B$1:$L$24,9,FALSE),'BMP P Tracking Table'!$AB178*VLOOKUP('BMP P Tracking Table'!$R178,'Loading Rates'!$B$1:$L$24,10,FALSE)),"")</f>
        <v/>
      </c>
      <c r="AF178" s="104" t="str">
        <f>IFERROR(MIN(2,IF('BMP P Tracking Table'!$W178="Total Pervious",(-(3630*'BMP P Tracking Table'!$V178+20.691*'BMP P Tracking Table'!$AB178)+SQRT((3630*'BMP P Tracking Table'!$V178+20.691*'BMP P Tracking Table'!$AB178)^2-(4*(996.798*'BMP P Tracking Table'!$AB178)*-'BMP P Tracking Table'!$AC178)))/(2*(996.798*'BMP P Tracking Table'!$AB178)),IF(SUM('BMP P Tracking Table'!$X178:$AA178)=0,'BMP P Tracking Table'!$AC178/(-3630*'BMP P Tracking Table'!$V178),(-(3630*'BMP P Tracking Table'!$V178+20.691*'BMP P Tracking Table'!$AA178-216.711*'BMP P Tracking Table'!$Z178-83.853*'BMP P Tracking Table'!$Y178-42.834*'BMP P Tracking Table'!$X178)+SQRT((3630*'BMP P Tracking Table'!$V178+20.691*'BMP P Tracking Table'!$AA178-216.711*'BMP P Tracking Table'!$Z178-83.853*'BMP P Tracking Table'!$Y178-42.834*'BMP P Tracking Table'!$X178)^2-(4*(149.919*'BMP P Tracking Table'!$X178+236.676*'BMP P Tracking Table'!$Y178+726*'BMP P Tracking Table'!$Z178+996.798*'BMP P Tracking Table'!$AA178)*-'BMP P Tracking Table'!$AC178)))/(2*(149.919*'BMP P Tracking Table'!$X178+236.676*'BMP P Tracking Table'!$Y178+726*'BMP P Tracking Table'!$Z178+996.798*'BMP P Tracking Table'!$AA178))))),"")</f>
        <v/>
      </c>
      <c r="AG178" s="104" t="str">
        <f>IFERROR((VLOOKUP(CONCATENATE('BMP P Tracking Table'!$U178," ",'BMP P Tracking Table'!$AD178),'Performance Curves'!$C$1:$L$46,_xlfn.SINGLE(MATCH('BMP P Tracking Table'!$AF178,'Performance Curves'!$D$1:$L$1,1))+2,FALSE)-VLOOKUP(CONCATENATE('BMP P Tracking Table'!$U178," ",'BMP P Tracking Table'!$AD178),'Performance Curves'!$C$1:$L$46,_xlfn.SINGLE(MATCH('BMP P Tracking Table'!$AF178,'Performance Curves'!$D$1:$L$1,1))+1,FALSE)),"")</f>
        <v/>
      </c>
      <c r="AH178" s="104" t="str">
        <f>IFERROR(('BMP P Tracking Table'!$AF178-INDEX('Performance Curves'!$D$1:$L$1,1,MATCH('BMP P Tracking Table'!$AF178,'Performance Curves'!$D$1:$L$1,1)))/(INDEX('Performance Curves'!$D$1:$L$1,1,MATCH('BMP P Tracking Table'!$AF178,'Performance Curves'!$D$1:$L$1,1)+1)-INDEX('Performance Curves'!$D$1:$L$1,1,MATCH('BMP P Tracking Table'!$AF178,'Performance Curves'!$D$1:$L$1,1))),"")</f>
        <v/>
      </c>
      <c r="AI178" s="103" t="str">
        <f>IFERROR(IF('BMP P Tracking Table'!$AF178=2,VLOOKUP(CONCATENATE('BMP P Tracking Table'!$U178," ",'BMP P Tracking Table'!$AD178),'Performance Curves'!$C$1:$L$46,_xlfn.SINGLE(MATCH('BMP P Tracking Table'!$AF178,'Performance Curves'!$D$1:$L$1,1))+1,FALSE),'BMP P Tracking Table'!$AG178*'BMP P Tracking Table'!$AH178+VLOOKUP(CONCATENATE('BMP P Tracking Table'!$U178," ",'BMP P Tracking Table'!$AD178),'Performance Curves'!$C$1:$L$46,_xlfn.SINGLE(MATCH('BMP P Tracking Table'!$AF178,'Performance Curves'!$D$1:$L$1,1))+1,FALSE)),"")</f>
        <v/>
      </c>
      <c r="AJ178" s="104" t="str">
        <f>IFERROR('BMP P Tracking Table'!$AI178*'BMP P Tracking Table'!$AE178,"")</f>
        <v/>
      </c>
      <c r="AK178" s="65"/>
      <c r="AL178" s="98"/>
      <c r="AM178" s="98"/>
      <c r="AN178" s="64">
        <v>1</v>
      </c>
      <c r="AO178" s="102" t="str">
        <f t="shared" si="33"/>
        <v/>
      </c>
      <c r="AP178" s="98"/>
      <c r="AQ178" s="98"/>
      <c r="AR178" s="98"/>
      <c r="AS178" s="98"/>
      <c r="AT178" s="98"/>
      <c r="AU178" s="98"/>
      <c r="AV178" s="98"/>
      <c r="AW178" s="65"/>
      <c r="AX178" s="99"/>
      <c r="AY178" s="99"/>
      <c r="AZ178" s="104" t="str">
        <f>IF('BMP P Tracking Table'!$AL178="Yes",IF('BMP P Tracking Table'!$AM178="No",'BMP P Tracking Table'!$V178*VLOOKUP('BMP P Tracking Table'!$R178,'Loading Rates'!$B$1:$L$24,4,FALSE)+IF('BMP P Tracking Table'!$W178="By HSG",'BMP P Tracking Table'!$X178*VLOOKUP('BMP P Tracking Table'!$R178,'Loading Rates'!$B$1:$L$24,6,FALSE)+'BMP P Tracking Table'!$Y178*VLOOKUP('BMP P Tracking Table'!$R178,'Loading Rates'!$B$1:$L$24,7,FALSE)+'BMP P Tracking Table'!$Z178*VLOOKUP('BMP P Tracking Table'!$R178,'Loading Rates'!$B$1:$L$24,8,FALSE)+'BMP P Tracking Table'!$AA178*VLOOKUP('BMP P Tracking Table'!$R178,'Loading Rates'!$B$1:$L$24,9,FALSE),'BMP P Tracking Table'!$AB178*VLOOKUP('BMP P Tracking Table'!$R178,'Loading Rates'!$B$1:$L$24,10,FALSE)),'BMP P Tracking Table'!$AP178*VLOOKUP('BMP P Tracking Table'!$R178,'Loading Rates'!$B$1:$L$24,4,FALSE)+IF('BMP P Tracking Table'!$AQ178="By HSG",'BMP P Tracking Table'!$AR178*VLOOKUP('BMP P Tracking Table'!$R178,'Loading Rates'!$B$1:$L$24,6,FALSE)+'BMP P Tracking Table'!$AS178*VLOOKUP('BMP P Tracking Table'!$R178,'Loading Rates'!$B$1:$L$24,7,FALSE)+'BMP P Tracking Table'!$AT178*VLOOKUP('BMP P Tracking Table'!$R178,'Loading Rates'!$B$1:$L$24,8,FALSE)+'BMP P Tracking Table'!$AU178*VLOOKUP('BMP P Tracking Table'!$R178,'Loading Rates'!$B$1:$L$24,9,FALSE),'BMP P Tracking Table'!$AV178*VLOOKUP('BMP P Tracking Table'!$R178,'Loading Rates'!$B$1:$L$24,10,FALSE))),"")</f>
        <v/>
      </c>
      <c r="BA178" s="104" t="str">
        <f>IFERROR(IF('BMP P Tracking Table'!$AM178="Yes",MIN(2,IF('BMP P Tracking Table'!$AQ178="Total Pervious",(-(3630*'BMP P Tracking Table'!$AP178+20.691*'BMP P Tracking Table'!$AV178)+SQRT((3630*'BMP P Tracking Table'!$AP178+20.691*'BMP P Tracking Table'!$AV178)^2-(4*(996.798*'BMP P Tracking Table'!$AV178)*-'BMP P Tracking Table'!$AX178)))/(2*(996.798*'BMP P Tracking Table'!$AV178)),IF(SUM('BMP P Tracking Table'!$AR178:$AU178)=0,'BMP P Tracking Table'!$AV178/(-3630*'BMP P Tracking Table'!$AP178),(-(3630*'BMP P Tracking Table'!$AP178+20.691*'BMP P Tracking Table'!$AU178-216.711*'BMP P Tracking Table'!$AT178-83.853*'BMP P Tracking Table'!$AS178-42.834*'BMP P Tracking Table'!$AR178)+SQRT((3630*'BMP P Tracking Table'!$AP178+20.691*'BMP P Tracking Table'!$AU178-216.711*'BMP P Tracking Table'!$AT178-83.853*'BMP P Tracking Table'!$AS178-42.834*'BMP P Tracking Table'!$AR178)^2-(4*(149.919*'BMP P Tracking Table'!$AR178+236.676*'BMP P Tracking Table'!$AS178+726*'BMP P Tracking Table'!$AT178+996.798*'BMP P Tracking Table'!$AU178)*-'BMP P Tracking Table'!$AX178)))/(2*(149.919*'BMP P Tracking Table'!$AR178+236.676*'BMP P Tracking Table'!$AS178+726*'BMP P Tracking Table'!$AT178+996.798*'BMP P Tracking Table'!$AU178))))),MIN(2,IF('BMP P Tracking Table'!$AQ178="Total Pervious",(-(3630*'BMP P Tracking Table'!$V178+20.691*'BMP P Tracking Table'!$AB178)+SQRT((3630*'BMP P Tracking Table'!$V178+20.691*'BMP P Tracking Table'!$AB178)^2-(4*(996.798*'BMP P Tracking Table'!$AB178)*-'BMP P Tracking Table'!$AX178)))/(2*(996.798*'BMP P Tracking Table'!$AB178)),IF(SUM('BMP P Tracking Table'!$X178:$AA178)=0,'BMP P Tracking Table'!$AX178/(-3630*'BMP P Tracking Table'!$V178),(-(3630*'BMP P Tracking Table'!$V178+20.691*'BMP P Tracking Table'!$AA178-216.711*'BMP P Tracking Table'!$Z178-83.853*'BMP P Tracking Table'!$Y178-42.834*'BMP P Tracking Table'!$X178)+SQRT((3630*'BMP P Tracking Table'!$V178+20.691*'BMP P Tracking Table'!$AA178-216.711*'BMP P Tracking Table'!$Z178-83.853*'BMP P Tracking Table'!$Y178-42.834*'BMP P Tracking Table'!$X178)^2-(4*(149.919*'BMP P Tracking Table'!$X178+236.676*'BMP P Tracking Table'!$Y178+726*'BMP P Tracking Table'!$Z178+996.798*'BMP P Tracking Table'!$AA178)*-'BMP P Tracking Table'!$AX178)))/(2*(149.919*'BMP P Tracking Table'!$X178+236.676*'BMP P Tracking Table'!$Y178+726*'BMP P Tracking Table'!$Z178+996.798*'BMP P Tracking Table'!$AA178)))))),"")</f>
        <v/>
      </c>
      <c r="BB178" s="102" t="str">
        <f>IFERROR((VLOOKUP(CONCATENATE('BMP P Tracking Table'!$AW178," ",'BMP P Tracking Table'!$AY178),'Performance Curves'!$C$1:$L$46,_xlfn.SINGLE(MATCH('BMP P Tracking Table'!$BA178,'Performance Curves'!$D$1:$L$1,1))+2,FALSE)-VLOOKUP(CONCATENATE('BMP P Tracking Table'!$AW178," ",'BMP P Tracking Table'!$AY178),'Performance Curves'!$C$1:$L$46,_xlfn.SINGLE(MATCH('BMP P Tracking Table'!$BA178,'Performance Curves'!$D$1:$L$1,1))+1,FALSE)),"")</f>
        <v/>
      </c>
      <c r="BC178" s="102" t="str">
        <f>IFERROR(('BMP P Tracking Table'!$BA178-INDEX('Performance Curves'!$D$1:$L$1,1,MATCH('BMP P Tracking Table'!$BA178,'Performance Curves'!$D$1:$L$1,1)))/(INDEX('Performance Curves'!$D$1:$L$1,1,MATCH('BMP P Tracking Table'!$BA178,'Performance Curves'!$D$1:$L$1,1)+1)-INDEX('Performance Curves'!$D$1:$L$1,1,MATCH('BMP P Tracking Table'!$BA178,'Performance Curves'!$D$1:$L$1,1))),"")</f>
        <v/>
      </c>
      <c r="BD178" s="103" t="str" cm="1">
        <f t="array" ref="BD178">IFERROR(IF('BMP P Tracking Table'!$BA178=2,VLOOKUP(CONCATENATE('BMP P Tracking Table'!$AW178," ",'BMP P Tracking Table'!$AY178),'Performance Curves'!$C$1:$L$44,_xlfn.SINGLE(MATCH('BMP P Tracking Table'!$BA178,'Performance Curves'!$D$1:$L$1,1))+1,FALSE),'BMP P Tracking Table'!$BB178*'BMP P Tracking Table'!$BC178+VLOOKUP(CONCATENATE('BMP P Tracking Table'!$AW178," ",'BMP P Tracking Table'!$AY178),'Performance Curves'!$C$1:$L$44,_xlfn.SINGLE(MATCH('BMP P Tracking Table'!$BA178,'Performance Curves'!$D$1:$L$1,1))+1,FALSE)),"")</f>
        <v/>
      </c>
      <c r="BE178" s="104" t="str">
        <f>IFERROR('BMP P Tracking Table'!$BD178*'BMP P Tracking Table'!$AZ178,"")</f>
        <v/>
      </c>
      <c r="BF178" s="98"/>
      <c r="BG178" s="37">
        <f t="shared" si="34"/>
        <v>0</v>
      </c>
    </row>
    <row r="179" spans="2:59" s="36" customFormat="1">
      <c r="B179" s="65"/>
      <c r="C179" s="65"/>
      <c r="D179" s="65"/>
      <c r="E179" s="65"/>
      <c r="F179" s="94"/>
      <c r="G179" s="94"/>
      <c r="H179" s="65"/>
      <c r="I179" s="65"/>
      <c r="J179" s="65"/>
      <c r="K179" s="95"/>
      <c r="L179" s="65"/>
      <c r="M179" s="65"/>
      <c r="N179" s="65"/>
      <c r="O179" s="65"/>
      <c r="P179" s="65"/>
      <c r="Q179" s="65"/>
      <c r="R179" s="65" t="str">
        <f>IFERROR(VLOOKUP('BMP P Tracking Table'!$Q179,Dropdowns!$C$2:$E$15,3,FALSE),"")</f>
        <v/>
      </c>
      <c r="S179" s="65" t="str">
        <f>IFERROR(VLOOKUP('BMP P Tracking Table'!$R179,Dropdowns!$Q$3:$R$23,2,FALSE),"")</f>
        <v/>
      </c>
      <c r="T179" s="65"/>
      <c r="U179" s="65"/>
      <c r="V179" s="65"/>
      <c r="W179" s="65"/>
      <c r="X179" s="65"/>
      <c r="Y179" s="65"/>
      <c r="Z179" s="65"/>
      <c r="AA179" s="65"/>
      <c r="AB179" s="65"/>
      <c r="AC179" s="97"/>
      <c r="AD179" s="65"/>
      <c r="AE179" s="104" t="str">
        <f>IFERROR('BMP P Tracking Table'!$V179*VLOOKUP('BMP P Tracking Table'!$R179,'Loading Rates'!$B$1:$L$24,4,FALSE)+IF('BMP P Tracking Table'!$W179="By HSG",'BMP P Tracking Table'!$X179*VLOOKUP('BMP P Tracking Table'!$R179,'Loading Rates'!$B$1:$L$24,6,FALSE)+'BMP P Tracking Table'!$Y179*VLOOKUP('BMP P Tracking Table'!$R179,'Loading Rates'!$B$1:$L$24,7,FALSE)+'BMP P Tracking Table'!$Z179*VLOOKUP('BMP P Tracking Table'!$R179,'Loading Rates'!$B$1:$L$24,8,FALSE)+'BMP P Tracking Table'!$AA179*VLOOKUP('BMP P Tracking Table'!$R179,'Loading Rates'!$B$1:$L$24,9,FALSE),'BMP P Tracking Table'!$AB179*VLOOKUP('BMP P Tracking Table'!$R179,'Loading Rates'!$B$1:$L$24,10,FALSE)),"")</f>
        <v/>
      </c>
      <c r="AF179" s="104" t="str">
        <f>IFERROR(MIN(2,IF('BMP P Tracking Table'!$W179="Total Pervious",(-(3630*'BMP P Tracking Table'!$V179+20.691*'BMP P Tracking Table'!$AB179)+SQRT((3630*'BMP P Tracking Table'!$V179+20.691*'BMP P Tracking Table'!$AB179)^2-(4*(996.798*'BMP P Tracking Table'!$AB179)*-'BMP P Tracking Table'!$AC179)))/(2*(996.798*'BMP P Tracking Table'!$AB179)),IF(SUM('BMP P Tracking Table'!$X179:$AA179)=0,'BMP P Tracking Table'!$AC179/(-3630*'BMP P Tracking Table'!$V179),(-(3630*'BMP P Tracking Table'!$V179+20.691*'BMP P Tracking Table'!$AA179-216.711*'BMP P Tracking Table'!$Z179-83.853*'BMP P Tracking Table'!$Y179-42.834*'BMP P Tracking Table'!$X179)+SQRT((3630*'BMP P Tracking Table'!$V179+20.691*'BMP P Tracking Table'!$AA179-216.711*'BMP P Tracking Table'!$Z179-83.853*'BMP P Tracking Table'!$Y179-42.834*'BMP P Tracking Table'!$X179)^2-(4*(149.919*'BMP P Tracking Table'!$X179+236.676*'BMP P Tracking Table'!$Y179+726*'BMP P Tracking Table'!$Z179+996.798*'BMP P Tracking Table'!$AA179)*-'BMP P Tracking Table'!$AC179)))/(2*(149.919*'BMP P Tracking Table'!$X179+236.676*'BMP P Tracking Table'!$Y179+726*'BMP P Tracking Table'!$Z179+996.798*'BMP P Tracking Table'!$AA179))))),"")</f>
        <v/>
      </c>
      <c r="AG179" s="104" t="str">
        <f>IFERROR((VLOOKUP(CONCATENATE('BMP P Tracking Table'!$U179," ",'BMP P Tracking Table'!$AD179),'Performance Curves'!$C$1:$L$46,_xlfn.SINGLE(MATCH('BMP P Tracking Table'!$AF179,'Performance Curves'!$D$1:$L$1,1))+2,FALSE)-VLOOKUP(CONCATENATE('BMP P Tracking Table'!$U179," ",'BMP P Tracking Table'!$AD179),'Performance Curves'!$C$1:$L$46,_xlfn.SINGLE(MATCH('BMP P Tracking Table'!$AF179,'Performance Curves'!$D$1:$L$1,1))+1,FALSE)),"")</f>
        <v/>
      </c>
      <c r="AH179" s="104" t="str">
        <f>IFERROR(('BMP P Tracking Table'!$AF179-INDEX('Performance Curves'!$D$1:$L$1,1,MATCH('BMP P Tracking Table'!$AF179,'Performance Curves'!$D$1:$L$1,1)))/(INDEX('Performance Curves'!$D$1:$L$1,1,MATCH('BMP P Tracking Table'!$AF179,'Performance Curves'!$D$1:$L$1,1)+1)-INDEX('Performance Curves'!$D$1:$L$1,1,MATCH('BMP P Tracking Table'!$AF179,'Performance Curves'!$D$1:$L$1,1))),"")</f>
        <v/>
      </c>
      <c r="AI179" s="103" t="str">
        <f>IFERROR(IF('BMP P Tracking Table'!$AF179=2,VLOOKUP(CONCATENATE('BMP P Tracking Table'!$U179," ",'BMP P Tracking Table'!$AD179),'Performance Curves'!$C$1:$L$46,_xlfn.SINGLE(MATCH('BMP P Tracking Table'!$AF179,'Performance Curves'!$D$1:$L$1,1))+1,FALSE),'BMP P Tracking Table'!$AG179*'BMP P Tracking Table'!$AH179+VLOOKUP(CONCATENATE('BMP P Tracking Table'!$U179," ",'BMP P Tracking Table'!$AD179),'Performance Curves'!$C$1:$L$46,_xlfn.SINGLE(MATCH('BMP P Tracking Table'!$AF179,'Performance Curves'!$D$1:$L$1,1))+1,FALSE)),"")</f>
        <v/>
      </c>
      <c r="AJ179" s="104" t="str">
        <f>IFERROR('BMP P Tracking Table'!$AI179*'BMP P Tracking Table'!$AE179,"")</f>
        <v/>
      </c>
      <c r="AK179" s="65"/>
      <c r="AL179" s="98"/>
      <c r="AM179" s="98"/>
      <c r="AN179" s="64">
        <v>1</v>
      </c>
      <c r="AO179" s="102" t="str">
        <f t="shared" si="33"/>
        <v/>
      </c>
      <c r="AP179" s="98"/>
      <c r="AQ179" s="98"/>
      <c r="AR179" s="98"/>
      <c r="AS179" s="98"/>
      <c r="AT179" s="98"/>
      <c r="AU179" s="98"/>
      <c r="AV179" s="98"/>
      <c r="AW179" s="65"/>
      <c r="AX179" s="99"/>
      <c r="AY179" s="99"/>
      <c r="AZ179" s="104" t="str">
        <f>IF('BMP P Tracking Table'!$AL179="Yes",IF('BMP P Tracking Table'!$AM179="No",'BMP P Tracking Table'!$V179*VLOOKUP('BMP P Tracking Table'!$R179,'Loading Rates'!$B$1:$L$24,4,FALSE)+IF('BMP P Tracking Table'!$W179="By HSG",'BMP P Tracking Table'!$X179*VLOOKUP('BMP P Tracking Table'!$R179,'Loading Rates'!$B$1:$L$24,6,FALSE)+'BMP P Tracking Table'!$Y179*VLOOKUP('BMP P Tracking Table'!$R179,'Loading Rates'!$B$1:$L$24,7,FALSE)+'BMP P Tracking Table'!$Z179*VLOOKUP('BMP P Tracking Table'!$R179,'Loading Rates'!$B$1:$L$24,8,FALSE)+'BMP P Tracking Table'!$AA179*VLOOKUP('BMP P Tracking Table'!$R179,'Loading Rates'!$B$1:$L$24,9,FALSE),'BMP P Tracking Table'!$AB179*VLOOKUP('BMP P Tracking Table'!$R179,'Loading Rates'!$B$1:$L$24,10,FALSE)),'BMP P Tracking Table'!$AP179*VLOOKUP('BMP P Tracking Table'!$R179,'Loading Rates'!$B$1:$L$24,4,FALSE)+IF('BMP P Tracking Table'!$AQ179="By HSG",'BMP P Tracking Table'!$AR179*VLOOKUP('BMP P Tracking Table'!$R179,'Loading Rates'!$B$1:$L$24,6,FALSE)+'BMP P Tracking Table'!$AS179*VLOOKUP('BMP P Tracking Table'!$R179,'Loading Rates'!$B$1:$L$24,7,FALSE)+'BMP P Tracking Table'!$AT179*VLOOKUP('BMP P Tracking Table'!$R179,'Loading Rates'!$B$1:$L$24,8,FALSE)+'BMP P Tracking Table'!$AU179*VLOOKUP('BMP P Tracking Table'!$R179,'Loading Rates'!$B$1:$L$24,9,FALSE),'BMP P Tracking Table'!$AV179*VLOOKUP('BMP P Tracking Table'!$R179,'Loading Rates'!$B$1:$L$24,10,FALSE))),"")</f>
        <v/>
      </c>
      <c r="BA179" s="104" t="str">
        <f>IFERROR(IF('BMP P Tracking Table'!$AM179="Yes",MIN(2,IF('BMP P Tracking Table'!$AQ179="Total Pervious",(-(3630*'BMP P Tracking Table'!$AP179+20.691*'BMP P Tracking Table'!$AV179)+SQRT((3630*'BMP P Tracking Table'!$AP179+20.691*'BMP P Tracking Table'!$AV179)^2-(4*(996.798*'BMP P Tracking Table'!$AV179)*-'BMP P Tracking Table'!$AX179)))/(2*(996.798*'BMP P Tracking Table'!$AV179)),IF(SUM('BMP P Tracking Table'!$AR179:$AU179)=0,'BMP P Tracking Table'!$AV179/(-3630*'BMP P Tracking Table'!$AP179),(-(3630*'BMP P Tracking Table'!$AP179+20.691*'BMP P Tracking Table'!$AU179-216.711*'BMP P Tracking Table'!$AT179-83.853*'BMP P Tracking Table'!$AS179-42.834*'BMP P Tracking Table'!$AR179)+SQRT((3630*'BMP P Tracking Table'!$AP179+20.691*'BMP P Tracking Table'!$AU179-216.711*'BMP P Tracking Table'!$AT179-83.853*'BMP P Tracking Table'!$AS179-42.834*'BMP P Tracking Table'!$AR179)^2-(4*(149.919*'BMP P Tracking Table'!$AR179+236.676*'BMP P Tracking Table'!$AS179+726*'BMP P Tracking Table'!$AT179+996.798*'BMP P Tracking Table'!$AU179)*-'BMP P Tracking Table'!$AX179)))/(2*(149.919*'BMP P Tracking Table'!$AR179+236.676*'BMP P Tracking Table'!$AS179+726*'BMP P Tracking Table'!$AT179+996.798*'BMP P Tracking Table'!$AU179))))),MIN(2,IF('BMP P Tracking Table'!$AQ179="Total Pervious",(-(3630*'BMP P Tracking Table'!$V179+20.691*'BMP P Tracking Table'!$AB179)+SQRT((3630*'BMP P Tracking Table'!$V179+20.691*'BMP P Tracking Table'!$AB179)^2-(4*(996.798*'BMP P Tracking Table'!$AB179)*-'BMP P Tracking Table'!$AX179)))/(2*(996.798*'BMP P Tracking Table'!$AB179)),IF(SUM('BMP P Tracking Table'!$X179:$AA179)=0,'BMP P Tracking Table'!$AX179/(-3630*'BMP P Tracking Table'!$V179),(-(3630*'BMP P Tracking Table'!$V179+20.691*'BMP P Tracking Table'!$AA179-216.711*'BMP P Tracking Table'!$Z179-83.853*'BMP P Tracking Table'!$Y179-42.834*'BMP P Tracking Table'!$X179)+SQRT((3630*'BMP P Tracking Table'!$V179+20.691*'BMP P Tracking Table'!$AA179-216.711*'BMP P Tracking Table'!$Z179-83.853*'BMP P Tracking Table'!$Y179-42.834*'BMP P Tracking Table'!$X179)^2-(4*(149.919*'BMP P Tracking Table'!$X179+236.676*'BMP P Tracking Table'!$Y179+726*'BMP P Tracking Table'!$Z179+996.798*'BMP P Tracking Table'!$AA179)*-'BMP P Tracking Table'!$AX179)))/(2*(149.919*'BMP P Tracking Table'!$X179+236.676*'BMP P Tracking Table'!$Y179+726*'BMP P Tracking Table'!$Z179+996.798*'BMP P Tracking Table'!$AA179)))))),"")</f>
        <v/>
      </c>
      <c r="BB179" s="102" t="str">
        <f>IFERROR((VLOOKUP(CONCATENATE('BMP P Tracking Table'!$AW179," ",'BMP P Tracking Table'!$AY179),'Performance Curves'!$C$1:$L$46,_xlfn.SINGLE(MATCH('BMP P Tracking Table'!$BA179,'Performance Curves'!$D$1:$L$1,1))+2,FALSE)-VLOOKUP(CONCATENATE('BMP P Tracking Table'!$AW179," ",'BMP P Tracking Table'!$AY179),'Performance Curves'!$C$1:$L$46,_xlfn.SINGLE(MATCH('BMP P Tracking Table'!$BA179,'Performance Curves'!$D$1:$L$1,1))+1,FALSE)),"")</f>
        <v/>
      </c>
      <c r="BC179" s="102" t="str">
        <f>IFERROR(('BMP P Tracking Table'!$BA179-INDEX('Performance Curves'!$D$1:$L$1,1,MATCH('BMP P Tracking Table'!$BA179,'Performance Curves'!$D$1:$L$1,1)))/(INDEX('Performance Curves'!$D$1:$L$1,1,MATCH('BMP P Tracking Table'!$BA179,'Performance Curves'!$D$1:$L$1,1)+1)-INDEX('Performance Curves'!$D$1:$L$1,1,MATCH('BMP P Tracking Table'!$BA179,'Performance Curves'!$D$1:$L$1,1))),"")</f>
        <v/>
      </c>
      <c r="BD179" s="103" t="str" cm="1">
        <f t="array" ref="BD179">IFERROR(IF('BMP P Tracking Table'!$BA179=2,VLOOKUP(CONCATENATE('BMP P Tracking Table'!$AW179," ",'BMP P Tracking Table'!$AY179),'Performance Curves'!$C$1:$L$44,_xlfn.SINGLE(MATCH('BMP P Tracking Table'!$BA179,'Performance Curves'!$D$1:$L$1,1))+1,FALSE),'BMP P Tracking Table'!$BB179*'BMP P Tracking Table'!$BC179+VLOOKUP(CONCATENATE('BMP P Tracking Table'!$AW179," ",'BMP P Tracking Table'!$AY179),'Performance Curves'!$C$1:$L$44,_xlfn.SINGLE(MATCH('BMP P Tracking Table'!$BA179,'Performance Curves'!$D$1:$L$1,1))+1,FALSE)),"")</f>
        <v/>
      </c>
      <c r="BE179" s="104" t="str">
        <f>IFERROR('BMP P Tracking Table'!$BD179*'BMP P Tracking Table'!$AZ179,"")</f>
        <v/>
      </c>
      <c r="BF179" s="98"/>
      <c r="BG179" s="37">
        <f t="shared" si="34"/>
        <v>0</v>
      </c>
    </row>
    <row r="180" spans="2:59" s="36" customFormat="1">
      <c r="B180" s="65"/>
      <c r="C180" s="65"/>
      <c r="D180" s="65"/>
      <c r="E180" s="65"/>
      <c r="F180" s="94"/>
      <c r="G180" s="94"/>
      <c r="H180" s="65"/>
      <c r="I180" s="65"/>
      <c r="J180" s="65"/>
      <c r="K180" s="95"/>
      <c r="L180" s="65"/>
      <c r="M180" s="65"/>
      <c r="N180" s="65"/>
      <c r="O180" s="65"/>
      <c r="P180" s="65"/>
      <c r="Q180" s="65"/>
      <c r="R180" s="65" t="str">
        <f>IFERROR(VLOOKUP('BMP P Tracking Table'!$Q180,Dropdowns!$C$2:$E$15,3,FALSE),"")</f>
        <v/>
      </c>
      <c r="S180" s="65" t="str">
        <f>IFERROR(VLOOKUP('BMP P Tracking Table'!$R180,Dropdowns!$Q$3:$R$23,2,FALSE),"")</f>
        <v/>
      </c>
      <c r="T180" s="65"/>
      <c r="U180" s="65"/>
      <c r="V180" s="65"/>
      <c r="W180" s="65"/>
      <c r="X180" s="65"/>
      <c r="Y180" s="65"/>
      <c r="Z180" s="65"/>
      <c r="AA180" s="65"/>
      <c r="AB180" s="65"/>
      <c r="AC180" s="97"/>
      <c r="AD180" s="65"/>
      <c r="AE180" s="104" t="str">
        <f>IFERROR('BMP P Tracking Table'!$V180*VLOOKUP('BMP P Tracking Table'!$R180,'Loading Rates'!$B$1:$L$24,4,FALSE)+IF('BMP P Tracking Table'!$W180="By HSG",'BMP P Tracking Table'!$X180*VLOOKUP('BMP P Tracking Table'!$R180,'Loading Rates'!$B$1:$L$24,6,FALSE)+'BMP P Tracking Table'!$Y180*VLOOKUP('BMP P Tracking Table'!$R180,'Loading Rates'!$B$1:$L$24,7,FALSE)+'BMP P Tracking Table'!$Z180*VLOOKUP('BMP P Tracking Table'!$R180,'Loading Rates'!$B$1:$L$24,8,FALSE)+'BMP P Tracking Table'!$AA180*VLOOKUP('BMP P Tracking Table'!$R180,'Loading Rates'!$B$1:$L$24,9,FALSE),'BMP P Tracking Table'!$AB180*VLOOKUP('BMP P Tracking Table'!$R180,'Loading Rates'!$B$1:$L$24,10,FALSE)),"")</f>
        <v/>
      </c>
      <c r="AF180" s="104" t="str">
        <f>IFERROR(MIN(2,IF('BMP P Tracking Table'!$W180="Total Pervious",(-(3630*'BMP P Tracking Table'!$V180+20.691*'BMP P Tracking Table'!$AB180)+SQRT((3630*'BMP P Tracking Table'!$V180+20.691*'BMP P Tracking Table'!$AB180)^2-(4*(996.798*'BMP P Tracking Table'!$AB180)*-'BMP P Tracking Table'!$AC180)))/(2*(996.798*'BMP P Tracking Table'!$AB180)),IF(SUM('BMP P Tracking Table'!$X180:$AA180)=0,'BMP P Tracking Table'!$AC180/(-3630*'BMP P Tracking Table'!$V180),(-(3630*'BMP P Tracking Table'!$V180+20.691*'BMP P Tracking Table'!$AA180-216.711*'BMP P Tracking Table'!$Z180-83.853*'BMP P Tracking Table'!$Y180-42.834*'BMP P Tracking Table'!$X180)+SQRT((3630*'BMP P Tracking Table'!$V180+20.691*'BMP P Tracking Table'!$AA180-216.711*'BMP P Tracking Table'!$Z180-83.853*'BMP P Tracking Table'!$Y180-42.834*'BMP P Tracking Table'!$X180)^2-(4*(149.919*'BMP P Tracking Table'!$X180+236.676*'BMP P Tracking Table'!$Y180+726*'BMP P Tracking Table'!$Z180+996.798*'BMP P Tracking Table'!$AA180)*-'BMP P Tracking Table'!$AC180)))/(2*(149.919*'BMP P Tracking Table'!$X180+236.676*'BMP P Tracking Table'!$Y180+726*'BMP P Tracking Table'!$Z180+996.798*'BMP P Tracking Table'!$AA180))))),"")</f>
        <v/>
      </c>
      <c r="AG180" s="104" t="str">
        <f>IFERROR((VLOOKUP(CONCATENATE('BMP P Tracking Table'!$U180," ",'BMP P Tracking Table'!$AD180),'Performance Curves'!$C$1:$L$46,_xlfn.SINGLE(MATCH('BMP P Tracking Table'!$AF180,'Performance Curves'!$D$1:$L$1,1))+2,FALSE)-VLOOKUP(CONCATENATE('BMP P Tracking Table'!$U180," ",'BMP P Tracking Table'!$AD180),'Performance Curves'!$C$1:$L$46,_xlfn.SINGLE(MATCH('BMP P Tracking Table'!$AF180,'Performance Curves'!$D$1:$L$1,1))+1,FALSE)),"")</f>
        <v/>
      </c>
      <c r="AH180" s="104" t="str">
        <f>IFERROR(('BMP P Tracking Table'!$AF180-INDEX('Performance Curves'!$D$1:$L$1,1,MATCH('BMP P Tracking Table'!$AF180,'Performance Curves'!$D$1:$L$1,1)))/(INDEX('Performance Curves'!$D$1:$L$1,1,MATCH('BMP P Tracking Table'!$AF180,'Performance Curves'!$D$1:$L$1,1)+1)-INDEX('Performance Curves'!$D$1:$L$1,1,MATCH('BMP P Tracking Table'!$AF180,'Performance Curves'!$D$1:$L$1,1))),"")</f>
        <v/>
      </c>
      <c r="AI180" s="103" t="str">
        <f>IFERROR(IF('BMP P Tracking Table'!$AF180=2,VLOOKUP(CONCATENATE('BMP P Tracking Table'!$U180," ",'BMP P Tracking Table'!$AD180),'Performance Curves'!$C$1:$L$46,_xlfn.SINGLE(MATCH('BMP P Tracking Table'!$AF180,'Performance Curves'!$D$1:$L$1,1))+1,FALSE),'BMP P Tracking Table'!$AG180*'BMP P Tracking Table'!$AH180+VLOOKUP(CONCATENATE('BMP P Tracking Table'!$U180," ",'BMP P Tracking Table'!$AD180),'Performance Curves'!$C$1:$L$46,_xlfn.SINGLE(MATCH('BMP P Tracking Table'!$AF180,'Performance Curves'!$D$1:$L$1,1))+1,FALSE)),"")</f>
        <v/>
      </c>
      <c r="AJ180" s="104" t="str">
        <f>IFERROR('BMP P Tracking Table'!$AI180*'BMP P Tracking Table'!$AE180,"")</f>
        <v/>
      </c>
      <c r="AK180" s="65"/>
      <c r="AL180" s="98"/>
      <c r="AM180" s="98"/>
      <c r="AN180" s="64">
        <v>1</v>
      </c>
      <c r="AO180" s="102" t="str">
        <f t="shared" si="33"/>
        <v/>
      </c>
      <c r="AP180" s="98"/>
      <c r="AQ180" s="98"/>
      <c r="AR180" s="98"/>
      <c r="AS180" s="98"/>
      <c r="AT180" s="98"/>
      <c r="AU180" s="98"/>
      <c r="AV180" s="98"/>
      <c r="AW180" s="65"/>
      <c r="AX180" s="99"/>
      <c r="AY180" s="99"/>
      <c r="AZ180" s="104" t="str">
        <f>IF('BMP P Tracking Table'!$AL180="Yes",IF('BMP P Tracking Table'!$AM180="No",'BMP P Tracking Table'!$V180*VLOOKUP('BMP P Tracking Table'!$R180,'Loading Rates'!$B$1:$L$24,4,FALSE)+IF('BMP P Tracking Table'!$W180="By HSG",'BMP P Tracking Table'!$X180*VLOOKUP('BMP P Tracking Table'!$R180,'Loading Rates'!$B$1:$L$24,6,FALSE)+'BMP P Tracking Table'!$Y180*VLOOKUP('BMP P Tracking Table'!$R180,'Loading Rates'!$B$1:$L$24,7,FALSE)+'BMP P Tracking Table'!$Z180*VLOOKUP('BMP P Tracking Table'!$R180,'Loading Rates'!$B$1:$L$24,8,FALSE)+'BMP P Tracking Table'!$AA180*VLOOKUP('BMP P Tracking Table'!$R180,'Loading Rates'!$B$1:$L$24,9,FALSE),'BMP P Tracking Table'!$AB180*VLOOKUP('BMP P Tracking Table'!$R180,'Loading Rates'!$B$1:$L$24,10,FALSE)),'BMP P Tracking Table'!$AP180*VLOOKUP('BMP P Tracking Table'!$R180,'Loading Rates'!$B$1:$L$24,4,FALSE)+IF('BMP P Tracking Table'!$AQ180="By HSG",'BMP P Tracking Table'!$AR180*VLOOKUP('BMP P Tracking Table'!$R180,'Loading Rates'!$B$1:$L$24,6,FALSE)+'BMP P Tracking Table'!$AS180*VLOOKUP('BMP P Tracking Table'!$R180,'Loading Rates'!$B$1:$L$24,7,FALSE)+'BMP P Tracking Table'!$AT180*VLOOKUP('BMP P Tracking Table'!$R180,'Loading Rates'!$B$1:$L$24,8,FALSE)+'BMP P Tracking Table'!$AU180*VLOOKUP('BMP P Tracking Table'!$R180,'Loading Rates'!$B$1:$L$24,9,FALSE),'BMP P Tracking Table'!$AV180*VLOOKUP('BMP P Tracking Table'!$R180,'Loading Rates'!$B$1:$L$24,10,FALSE))),"")</f>
        <v/>
      </c>
      <c r="BA180" s="104" t="str">
        <f>IFERROR(IF('BMP P Tracking Table'!$AM180="Yes",MIN(2,IF('BMP P Tracking Table'!$AQ180="Total Pervious",(-(3630*'BMP P Tracking Table'!$AP180+20.691*'BMP P Tracking Table'!$AV180)+SQRT((3630*'BMP P Tracking Table'!$AP180+20.691*'BMP P Tracking Table'!$AV180)^2-(4*(996.798*'BMP P Tracking Table'!$AV180)*-'BMP P Tracking Table'!$AX180)))/(2*(996.798*'BMP P Tracking Table'!$AV180)),IF(SUM('BMP P Tracking Table'!$AR180:$AU180)=0,'BMP P Tracking Table'!$AV180/(-3630*'BMP P Tracking Table'!$AP180),(-(3630*'BMP P Tracking Table'!$AP180+20.691*'BMP P Tracking Table'!$AU180-216.711*'BMP P Tracking Table'!$AT180-83.853*'BMP P Tracking Table'!$AS180-42.834*'BMP P Tracking Table'!$AR180)+SQRT((3630*'BMP P Tracking Table'!$AP180+20.691*'BMP P Tracking Table'!$AU180-216.711*'BMP P Tracking Table'!$AT180-83.853*'BMP P Tracking Table'!$AS180-42.834*'BMP P Tracking Table'!$AR180)^2-(4*(149.919*'BMP P Tracking Table'!$AR180+236.676*'BMP P Tracking Table'!$AS180+726*'BMP P Tracking Table'!$AT180+996.798*'BMP P Tracking Table'!$AU180)*-'BMP P Tracking Table'!$AX180)))/(2*(149.919*'BMP P Tracking Table'!$AR180+236.676*'BMP P Tracking Table'!$AS180+726*'BMP P Tracking Table'!$AT180+996.798*'BMP P Tracking Table'!$AU180))))),MIN(2,IF('BMP P Tracking Table'!$AQ180="Total Pervious",(-(3630*'BMP P Tracking Table'!$V180+20.691*'BMP P Tracking Table'!$AB180)+SQRT((3630*'BMP P Tracking Table'!$V180+20.691*'BMP P Tracking Table'!$AB180)^2-(4*(996.798*'BMP P Tracking Table'!$AB180)*-'BMP P Tracking Table'!$AX180)))/(2*(996.798*'BMP P Tracking Table'!$AB180)),IF(SUM('BMP P Tracking Table'!$X180:$AA180)=0,'BMP P Tracking Table'!$AX180/(-3630*'BMP P Tracking Table'!$V180),(-(3630*'BMP P Tracking Table'!$V180+20.691*'BMP P Tracking Table'!$AA180-216.711*'BMP P Tracking Table'!$Z180-83.853*'BMP P Tracking Table'!$Y180-42.834*'BMP P Tracking Table'!$X180)+SQRT((3630*'BMP P Tracking Table'!$V180+20.691*'BMP P Tracking Table'!$AA180-216.711*'BMP P Tracking Table'!$Z180-83.853*'BMP P Tracking Table'!$Y180-42.834*'BMP P Tracking Table'!$X180)^2-(4*(149.919*'BMP P Tracking Table'!$X180+236.676*'BMP P Tracking Table'!$Y180+726*'BMP P Tracking Table'!$Z180+996.798*'BMP P Tracking Table'!$AA180)*-'BMP P Tracking Table'!$AX180)))/(2*(149.919*'BMP P Tracking Table'!$X180+236.676*'BMP P Tracking Table'!$Y180+726*'BMP P Tracking Table'!$Z180+996.798*'BMP P Tracking Table'!$AA180)))))),"")</f>
        <v/>
      </c>
      <c r="BB180" s="102" t="str">
        <f>IFERROR((VLOOKUP(CONCATENATE('BMP P Tracking Table'!$AW180," ",'BMP P Tracking Table'!$AY180),'Performance Curves'!$C$1:$L$46,_xlfn.SINGLE(MATCH('BMP P Tracking Table'!$BA180,'Performance Curves'!$D$1:$L$1,1))+2,FALSE)-VLOOKUP(CONCATENATE('BMP P Tracking Table'!$AW180," ",'BMP P Tracking Table'!$AY180),'Performance Curves'!$C$1:$L$46,_xlfn.SINGLE(MATCH('BMP P Tracking Table'!$BA180,'Performance Curves'!$D$1:$L$1,1))+1,FALSE)),"")</f>
        <v/>
      </c>
      <c r="BC180" s="102" t="str">
        <f>IFERROR(('BMP P Tracking Table'!$BA180-INDEX('Performance Curves'!$D$1:$L$1,1,MATCH('BMP P Tracking Table'!$BA180,'Performance Curves'!$D$1:$L$1,1)))/(INDEX('Performance Curves'!$D$1:$L$1,1,MATCH('BMP P Tracking Table'!$BA180,'Performance Curves'!$D$1:$L$1,1)+1)-INDEX('Performance Curves'!$D$1:$L$1,1,MATCH('BMP P Tracking Table'!$BA180,'Performance Curves'!$D$1:$L$1,1))),"")</f>
        <v/>
      </c>
      <c r="BD180" s="103" t="str" cm="1">
        <f t="array" ref="BD180">IFERROR(IF('BMP P Tracking Table'!$BA180=2,VLOOKUP(CONCATENATE('BMP P Tracking Table'!$AW180," ",'BMP P Tracking Table'!$AY180),'Performance Curves'!$C$1:$L$44,_xlfn.SINGLE(MATCH('BMP P Tracking Table'!$BA180,'Performance Curves'!$D$1:$L$1,1))+1,FALSE),'BMP P Tracking Table'!$BB180*'BMP P Tracking Table'!$BC180+VLOOKUP(CONCATENATE('BMP P Tracking Table'!$AW180," ",'BMP P Tracking Table'!$AY180),'Performance Curves'!$C$1:$L$44,_xlfn.SINGLE(MATCH('BMP P Tracking Table'!$BA180,'Performance Curves'!$D$1:$L$1,1))+1,FALSE)),"")</f>
        <v/>
      </c>
      <c r="BE180" s="104" t="str">
        <f>IFERROR('BMP P Tracking Table'!$BD180*'BMP P Tracking Table'!$AZ180,"")</f>
        <v/>
      </c>
      <c r="BF180" s="98"/>
      <c r="BG180" s="37">
        <f t="shared" si="34"/>
        <v>0</v>
      </c>
    </row>
    <row r="181" spans="2:59" s="36" customFormat="1">
      <c r="B181" s="65"/>
      <c r="C181" s="65"/>
      <c r="D181" s="65"/>
      <c r="E181" s="65"/>
      <c r="F181" s="94"/>
      <c r="G181" s="94"/>
      <c r="H181" s="65"/>
      <c r="I181" s="65"/>
      <c r="J181" s="65"/>
      <c r="K181" s="95"/>
      <c r="L181" s="65"/>
      <c r="M181" s="65"/>
      <c r="N181" s="65"/>
      <c r="O181" s="65"/>
      <c r="P181" s="65"/>
      <c r="Q181" s="65"/>
      <c r="R181" s="65" t="str">
        <f>IFERROR(VLOOKUP('BMP P Tracking Table'!$Q181,Dropdowns!$C$2:$E$15,3,FALSE),"")</f>
        <v/>
      </c>
      <c r="S181" s="65" t="str">
        <f>IFERROR(VLOOKUP('BMP P Tracking Table'!$R181,Dropdowns!$Q$3:$R$23,2,FALSE),"")</f>
        <v/>
      </c>
      <c r="T181" s="65"/>
      <c r="U181" s="65"/>
      <c r="V181" s="65"/>
      <c r="W181" s="65"/>
      <c r="X181" s="65"/>
      <c r="Y181" s="65"/>
      <c r="Z181" s="65"/>
      <c r="AA181" s="65"/>
      <c r="AB181" s="65"/>
      <c r="AC181" s="97"/>
      <c r="AD181" s="65"/>
      <c r="AE181" s="104" t="str">
        <f>IFERROR('BMP P Tracking Table'!$V181*VLOOKUP('BMP P Tracking Table'!$R181,'Loading Rates'!$B$1:$L$24,4,FALSE)+IF('BMP P Tracking Table'!$W181="By HSG",'BMP P Tracking Table'!$X181*VLOOKUP('BMP P Tracking Table'!$R181,'Loading Rates'!$B$1:$L$24,6,FALSE)+'BMP P Tracking Table'!$Y181*VLOOKUP('BMP P Tracking Table'!$R181,'Loading Rates'!$B$1:$L$24,7,FALSE)+'BMP P Tracking Table'!$Z181*VLOOKUP('BMP P Tracking Table'!$R181,'Loading Rates'!$B$1:$L$24,8,FALSE)+'BMP P Tracking Table'!$AA181*VLOOKUP('BMP P Tracking Table'!$R181,'Loading Rates'!$B$1:$L$24,9,FALSE),'BMP P Tracking Table'!$AB181*VLOOKUP('BMP P Tracking Table'!$R181,'Loading Rates'!$B$1:$L$24,10,FALSE)),"")</f>
        <v/>
      </c>
      <c r="AF181" s="104" t="str">
        <f>IFERROR(MIN(2,IF('BMP P Tracking Table'!$W181="Total Pervious",(-(3630*'BMP P Tracking Table'!$V181+20.691*'BMP P Tracking Table'!$AB181)+SQRT((3630*'BMP P Tracking Table'!$V181+20.691*'BMP P Tracking Table'!$AB181)^2-(4*(996.798*'BMP P Tracking Table'!$AB181)*-'BMP P Tracking Table'!$AC181)))/(2*(996.798*'BMP P Tracking Table'!$AB181)),IF(SUM('BMP P Tracking Table'!$X181:$AA181)=0,'BMP P Tracking Table'!$AC181/(-3630*'BMP P Tracking Table'!$V181),(-(3630*'BMP P Tracking Table'!$V181+20.691*'BMP P Tracking Table'!$AA181-216.711*'BMP P Tracking Table'!$Z181-83.853*'BMP P Tracking Table'!$Y181-42.834*'BMP P Tracking Table'!$X181)+SQRT((3630*'BMP P Tracking Table'!$V181+20.691*'BMP P Tracking Table'!$AA181-216.711*'BMP P Tracking Table'!$Z181-83.853*'BMP P Tracking Table'!$Y181-42.834*'BMP P Tracking Table'!$X181)^2-(4*(149.919*'BMP P Tracking Table'!$X181+236.676*'BMP P Tracking Table'!$Y181+726*'BMP P Tracking Table'!$Z181+996.798*'BMP P Tracking Table'!$AA181)*-'BMP P Tracking Table'!$AC181)))/(2*(149.919*'BMP P Tracking Table'!$X181+236.676*'BMP P Tracking Table'!$Y181+726*'BMP P Tracking Table'!$Z181+996.798*'BMP P Tracking Table'!$AA181))))),"")</f>
        <v/>
      </c>
      <c r="AG181" s="104" t="str">
        <f>IFERROR((VLOOKUP(CONCATENATE('BMP P Tracking Table'!$U181," ",'BMP P Tracking Table'!$AD181),'Performance Curves'!$C$1:$L$46,_xlfn.SINGLE(MATCH('BMP P Tracking Table'!$AF181,'Performance Curves'!$D$1:$L$1,1))+2,FALSE)-VLOOKUP(CONCATENATE('BMP P Tracking Table'!$U181," ",'BMP P Tracking Table'!$AD181),'Performance Curves'!$C$1:$L$46,_xlfn.SINGLE(MATCH('BMP P Tracking Table'!$AF181,'Performance Curves'!$D$1:$L$1,1))+1,FALSE)),"")</f>
        <v/>
      </c>
      <c r="AH181" s="104" t="str">
        <f>IFERROR(('BMP P Tracking Table'!$AF181-INDEX('Performance Curves'!$D$1:$L$1,1,MATCH('BMP P Tracking Table'!$AF181,'Performance Curves'!$D$1:$L$1,1)))/(INDEX('Performance Curves'!$D$1:$L$1,1,MATCH('BMP P Tracking Table'!$AF181,'Performance Curves'!$D$1:$L$1,1)+1)-INDEX('Performance Curves'!$D$1:$L$1,1,MATCH('BMP P Tracking Table'!$AF181,'Performance Curves'!$D$1:$L$1,1))),"")</f>
        <v/>
      </c>
      <c r="AI181" s="103" t="str">
        <f>IFERROR(IF('BMP P Tracking Table'!$AF181=2,VLOOKUP(CONCATENATE('BMP P Tracking Table'!$U181," ",'BMP P Tracking Table'!$AD181),'Performance Curves'!$C$1:$L$46,_xlfn.SINGLE(MATCH('BMP P Tracking Table'!$AF181,'Performance Curves'!$D$1:$L$1,1))+1,FALSE),'BMP P Tracking Table'!$AG181*'BMP P Tracking Table'!$AH181+VLOOKUP(CONCATENATE('BMP P Tracking Table'!$U181," ",'BMP P Tracking Table'!$AD181),'Performance Curves'!$C$1:$L$46,_xlfn.SINGLE(MATCH('BMP P Tracking Table'!$AF181,'Performance Curves'!$D$1:$L$1,1))+1,FALSE)),"")</f>
        <v/>
      </c>
      <c r="AJ181" s="104" t="str">
        <f>IFERROR('BMP P Tracking Table'!$AI181*'BMP P Tracking Table'!$AE181,"")</f>
        <v/>
      </c>
      <c r="AK181" s="65"/>
      <c r="AL181" s="98"/>
      <c r="AM181" s="98"/>
      <c r="AN181" s="64">
        <v>1</v>
      </c>
      <c r="AO181" s="102" t="str">
        <f t="shared" si="33"/>
        <v/>
      </c>
      <c r="AP181" s="98"/>
      <c r="AQ181" s="98"/>
      <c r="AR181" s="98"/>
      <c r="AS181" s="98"/>
      <c r="AT181" s="98"/>
      <c r="AU181" s="98"/>
      <c r="AV181" s="98"/>
      <c r="AW181" s="65"/>
      <c r="AX181" s="99"/>
      <c r="AY181" s="99"/>
      <c r="AZ181" s="104" t="str">
        <f>IF('BMP P Tracking Table'!$AL181="Yes",IF('BMP P Tracking Table'!$AM181="No",'BMP P Tracking Table'!$V181*VLOOKUP('BMP P Tracking Table'!$R181,'Loading Rates'!$B$1:$L$24,4,FALSE)+IF('BMP P Tracking Table'!$W181="By HSG",'BMP P Tracking Table'!$X181*VLOOKUP('BMP P Tracking Table'!$R181,'Loading Rates'!$B$1:$L$24,6,FALSE)+'BMP P Tracking Table'!$Y181*VLOOKUP('BMP P Tracking Table'!$R181,'Loading Rates'!$B$1:$L$24,7,FALSE)+'BMP P Tracking Table'!$Z181*VLOOKUP('BMP P Tracking Table'!$R181,'Loading Rates'!$B$1:$L$24,8,FALSE)+'BMP P Tracking Table'!$AA181*VLOOKUP('BMP P Tracking Table'!$R181,'Loading Rates'!$B$1:$L$24,9,FALSE),'BMP P Tracking Table'!$AB181*VLOOKUP('BMP P Tracking Table'!$R181,'Loading Rates'!$B$1:$L$24,10,FALSE)),'BMP P Tracking Table'!$AP181*VLOOKUP('BMP P Tracking Table'!$R181,'Loading Rates'!$B$1:$L$24,4,FALSE)+IF('BMP P Tracking Table'!$AQ181="By HSG",'BMP P Tracking Table'!$AR181*VLOOKUP('BMP P Tracking Table'!$R181,'Loading Rates'!$B$1:$L$24,6,FALSE)+'BMP P Tracking Table'!$AS181*VLOOKUP('BMP P Tracking Table'!$R181,'Loading Rates'!$B$1:$L$24,7,FALSE)+'BMP P Tracking Table'!$AT181*VLOOKUP('BMP P Tracking Table'!$R181,'Loading Rates'!$B$1:$L$24,8,FALSE)+'BMP P Tracking Table'!$AU181*VLOOKUP('BMP P Tracking Table'!$R181,'Loading Rates'!$B$1:$L$24,9,FALSE),'BMP P Tracking Table'!$AV181*VLOOKUP('BMP P Tracking Table'!$R181,'Loading Rates'!$B$1:$L$24,10,FALSE))),"")</f>
        <v/>
      </c>
      <c r="BA181" s="104" t="str">
        <f>IFERROR(IF('BMP P Tracking Table'!$AM181="Yes",MIN(2,IF('BMP P Tracking Table'!$AQ181="Total Pervious",(-(3630*'BMP P Tracking Table'!$AP181+20.691*'BMP P Tracking Table'!$AV181)+SQRT((3630*'BMP P Tracking Table'!$AP181+20.691*'BMP P Tracking Table'!$AV181)^2-(4*(996.798*'BMP P Tracking Table'!$AV181)*-'BMP P Tracking Table'!$AX181)))/(2*(996.798*'BMP P Tracking Table'!$AV181)),IF(SUM('BMP P Tracking Table'!$AR181:$AU181)=0,'BMP P Tracking Table'!$AV181/(-3630*'BMP P Tracking Table'!$AP181),(-(3630*'BMP P Tracking Table'!$AP181+20.691*'BMP P Tracking Table'!$AU181-216.711*'BMP P Tracking Table'!$AT181-83.853*'BMP P Tracking Table'!$AS181-42.834*'BMP P Tracking Table'!$AR181)+SQRT((3630*'BMP P Tracking Table'!$AP181+20.691*'BMP P Tracking Table'!$AU181-216.711*'BMP P Tracking Table'!$AT181-83.853*'BMP P Tracking Table'!$AS181-42.834*'BMP P Tracking Table'!$AR181)^2-(4*(149.919*'BMP P Tracking Table'!$AR181+236.676*'BMP P Tracking Table'!$AS181+726*'BMP P Tracking Table'!$AT181+996.798*'BMP P Tracking Table'!$AU181)*-'BMP P Tracking Table'!$AX181)))/(2*(149.919*'BMP P Tracking Table'!$AR181+236.676*'BMP P Tracking Table'!$AS181+726*'BMP P Tracking Table'!$AT181+996.798*'BMP P Tracking Table'!$AU181))))),MIN(2,IF('BMP P Tracking Table'!$AQ181="Total Pervious",(-(3630*'BMP P Tracking Table'!$V181+20.691*'BMP P Tracking Table'!$AB181)+SQRT((3630*'BMP P Tracking Table'!$V181+20.691*'BMP P Tracking Table'!$AB181)^2-(4*(996.798*'BMP P Tracking Table'!$AB181)*-'BMP P Tracking Table'!$AX181)))/(2*(996.798*'BMP P Tracking Table'!$AB181)),IF(SUM('BMP P Tracking Table'!$X181:$AA181)=0,'BMP P Tracking Table'!$AX181/(-3630*'BMP P Tracking Table'!$V181),(-(3630*'BMP P Tracking Table'!$V181+20.691*'BMP P Tracking Table'!$AA181-216.711*'BMP P Tracking Table'!$Z181-83.853*'BMP P Tracking Table'!$Y181-42.834*'BMP P Tracking Table'!$X181)+SQRT((3630*'BMP P Tracking Table'!$V181+20.691*'BMP P Tracking Table'!$AA181-216.711*'BMP P Tracking Table'!$Z181-83.853*'BMP P Tracking Table'!$Y181-42.834*'BMP P Tracking Table'!$X181)^2-(4*(149.919*'BMP P Tracking Table'!$X181+236.676*'BMP P Tracking Table'!$Y181+726*'BMP P Tracking Table'!$Z181+996.798*'BMP P Tracking Table'!$AA181)*-'BMP P Tracking Table'!$AX181)))/(2*(149.919*'BMP P Tracking Table'!$X181+236.676*'BMP P Tracking Table'!$Y181+726*'BMP P Tracking Table'!$Z181+996.798*'BMP P Tracking Table'!$AA181)))))),"")</f>
        <v/>
      </c>
      <c r="BB181" s="102" t="str">
        <f>IFERROR((VLOOKUP(CONCATENATE('BMP P Tracking Table'!$AW181," ",'BMP P Tracking Table'!$AY181),'Performance Curves'!$C$1:$L$46,_xlfn.SINGLE(MATCH('BMP P Tracking Table'!$BA181,'Performance Curves'!$D$1:$L$1,1))+2,FALSE)-VLOOKUP(CONCATENATE('BMP P Tracking Table'!$AW181," ",'BMP P Tracking Table'!$AY181),'Performance Curves'!$C$1:$L$46,_xlfn.SINGLE(MATCH('BMP P Tracking Table'!$BA181,'Performance Curves'!$D$1:$L$1,1))+1,FALSE)),"")</f>
        <v/>
      </c>
      <c r="BC181" s="102" t="str">
        <f>IFERROR(('BMP P Tracking Table'!$BA181-INDEX('Performance Curves'!$D$1:$L$1,1,MATCH('BMP P Tracking Table'!$BA181,'Performance Curves'!$D$1:$L$1,1)))/(INDEX('Performance Curves'!$D$1:$L$1,1,MATCH('BMP P Tracking Table'!$BA181,'Performance Curves'!$D$1:$L$1,1)+1)-INDEX('Performance Curves'!$D$1:$L$1,1,MATCH('BMP P Tracking Table'!$BA181,'Performance Curves'!$D$1:$L$1,1))),"")</f>
        <v/>
      </c>
      <c r="BD181" s="103" t="str" cm="1">
        <f t="array" ref="BD181">IFERROR(IF('BMP P Tracking Table'!$BA181=2,VLOOKUP(CONCATENATE('BMP P Tracking Table'!$AW181," ",'BMP P Tracking Table'!$AY181),'Performance Curves'!$C$1:$L$44,_xlfn.SINGLE(MATCH('BMP P Tracking Table'!$BA181,'Performance Curves'!$D$1:$L$1,1))+1,FALSE),'BMP P Tracking Table'!$BB181*'BMP P Tracking Table'!$BC181+VLOOKUP(CONCATENATE('BMP P Tracking Table'!$AW181," ",'BMP P Tracking Table'!$AY181),'Performance Curves'!$C$1:$L$44,_xlfn.SINGLE(MATCH('BMP P Tracking Table'!$BA181,'Performance Curves'!$D$1:$L$1,1))+1,FALSE)),"")</f>
        <v/>
      </c>
      <c r="BE181" s="104" t="str">
        <f>IFERROR('BMP P Tracking Table'!$BD181*'BMP P Tracking Table'!$AZ181,"")</f>
        <v/>
      </c>
      <c r="BF181" s="98"/>
      <c r="BG181" s="37">
        <f t="shared" si="34"/>
        <v>0</v>
      </c>
    </row>
    <row r="182" spans="2:59" s="36" customFormat="1">
      <c r="B182" s="65"/>
      <c r="C182" s="65"/>
      <c r="D182" s="65"/>
      <c r="E182" s="65"/>
      <c r="F182" s="94"/>
      <c r="G182" s="94"/>
      <c r="H182" s="65"/>
      <c r="I182" s="65"/>
      <c r="J182" s="65"/>
      <c r="K182" s="95"/>
      <c r="L182" s="65"/>
      <c r="M182" s="65"/>
      <c r="N182" s="65"/>
      <c r="O182" s="65"/>
      <c r="P182" s="65"/>
      <c r="Q182" s="65"/>
      <c r="R182" s="65" t="str">
        <f>IFERROR(VLOOKUP('BMP P Tracking Table'!$Q182,Dropdowns!$C$2:$E$15,3,FALSE),"")</f>
        <v/>
      </c>
      <c r="S182" s="65" t="str">
        <f>IFERROR(VLOOKUP('BMP P Tracking Table'!$R182,Dropdowns!$Q$3:$R$23,2,FALSE),"")</f>
        <v/>
      </c>
      <c r="T182" s="65"/>
      <c r="U182" s="65"/>
      <c r="V182" s="65"/>
      <c r="W182" s="65"/>
      <c r="X182" s="65"/>
      <c r="Y182" s="65"/>
      <c r="Z182" s="65"/>
      <c r="AA182" s="65"/>
      <c r="AB182" s="65"/>
      <c r="AC182" s="97"/>
      <c r="AD182" s="65"/>
      <c r="AE182" s="104" t="str">
        <f>IFERROR('BMP P Tracking Table'!$V182*VLOOKUP('BMP P Tracking Table'!$R182,'Loading Rates'!$B$1:$L$24,4,FALSE)+IF('BMP P Tracking Table'!$W182="By HSG",'BMP P Tracking Table'!$X182*VLOOKUP('BMP P Tracking Table'!$R182,'Loading Rates'!$B$1:$L$24,6,FALSE)+'BMP P Tracking Table'!$Y182*VLOOKUP('BMP P Tracking Table'!$R182,'Loading Rates'!$B$1:$L$24,7,FALSE)+'BMP P Tracking Table'!$Z182*VLOOKUP('BMP P Tracking Table'!$R182,'Loading Rates'!$B$1:$L$24,8,FALSE)+'BMP P Tracking Table'!$AA182*VLOOKUP('BMP P Tracking Table'!$R182,'Loading Rates'!$B$1:$L$24,9,FALSE),'BMP P Tracking Table'!$AB182*VLOOKUP('BMP P Tracking Table'!$R182,'Loading Rates'!$B$1:$L$24,10,FALSE)),"")</f>
        <v/>
      </c>
      <c r="AF182" s="104" t="str">
        <f>IFERROR(MIN(2,IF('BMP P Tracking Table'!$W182="Total Pervious",(-(3630*'BMP P Tracking Table'!$V182+20.691*'BMP P Tracking Table'!$AB182)+SQRT((3630*'BMP P Tracking Table'!$V182+20.691*'BMP P Tracking Table'!$AB182)^2-(4*(996.798*'BMP P Tracking Table'!$AB182)*-'BMP P Tracking Table'!$AC182)))/(2*(996.798*'BMP P Tracking Table'!$AB182)),IF(SUM('BMP P Tracking Table'!$X182:$AA182)=0,'BMP P Tracking Table'!$AC182/(-3630*'BMP P Tracking Table'!$V182),(-(3630*'BMP P Tracking Table'!$V182+20.691*'BMP P Tracking Table'!$AA182-216.711*'BMP P Tracking Table'!$Z182-83.853*'BMP P Tracking Table'!$Y182-42.834*'BMP P Tracking Table'!$X182)+SQRT((3630*'BMP P Tracking Table'!$V182+20.691*'BMP P Tracking Table'!$AA182-216.711*'BMP P Tracking Table'!$Z182-83.853*'BMP P Tracking Table'!$Y182-42.834*'BMP P Tracking Table'!$X182)^2-(4*(149.919*'BMP P Tracking Table'!$X182+236.676*'BMP P Tracking Table'!$Y182+726*'BMP P Tracking Table'!$Z182+996.798*'BMP P Tracking Table'!$AA182)*-'BMP P Tracking Table'!$AC182)))/(2*(149.919*'BMP P Tracking Table'!$X182+236.676*'BMP P Tracking Table'!$Y182+726*'BMP P Tracking Table'!$Z182+996.798*'BMP P Tracking Table'!$AA182))))),"")</f>
        <v/>
      </c>
      <c r="AG182" s="104" t="str">
        <f>IFERROR((VLOOKUP(CONCATENATE('BMP P Tracking Table'!$U182," ",'BMP P Tracking Table'!$AD182),'Performance Curves'!$C$1:$L$46,_xlfn.SINGLE(MATCH('BMP P Tracking Table'!$AF182,'Performance Curves'!$D$1:$L$1,1))+2,FALSE)-VLOOKUP(CONCATENATE('BMP P Tracking Table'!$U182," ",'BMP P Tracking Table'!$AD182),'Performance Curves'!$C$1:$L$46,_xlfn.SINGLE(MATCH('BMP P Tracking Table'!$AF182,'Performance Curves'!$D$1:$L$1,1))+1,FALSE)),"")</f>
        <v/>
      </c>
      <c r="AH182" s="104" t="str">
        <f>IFERROR(('BMP P Tracking Table'!$AF182-INDEX('Performance Curves'!$D$1:$L$1,1,MATCH('BMP P Tracking Table'!$AF182,'Performance Curves'!$D$1:$L$1,1)))/(INDEX('Performance Curves'!$D$1:$L$1,1,MATCH('BMP P Tracking Table'!$AF182,'Performance Curves'!$D$1:$L$1,1)+1)-INDEX('Performance Curves'!$D$1:$L$1,1,MATCH('BMP P Tracking Table'!$AF182,'Performance Curves'!$D$1:$L$1,1))),"")</f>
        <v/>
      </c>
      <c r="AI182" s="103" t="str">
        <f>IFERROR(IF('BMP P Tracking Table'!$AF182=2,VLOOKUP(CONCATENATE('BMP P Tracking Table'!$U182," ",'BMP P Tracking Table'!$AD182),'Performance Curves'!$C$1:$L$46,_xlfn.SINGLE(MATCH('BMP P Tracking Table'!$AF182,'Performance Curves'!$D$1:$L$1,1))+1,FALSE),'BMP P Tracking Table'!$AG182*'BMP P Tracking Table'!$AH182+VLOOKUP(CONCATENATE('BMP P Tracking Table'!$U182," ",'BMP P Tracking Table'!$AD182),'Performance Curves'!$C$1:$L$46,_xlfn.SINGLE(MATCH('BMP P Tracking Table'!$AF182,'Performance Curves'!$D$1:$L$1,1))+1,FALSE)),"")</f>
        <v/>
      </c>
      <c r="AJ182" s="104" t="str">
        <f>IFERROR('BMP P Tracking Table'!$AI182*'BMP P Tracking Table'!$AE182,"")</f>
        <v/>
      </c>
      <c r="AK182" s="65"/>
      <c r="AL182" s="98"/>
      <c r="AM182" s="98"/>
      <c r="AN182" s="64">
        <v>1</v>
      </c>
      <c r="AO182" s="102" t="str">
        <f t="shared" si="33"/>
        <v/>
      </c>
      <c r="AP182" s="98"/>
      <c r="AQ182" s="98"/>
      <c r="AR182" s="98"/>
      <c r="AS182" s="98"/>
      <c r="AT182" s="98"/>
      <c r="AU182" s="98"/>
      <c r="AV182" s="98"/>
      <c r="AW182" s="65"/>
      <c r="AX182" s="99"/>
      <c r="AY182" s="99"/>
      <c r="AZ182" s="104" t="str">
        <f>IF('BMP P Tracking Table'!$AL182="Yes",IF('BMP P Tracking Table'!$AM182="No",'BMP P Tracking Table'!$V182*VLOOKUP('BMP P Tracking Table'!$R182,'Loading Rates'!$B$1:$L$24,4,FALSE)+IF('BMP P Tracking Table'!$W182="By HSG",'BMP P Tracking Table'!$X182*VLOOKUP('BMP P Tracking Table'!$R182,'Loading Rates'!$B$1:$L$24,6,FALSE)+'BMP P Tracking Table'!$Y182*VLOOKUP('BMP P Tracking Table'!$R182,'Loading Rates'!$B$1:$L$24,7,FALSE)+'BMP P Tracking Table'!$Z182*VLOOKUP('BMP P Tracking Table'!$R182,'Loading Rates'!$B$1:$L$24,8,FALSE)+'BMP P Tracking Table'!$AA182*VLOOKUP('BMP P Tracking Table'!$R182,'Loading Rates'!$B$1:$L$24,9,FALSE),'BMP P Tracking Table'!$AB182*VLOOKUP('BMP P Tracking Table'!$R182,'Loading Rates'!$B$1:$L$24,10,FALSE)),'BMP P Tracking Table'!$AP182*VLOOKUP('BMP P Tracking Table'!$R182,'Loading Rates'!$B$1:$L$24,4,FALSE)+IF('BMP P Tracking Table'!$AQ182="By HSG",'BMP P Tracking Table'!$AR182*VLOOKUP('BMP P Tracking Table'!$R182,'Loading Rates'!$B$1:$L$24,6,FALSE)+'BMP P Tracking Table'!$AS182*VLOOKUP('BMP P Tracking Table'!$R182,'Loading Rates'!$B$1:$L$24,7,FALSE)+'BMP P Tracking Table'!$AT182*VLOOKUP('BMP P Tracking Table'!$R182,'Loading Rates'!$B$1:$L$24,8,FALSE)+'BMP P Tracking Table'!$AU182*VLOOKUP('BMP P Tracking Table'!$R182,'Loading Rates'!$B$1:$L$24,9,FALSE),'BMP P Tracking Table'!$AV182*VLOOKUP('BMP P Tracking Table'!$R182,'Loading Rates'!$B$1:$L$24,10,FALSE))),"")</f>
        <v/>
      </c>
      <c r="BA182" s="104" t="str">
        <f>IFERROR(IF('BMP P Tracking Table'!$AM182="Yes",MIN(2,IF('BMP P Tracking Table'!$AQ182="Total Pervious",(-(3630*'BMP P Tracking Table'!$AP182+20.691*'BMP P Tracking Table'!$AV182)+SQRT((3630*'BMP P Tracking Table'!$AP182+20.691*'BMP P Tracking Table'!$AV182)^2-(4*(996.798*'BMP P Tracking Table'!$AV182)*-'BMP P Tracking Table'!$AX182)))/(2*(996.798*'BMP P Tracking Table'!$AV182)),IF(SUM('BMP P Tracking Table'!$AR182:$AU182)=0,'BMP P Tracking Table'!$AV182/(-3630*'BMP P Tracking Table'!$AP182),(-(3630*'BMP P Tracking Table'!$AP182+20.691*'BMP P Tracking Table'!$AU182-216.711*'BMP P Tracking Table'!$AT182-83.853*'BMP P Tracking Table'!$AS182-42.834*'BMP P Tracking Table'!$AR182)+SQRT((3630*'BMP P Tracking Table'!$AP182+20.691*'BMP P Tracking Table'!$AU182-216.711*'BMP P Tracking Table'!$AT182-83.853*'BMP P Tracking Table'!$AS182-42.834*'BMP P Tracking Table'!$AR182)^2-(4*(149.919*'BMP P Tracking Table'!$AR182+236.676*'BMP P Tracking Table'!$AS182+726*'BMP P Tracking Table'!$AT182+996.798*'BMP P Tracking Table'!$AU182)*-'BMP P Tracking Table'!$AX182)))/(2*(149.919*'BMP P Tracking Table'!$AR182+236.676*'BMP P Tracking Table'!$AS182+726*'BMP P Tracking Table'!$AT182+996.798*'BMP P Tracking Table'!$AU182))))),MIN(2,IF('BMP P Tracking Table'!$AQ182="Total Pervious",(-(3630*'BMP P Tracking Table'!$V182+20.691*'BMP P Tracking Table'!$AB182)+SQRT((3630*'BMP P Tracking Table'!$V182+20.691*'BMP P Tracking Table'!$AB182)^2-(4*(996.798*'BMP P Tracking Table'!$AB182)*-'BMP P Tracking Table'!$AX182)))/(2*(996.798*'BMP P Tracking Table'!$AB182)),IF(SUM('BMP P Tracking Table'!$X182:$AA182)=0,'BMP P Tracking Table'!$AX182/(-3630*'BMP P Tracking Table'!$V182),(-(3630*'BMP P Tracking Table'!$V182+20.691*'BMP P Tracking Table'!$AA182-216.711*'BMP P Tracking Table'!$Z182-83.853*'BMP P Tracking Table'!$Y182-42.834*'BMP P Tracking Table'!$X182)+SQRT((3630*'BMP P Tracking Table'!$V182+20.691*'BMP P Tracking Table'!$AA182-216.711*'BMP P Tracking Table'!$Z182-83.853*'BMP P Tracking Table'!$Y182-42.834*'BMP P Tracking Table'!$X182)^2-(4*(149.919*'BMP P Tracking Table'!$X182+236.676*'BMP P Tracking Table'!$Y182+726*'BMP P Tracking Table'!$Z182+996.798*'BMP P Tracking Table'!$AA182)*-'BMP P Tracking Table'!$AX182)))/(2*(149.919*'BMP P Tracking Table'!$X182+236.676*'BMP P Tracking Table'!$Y182+726*'BMP P Tracking Table'!$Z182+996.798*'BMP P Tracking Table'!$AA182)))))),"")</f>
        <v/>
      </c>
      <c r="BB182" s="102" t="str">
        <f>IFERROR((VLOOKUP(CONCATENATE('BMP P Tracking Table'!$AW182," ",'BMP P Tracking Table'!$AY182),'Performance Curves'!$C$1:$L$46,_xlfn.SINGLE(MATCH('BMP P Tracking Table'!$BA182,'Performance Curves'!$D$1:$L$1,1))+2,FALSE)-VLOOKUP(CONCATENATE('BMP P Tracking Table'!$AW182," ",'BMP P Tracking Table'!$AY182),'Performance Curves'!$C$1:$L$46,_xlfn.SINGLE(MATCH('BMP P Tracking Table'!$BA182,'Performance Curves'!$D$1:$L$1,1))+1,FALSE)),"")</f>
        <v/>
      </c>
      <c r="BC182" s="102" t="str">
        <f>IFERROR(('BMP P Tracking Table'!$BA182-INDEX('Performance Curves'!$D$1:$L$1,1,MATCH('BMP P Tracking Table'!$BA182,'Performance Curves'!$D$1:$L$1,1)))/(INDEX('Performance Curves'!$D$1:$L$1,1,MATCH('BMP P Tracking Table'!$BA182,'Performance Curves'!$D$1:$L$1,1)+1)-INDEX('Performance Curves'!$D$1:$L$1,1,MATCH('BMP P Tracking Table'!$BA182,'Performance Curves'!$D$1:$L$1,1))),"")</f>
        <v/>
      </c>
      <c r="BD182" s="103" t="str" cm="1">
        <f t="array" ref="BD182">IFERROR(IF('BMP P Tracking Table'!$BA182=2,VLOOKUP(CONCATENATE('BMP P Tracking Table'!$AW182," ",'BMP P Tracking Table'!$AY182),'Performance Curves'!$C$1:$L$44,_xlfn.SINGLE(MATCH('BMP P Tracking Table'!$BA182,'Performance Curves'!$D$1:$L$1,1))+1,FALSE),'BMP P Tracking Table'!$BB182*'BMP P Tracking Table'!$BC182+VLOOKUP(CONCATENATE('BMP P Tracking Table'!$AW182," ",'BMP P Tracking Table'!$AY182),'Performance Curves'!$C$1:$L$44,_xlfn.SINGLE(MATCH('BMP P Tracking Table'!$BA182,'Performance Curves'!$D$1:$L$1,1))+1,FALSE)),"")</f>
        <v/>
      </c>
      <c r="BE182" s="104" t="str">
        <f>IFERROR('BMP P Tracking Table'!$BD182*'BMP P Tracking Table'!$AZ182,"")</f>
        <v/>
      </c>
      <c r="BF182" s="98"/>
      <c r="BG182" s="37">
        <f t="shared" si="34"/>
        <v>0</v>
      </c>
    </row>
    <row r="183" spans="2:59" s="36" customFormat="1">
      <c r="B183" s="65"/>
      <c r="C183" s="65"/>
      <c r="D183" s="65"/>
      <c r="E183" s="65"/>
      <c r="F183" s="94"/>
      <c r="G183" s="94"/>
      <c r="H183" s="65"/>
      <c r="I183" s="65"/>
      <c r="J183" s="65"/>
      <c r="K183" s="95"/>
      <c r="L183" s="65"/>
      <c r="M183" s="65"/>
      <c r="N183" s="65"/>
      <c r="O183" s="65"/>
      <c r="P183" s="65"/>
      <c r="Q183" s="65"/>
      <c r="R183" s="65" t="str">
        <f>IFERROR(VLOOKUP('BMP P Tracking Table'!$Q183,Dropdowns!$C$2:$E$15,3,FALSE),"")</f>
        <v/>
      </c>
      <c r="S183" s="65" t="str">
        <f>IFERROR(VLOOKUP('BMP P Tracking Table'!$R183,Dropdowns!$Q$3:$R$23,2,FALSE),"")</f>
        <v/>
      </c>
      <c r="T183" s="65"/>
      <c r="U183" s="65"/>
      <c r="V183" s="65"/>
      <c r="W183" s="65"/>
      <c r="X183" s="65"/>
      <c r="Y183" s="65"/>
      <c r="Z183" s="65"/>
      <c r="AA183" s="65"/>
      <c r="AB183" s="65"/>
      <c r="AC183" s="97"/>
      <c r="AD183" s="65"/>
      <c r="AE183" s="104" t="str">
        <f>IFERROR('BMP P Tracking Table'!$V183*VLOOKUP('BMP P Tracking Table'!$R183,'Loading Rates'!$B$1:$L$24,4,FALSE)+IF('BMP P Tracking Table'!$W183="By HSG",'BMP P Tracking Table'!$X183*VLOOKUP('BMP P Tracking Table'!$R183,'Loading Rates'!$B$1:$L$24,6,FALSE)+'BMP P Tracking Table'!$Y183*VLOOKUP('BMP P Tracking Table'!$R183,'Loading Rates'!$B$1:$L$24,7,FALSE)+'BMP P Tracking Table'!$Z183*VLOOKUP('BMP P Tracking Table'!$R183,'Loading Rates'!$B$1:$L$24,8,FALSE)+'BMP P Tracking Table'!$AA183*VLOOKUP('BMP P Tracking Table'!$R183,'Loading Rates'!$B$1:$L$24,9,FALSE),'BMP P Tracking Table'!$AB183*VLOOKUP('BMP P Tracking Table'!$R183,'Loading Rates'!$B$1:$L$24,10,FALSE)),"")</f>
        <v/>
      </c>
      <c r="AF183" s="104" t="str">
        <f>IFERROR(MIN(2,IF('BMP P Tracking Table'!$W183="Total Pervious",(-(3630*'BMP P Tracking Table'!$V183+20.691*'BMP P Tracking Table'!$AB183)+SQRT((3630*'BMP P Tracking Table'!$V183+20.691*'BMP P Tracking Table'!$AB183)^2-(4*(996.798*'BMP P Tracking Table'!$AB183)*-'BMP P Tracking Table'!$AC183)))/(2*(996.798*'BMP P Tracking Table'!$AB183)),IF(SUM('BMP P Tracking Table'!$X183:$AA183)=0,'BMP P Tracking Table'!$AC183/(-3630*'BMP P Tracking Table'!$V183),(-(3630*'BMP P Tracking Table'!$V183+20.691*'BMP P Tracking Table'!$AA183-216.711*'BMP P Tracking Table'!$Z183-83.853*'BMP P Tracking Table'!$Y183-42.834*'BMP P Tracking Table'!$X183)+SQRT((3630*'BMP P Tracking Table'!$V183+20.691*'BMP P Tracking Table'!$AA183-216.711*'BMP P Tracking Table'!$Z183-83.853*'BMP P Tracking Table'!$Y183-42.834*'BMP P Tracking Table'!$X183)^2-(4*(149.919*'BMP P Tracking Table'!$X183+236.676*'BMP P Tracking Table'!$Y183+726*'BMP P Tracking Table'!$Z183+996.798*'BMP P Tracking Table'!$AA183)*-'BMP P Tracking Table'!$AC183)))/(2*(149.919*'BMP P Tracking Table'!$X183+236.676*'BMP P Tracking Table'!$Y183+726*'BMP P Tracking Table'!$Z183+996.798*'BMP P Tracking Table'!$AA183))))),"")</f>
        <v/>
      </c>
      <c r="AG183" s="104" t="str">
        <f>IFERROR((VLOOKUP(CONCATENATE('BMP P Tracking Table'!$U183," ",'BMP P Tracking Table'!$AD183),'Performance Curves'!$C$1:$L$46,_xlfn.SINGLE(MATCH('BMP P Tracking Table'!$AF183,'Performance Curves'!$D$1:$L$1,1))+2,FALSE)-VLOOKUP(CONCATENATE('BMP P Tracking Table'!$U183," ",'BMP P Tracking Table'!$AD183),'Performance Curves'!$C$1:$L$46,_xlfn.SINGLE(MATCH('BMP P Tracking Table'!$AF183,'Performance Curves'!$D$1:$L$1,1))+1,FALSE)),"")</f>
        <v/>
      </c>
      <c r="AH183" s="104" t="str">
        <f>IFERROR(('BMP P Tracking Table'!$AF183-INDEX('Performance Curves'!$D$1:$L$1,1,MATCH('BMP P Tracking Table'!$AF183,'Performance Curves'!$D$1:$L$1,1)))/(INDEX('Performance Curves'!$D$1:$L$1,1,MATCH('BMP P Tracking Table'!$AF183,'Performance Curves'!$D$1:$L$1,1)+1)-INDEX('Performance Curves'!$D$1:$L$1,1,MATCH('BMP P Tracking Table'!$AF183,'Performance Curves'!$D$1:$L$1,1))),"")</f>
        <v/>
      </c>
      <c r="AI183" s="103" t="str">
        <f>IFERROR(IF('BMP P Tracking Table'!$AF183=2,VLOOKUP(CONCATENATE('BMP P Tracking Table'!$U183," ",'BMP P Tracking Table'!$AD183),'Performance Curves'!$C$1:$L$46,_xlfn.SINGLE(MATCH('BMP P Tracking Table'!$AF183,'Performance Curves'!$D$1:$L$1,1))+1,FALSE),'BMP P Tracking Table'!$AG183*'BMP P Tracking Table'!$AH183+VLOOKUP(CONCATENATE('BMP P Tracking Table'!$U183," ",'BMP P Tracking Table'!$AD183),'Performance Curves'!$C$1:$L$46,_xlfn.SINGLE(MATCH('BMP P Tracking Table'!$AF183,'Performance Curves'!$D$1:$L$1,1))+1,FALSE)),"")</f>
        <v/>
      </c>
      <c r="AJ183" s="104" t="str">
        <f>IFERROR('BMP P Tracking Table'!$AI183*'BMP P Tracking Table'!$AE183,"")</f>
        <v/>
      </c>
      <c r="AK183" s="65"/>
      <c r="AL183" s="98"/>
      <c r="AM183" s="98"/>
      <c r="AN183" s="64">
        <v>1</v>
      </c>
      <c r="AO183" s="102" t="str">
        <f t="shared" si="33"/>
        <v/>
      </c>
      <c r="AP183" s="98"/>
      <c r="AQ183" s="98"/>
      <c r="AR183" s="98"/>
      <c r="AS183" s="98"/>
      <c r="AT183" s="98"/>
      <c r="AU183" s="98"/>
      <c r="AV183" s="98"/>
      <c r="AW183" s="65"/>
      <c r="AX183" s="99"/>
      <c r="AY183" s="99"/>
      <c r="AZ183" s="104" t="str">
        <f>IF('BMP P Tracking Table'!$AL183="Yes",IF('BMP P Tracking Table'!$AM183="No",'BMP P Tracking Table'!$V183*VLOOKUP('BMP P Tracking Table'!$R183,'Loading Rates'!$B$1:$L$24,4,FALSE)+IF('BMP P Tracking Table'!$W183="By HSG",'BMP P Tracking Table'!$X183*VLOOKUP('BMP P Tracking Table'!$R183,'Loading Rates'!$B$1:$L$24,6,FALSE)+'BMP P Tracking Table'!$Y183*VLOOKUP('BMP P Tracking Table'!$R183,'Loading Rates'!$B$1:$L$24,7,FALSE)+'BMP P Tracking Table'!$Z183*VLOOKUP('BMP P Tracking Table'!$R183,'Loading Rates'!$B$1:$L$24,8,FALSE)+'BMP P Tracking Table'!$AA183*VLOOKUP('BMP P Tracking Table'!$R183,'Loading Rates'!$B$1:$L$24,9,FALSE),'BMP P Tracking Table'!$AB183*VLOOKUP('BMP P Tracking Table'!$R183,'Loading Rates'!$B$1:$L$24,10,FALSE)),'BMP P Tracking Table'!$AP183*VLOOKUP('BMP P Tracking Table'!$R183,'Loading Rates'!$B$1:$L$24,4,FALSE)+IF('BMP P Tracking Table'!$AQ183="By HSG",'BMP P Tracking Table'!$AR183*VLOOKUP('BMP P Tracking Table'!$R183,'Loading Rates'!$B$1:$L$24,6,FALSE)+'BMP P Tracking Table'!$AS183*VLOOKUP('BMP P Tracking Table'!$R183,'Loading Rates'!$B$1:$L$24,7,FALSE)+'BMP P Tracking Table'!$AT183*VLOOKUP('BMP P Tracking Table'!$R183,'Loading Rates'!$B$1:$L$24,8,FALSE)+'BMP P Tracking Table'!$AU183*VLOOKUP('BMP P Tracking Table'!$R183,'Loading Rates'!$B$1:$L$24,9,FALSE),'BMP P Tracking Table'!$AV183*VLOOKUP('BMP P Tracking Table'!$R183,'Loading Rates'!$B$1:$L$24,10,FALSE))),"")</f>
        <v/>
      </c>
      <c r="BA183" s="104" t="str">
        <f>IFERROR(IF('BMP P Tracking Table'!$AM183="Yes",MIN(2,IF('BMP P Tracking Table'!$AQ183="Total Pervious",(-(3630*'BMP P Tracking Table'!$AP183+20.691*'BMP P Tracking Table'!$AV183)+SQRT((3630*'BMP P Tracking Table'!$AP183+20.691*'BMP P Tracking Table'!$AV183)^2-(4*(996.798*'BMP P Tracking Table'!$AV183)*-'BMP P Tracking Table'!$AX183)))/(2*(996.798*'BMP P Tracking Table'!$AV183)),IF(SUM('BMP P Tracking Table'!$AR183:$AU183)=0,'BMP P Tracking Table'!$AV183/(-3630*'BMP P Tracking Table'!$AP183),(-(3630*'BMP P Tracking Table'!$AP183+20.691*'BMP P Tracking Table'!$AU183-216.711*'BMP P Tracking Table'!$AT183-83.853*'BMP P Tracking Table'!$AS183-42.834*'BMP P Tracking Table'!$AR183)+SQRT((3630*'BMP P Tracking Table'!$AP183+20.691*'BMP P Tracking Table'!$AU183-216.711*'BMP P Tracking Table'!$AT183-83.853*'BMP P Tracking Table'!$AS183-42.834*'BMP P Tracking Table'!$AR183)^2-(4*(149.919*'BMP P Tracking Table'!$AR183+236.676*'BMP P Tracking Table'!$AS183+726*'BMP P Tracking Table'!$AT183+996.798*'BMP P Tracking Table'!$AU183)*-'BMP P Tracking Table'!$AX183)))/(2*(149.919*'BMP P Tracking Table'!$AR183+236.676*'BMP P Tracking Table'!$AS183+726*'BMP P Tracking Table'!$AT183+996.798*'BMP P Tracking Table'!$AU183))))),MIN(2,IF('BMP P Tracking Table'!$AQ183="Total Pervious",(-(3630*'BMP P Tracking Table'!$V183+20.691*'BMP P Tracking Table'!$AB183)+SQRT((3630*'BMP P Tracking Table'!$V183+20.691*'BMP P Tracking Table'!$AB183)^2-(4*(996.798*'BMP P Tracking Table'!$AB183)*-'BMP P Tracking Table'!$AX183)))/(2*(996.798*'BMP P Tracking Table'!$AB183)),IF(SUM('BMP P Tracking Table'!$X183:$AA183)=0,'BMP P Tracking Table'!$AX183/(-3630*'BMP P Tracking Table'!$V183),(-(3630*'BMP P Tracking Table'!$V183+20.691*'BMP P Tracking Table'!$AA183-216.711*'BMP P Tracking Table'!$Z183-83.853*'BMP P Tracking Table'!$Y183-42.834*'BMP P Tracking Table'!$X183)+SQRT((3630*'BMP P Tracking Table'!$V183+20.691*'BMP P Tracking Table'!$AA183-216.711*'BMP P Tracking Table'!$Z183-83.853*'BMP P Tracking Table'!$Y183-42.834*'BMP P Tracking Table'!$X183)^2-(4*(149.919*'BMP P Tracking Table'!$X183+236.676*'BMP P Tracking Table'!$Y183+726*'BMP P Tracking Table'!$Z183+996.798*'BMP P Tracking Table'!$AA183)*-'BMP P Tracking Table'!$AX183)))/(2*(149.919*'BMP P Tracking Table'!$X183+236.676*'BMP P Tracking Table'!$Y183+726*'BMP P Tracking Table'!$Z183+996.798*'BMP P Tracking Table'!$AA183)))))),"")</f>
        <v/>
      </c>
      <c r="BB183" s="102" t="str">
        <f>IFERROR((VLOOKUP(CONCATENATE('BMP P Tracking Table'!$AW183," ",'BMP P Tracking Table'!$AY183),'Performance Curves'!$C$1:$L$46,_xlfn.SINGLE(MATCH('BMP P Tracking Table'!$BA183,'Performance Curves'!$D$1:$L$1,1))+2,FALSE)-VLOOKUP(CONCATENATE('BMP P Tracking Table'!$AW183," ",'BMP P Tracking Table'!$AY183),'Performance Curves'!$C$1:$L$46,_xlfn.SINGLE(MATCH('BMP P Tracking Table'!$BA183,'Performance Curves'!$D$1:$L$1,1))+1,FALSE)),"")</f>
        <v/>
      </c>
      <c r="BC183" s="102" t="str">
        <f>IFERROR(('BMP P Tracking Table'!$BA183-INDEX('Performance Curves'!$D$1:$L$1,1,MATCH('BMP P Tracking Table'!$BA183,'Performance Curves'!$D$1:$L$1,1)))/(INDEX('Performance Curves'!$D$1:$L$1,1,MATCH('BMP P Tracking Table'!$BA183,'Performance Curves'!$D$1:$L$1,1)+1)-INDEX('Performance Curves'!$D$1:$L$1,1,MATCH('BMP P Tracking Table'!$BA183,'Performance Curves'!$D$1:$L$1,1))),"")</f>
        <v/>
      </c>
      <c r="BD183" s="103" t="str" cm="1">
        <f t="array" ref="BD183">IFERROR(IF('BMP P Tracking Table'!$BA183=2,VLOOKUP(CONCATENATE('BMP P Tracking Table'!$AW183," ",'BMP P Tracking Table'!$AY183),'Performance Curves'!$C$1:$L$44,_xlfn.SINGLE(MATCH('BMP P Tracking Table'!$BA183,'Performance Curves'!$D$1:$L$1,1))+1,FALSE),'BMP P Tracking Table'!$BB183*'BMP P Tracking Table'!$BC183+VLOOKUP(CONCATENATE('BMP P Tracking Table'!$AW183," ",'BMP P Tracking Table'!$AY183),'Performance Curves'!$C$1:$L$44,_xlfn.SINGLE(MATCH('BMP P Tracking Table'!$BA183,'Performance Curves'!$D$1:$L$1,1))+1,FALSE)),"")</f>
        <v/>
      </c>
      <c r="BE183" s="104" t="str">
        <f>IFERROR('BMP P Tracking Table'!$BD183*'BMP P Tracking Table'!$AZ183,"")</f>
        <v/>
      </c>
      <c r="BF183" s="98"/>
      <c r="BG183" s="37">
        <f t="shared" si="34"/>
        <v>0</v>
      </c>
    </row>
    <row r="184" spans="2:59" s="36" customFormat="1">
      <c r="B184" s="65"/>
      <c r="C184" s="65"/>
      <c r="D184" s="65"/>
      <c r="E184" s="65"/>
      <c r="F184" s="94"/>
      <c r="G184" s="94"/>
      <c r="H184" s="65"/>
      <c r="I184" s="65"/>
      <c r="J184" s="65"/>
      <c r="K184" s="95"/>
      <c r="L184" s="65"/>
      <c r="M184" s="65"/>
      <c r="N184" s="65"/>
      <c r="O184" s="65"/>
      <c r="P184" s="65"/>
      <c r="Q184" s="65"/>
      <c r="R184" s="65" t="str">
        <f>IFERROR(VLOOKUP('BMP P Tracking Table'!$Q184,Dropdowns!$C$2:$E$15,3,FALSE),"")</f>
        <v/>
      </c>
      <c r="S184" s="65" t="str">
        <f>IFERROR(VLOOKUP('BMP P Tracking Table'!$R184,Dropdowns!$Q$3:$R$23,2,FALSE),"")</f>
        <v/>
      </c>
      <c r="T184" s="65"/>
      <c r="U184" s="65"/>
      <c r="V184" s="65"/>
      <c r="W184" s="65"/>
      <c r="X184" s="65"/>
      <c r="Y184" s="65"/>
      <c r="Z184" s="65"/>
      <c r="AA184" s="65"/>
      <c r="AB184" s="65"/>
      <c r="AC184" s="97"/>
      <c r="AD184" s="65"/>
      <c r="AE184" s="104" t="str">
        <f>IFERROR('BMP P Tracking Table'!$V184*VLOOKUP('BMP P Tracking Table'!$R184,'Loading Rates'!$B$1:$L$24,4,FALSE)+IF('BMP P Tracking Table'!$W184="By HSG",'BMP P Tracking Table'!$X184*VLOOKUP('BMP P Tracking Table'!$R184,'Loading Rates'!$B$1:$L$24,6,FALSE)+'BMP P Tracking Table'!$Y184*VLOOKUP('BMP P Tracking Table'!$R184,'Loading Rates'!$B$1:$L$24,7,FALSE)+'BMP P Tracking Table'!$Z184*VLOOKUP('BMP P Tracking Table'!$R184,'Loading Rates'!$B$1:$L$24,8,FALSE)+'BMP P Tracking Table'!$AA184*VLOOKUP('BMP P Tracking Table'!$R184,'Loading Rates'!$B$1:$L$24,9,FALSE),'BMP P Tracking Table'!$AB184*VLOOKUP('BMP P Tracking Table'!$R184,'Loading Rates'!$B$1:$L$24,10,FALSE)),"")</f>
        <v/>
      </c>
      <c r="AF184" s="104" t="str">
        <f>IFERROR(MIN(2,IF('BMP P Tracking Table'!$W184="Total Pervious",(-(3630*'BMP P Tracking Table'!$V184+20.691*'BMP P Tracking Table'!$AB184)+SQRT((3630*'BMP P Tracking Table'!$V184+20.691*'BMP P Tracking Table'!$AB184)^2-(4*(996.798*'BMP P Tracking Table'!$AB184)*-'BMP P Tracking Table'!$AC184)))/(2*(996.798*'BMP P Tracking Table'!$AB184)),IF(SUM('BMP P Tracking Table'!$X184:$AA184)=0,'BMP P Tracking Table'!$AC184/(-3630*'BMP P Tracking Table'!$V184),(-(3630*'BMP P Tracking Table'!$V184+20.691*'BMP P Tracking Table'!$AA184-216.711*'BMP P Tracking Table'!$Z184-83.853*'BMP P Tracking Table'!$Y184-42.834*'BMP P Tracking Table'!$X184)+SQRT((3630*'BMP P Tracking Table'!$V184+20.691*'BMP P Tracking Table'!$AA184-216.711*'BMP P Tracking Table'!$Z184-83.853*'BMP P Tracking Table'!$Y184-42.834*'BMP P Tracking Table'!$X184)^2-(4*(149.919*'BMP P Tracking Table'!$X184+236.676*'BMP P Tracking Table'!$Y184+726*'BMP P Tracking Table'!$Z184+996.798*'BMP P Tracking Table'!$AA184)*-'BMP P Tracking Table'!$AC184)))/(2*(149.919*'BMP P Tracking Table'!$X184+236.676*'BMP P Tracking Table'!$Y184+726*'BMP P Tracking Table'!$Z184+996.798*'BMP P Tracking Table'!$AA184))))),"")</f>
        <v/>
      </c>
      <c r="AG184" s="104" t="str">
        <f>IFERROR((VLOOKUP(CONCATENATE('BMP P Tracking Table'!$U184," ",'BMP P Tracking Table'!$AD184),'Performance Curves'!$C$1:$L$46,_xlfn.SINGLE(MATCH('BMP P Tracking Table'!$AF184,'Performance Curves'!$D$1:$L$1,1))+2,FALSE)-VLOOKUP(CONCATENATE('BMP P Tracking Table'!$U184," ",'BMP P Tracking Table'!$AD184),'Performance Curves'!$C$1:$L$46,_xlfn.SINGLE(MATCH('BMP P Tracking Table'!$AF184,'Performance Curves'!$D$1:$L$1,1))+1,FALSE)),"")</f>
        <v/>
      </c>
      <c r="AH184" s="104" t="str">
        <f>IFERROR(('BMP P Tracking Table'!$AF184-INDEX('Performance Curves'!$D$1:$L$1,1,MATCH('BMP P Tracking Table'!$AF184,'Performance Curves'!$D$1:$L$1,1)))/(INDEX('Performance Curves'!$D$1:$L$1,1,MATCH('BMP P Tracking Table'!$AF184,'Performance Curves'!$D$1:$L$1,1)+1)-INDEX('Performance Curves'!$D$1:$L$1,1,MATCH('BMP P Tracking Table'!$AF184,'Performance Curves'!$D$1:$L$1,1))),"")</f>
        <v/>
      </c>
      <c r="AI184" s="103" t="str">
        <f>IFERROR(IF('BMP P Tracking Table'!$AF184=2,VLOOKUP(CONCATENATE('BMP P Tracking Table'!$U184," ",'BMP P Tracking Table'!$AD184),'Performance Curves'!$C$1:$L$46,_xlfn.SINGLE(MATCH('BMP P Tracking Table'!$AF184,'Performance Curves'!$D$1:$L$1,1))+1,FALSE),'BMP P Tracking Table'!$AG184*'BMP P Tracking Table'!$AH184+VLOOKUP(CONCATENATE('BMP P Tracking Table'!$U184," ",'BMP P Tracking Table'!$AD184),'Performance Curves'!$C$1:$L$46,_xlfn.SINGLE(MATCH('BMP P Tracking Table'!$AF184,'Performance Curves'!$D$1:$L$1,1))+1,FALSE)),"")</f>
        <v/>
      </c>
      <c r="AJ184" s="104" t="str">
        <f>IFERROR('BMP P Tracking Table'!$AI184*'BMP P Tracking Table'!$AE184,"")</f>
        <v/>
      </c>
      <c r="AK184" s="65"/>
      <c r="AL184" s="98"/>
      <c r="AM184" s="98"/>
      <c r="AN184" s="64">
        <v>1</v>
      </c>
      <c r="AO184" s="102" t="str">
        <f t="shared" si="33"/>
        <v/>
      </c>
      <c r="AP184" s="98"/>
      <c r="AQ184" s="98"/>
      <c r="AR184" s="98"/>
      <c r="AS184" s="98"/>
      <c r="AT184" s="98"/>
      <c r="AU184" s="98"/>
      <c r="AV184" s="98"/>
      <c r="AW184" s="65"/>
      <c r="AX184" s="99"/>
      <c r="AY184" s="99"/>
      <c r="AZ184" s="104" t="str">
        <f>IF('BMP P Tracking Table'!$AL184="Yes",IF('BMP P Tracking Table'!$AM184="No",'BMP P Tracking Table'!$V184*VLOOKUP('BMP P Tracking Table'!$R184,'Loading Rates'!$B$1:$L$24,4,FALSE)+IF('BMP P Tracking Table'!$W184="By HSG",'BMP P Tracking Table'!$X184*VLOOKUP('BMP P Tracking Table'!$R184,'Loading Rates'!$B$1:$L$24,6,FALSE)+'BMP P Tracking Table'!$Y184*VLOOKUP('BMP P Tracking Table'!$R184,'Loading Rates'!$B$1:$L$24,7,FALSE)+'BMP P Tracking Table'!$Z184*VLOOKUP('BMP P Tracking Table'!$R184,'Loading Rates'!$B$1:$L$24,8,FALSE)+'BMP P Tracking Table'!$AA184*VLOOKUP('BMP P Tracking Table'!$R184,'Loading Rates'!$B$1:$L$24,9,FALSE),'BMP P Tracking Table'!$AB184*VLOOKUP('BMP P Tracking Table'!$R184,'Loading Rates'!$B$1:$L$24,10,FALSE)),'BMP P Tracking Table'!$AP184*VLOOKUP('BMP P Tracking Table'!$R184,'Loading Rates'!$B$1:$L$24,4,FALSE)+IF('BMP P Tracking Table'!$AQ184="By HSG",'BMP P Tracking Table'!$AR184*VLOOKUP('BMP P Tracking Table'!$R184,'Loading Rates'!$B$1:$L$24,6,FALSE)+'BMP P Tracking Table'!$AS184*VLOOKUP('BMP P Tracking Table'!$R184,'Loading Rates'!$B$1:$L$24,7,FALSE)+'BMP P Tracking Table'!$AT184*VLOOKUP('BMP P Tracking Table'!$R184,'Loading Rates'!$B$1:$L$24,8,FALSE)+'BMP P Tracking Table'!$AU184*VLOOKUP('BMP P Tracking Table'!$R184,'Loading Rates'!$B$1:$L$24,9,FALSE),'BMP P Tracking Table'!$AV184*VLOOKUP('BMP P Tracking Table'!$R184,'Loading Rates'!$B$1:$L$24,10,FALSE))),"")</f>
        <v/>
      </c>
      <c r="BA184" s="104" t="str">
        <f>IFERROR(IF('BMP P Tracking Table'!$AM184="Yes",MIN(2,IF('BMP P Tracking Table'!$AQ184="Total Pervious",(-(3630*'BMP P Tracking Table'!$AP184+20.691*'BMP P Tracking Table'!$AV184)+SQRT((3630*'BMP P Tracking Table'!$AP184+20.691*'BMP P Tracking Table'!$AV184)^2-(4*(996.798*'BMP P Tracking Table'!$AV184)*-'BMP P Tracking Table'!$AX184)))/(2*(996.798*'BMP P Tracking Table'!$AV184)),IF(SUM('BMP P Tracking Table'!$AR184:$AU184)=0,'BMP P Tracking Table'!$AV184/(-3630*'BMP P Tracking Table'!$AP184),(-(3630*'BMP P Tracking Table'!$AP184+20.691*'BMP P Tracking Table'!$AU184-216.711*'BMP P Tracking Table'!$AT184-83.853*'BMP P Tracking Table'!$AS184-42.834*'BMP P Tracking Table'!$AR184)+SQRT((3630*'BMP P Tracking Table'!$AP184+20.691*'BMP P Tracking Table'!$AU184-216.711*'BMP P Tracking Table'!$AT184-83.853*'BMP P Tracking Table'!$AS184-42.834*'BMP P Tracking Table'!$AR184)^2-(4*(149.919*'BMP P Tracking Table'!$AR184+236.676*'BMP P Tracking Table'!$AS184+726*'BMP P Tracking Table'!$AT184+996.798*'BMP P Tracking Table'!$AU184)*-'BMP P Tracking Table'!$AX184)))/(2*(149.919*'BMP P Tracking Table'!$AR184+236.676*'BMP P Tracking Table'!$AS184+726*'BMP P Tracking Table'!$AT184+996.798*'BMP P Tracking Table'!$AU184))))),MIN(2,IF('BMP P Tracking Table'!$AQ184="Total Pervious",(-(3630*'BMP P Tracking Table'!$V184+20.691*'BMP P Tracking Table'!$AB184)+SQRT((3630*'BMP P Tracking Table'!$V184+20.691*'BMP P Tracking Table'!$AB184)^2-(4*(996.798*'BMP P Tracking Table'!$AB184)*-'BMP P Tracking Table'!$AX184)))/(2*(996.798*'BMP P Tracking Table'!$AB184)),IF(SUM('BMP P Tracking Table'!$X184:$AA184)=0,'BMP P Tracking Table'!$AX184/(-3630*'BMP P Tracking Table'!$V184),(-(3630*'BMP P Tracking Table'!$V184+20.691*'BMP P Tracking Table'!$AA184-216.711*'BMP P Tracking Table'!$Z184-83.853*'BMP P Tracking Table'!$Y184-42.834*'BMP P Tracking Table'!$X184)+SQRT((3630*'BMP P Tracking Table'!$V184+20.691*'BMP P Tracking Table'!$AA184-216.711*'BMP P Tracking Table'!$Z184-83.853*'BMP P Tracking Table'!$Y184-42.834*'BMP P Tracking Table'!$X184)^2-(4*(149.919*'BMP P Tracking Table'!$X184+236.676*'BMP P Tracking Table'!$Y184+726*'BMP P Tracking Table'!$Z184+996.798*'BMP P Tracking Table'!$AA184)*-'BMP P Tracking Table'!$AX184)))/(2*(149.919*'BMP P Tracking Table'!$X184+236.676*'BMP P Tracking Table'!$Y184+726*'BMP P Tracking Table'!$Z184+996.798*'BMP P Tracking Table'!$AA184)))))),"")</f>
        <v/>
      </c>
      <c r="BB184" s="102" t="str">
        <f>IFERROR((VLOOKUP(CONCATENATE('BMP P Tracking Table'!$AW184," ",'BMP P Tracking Table'!$AY184),'Performance Curves'!$C$1:$L$46,_xlfn.SINGLE(MATCH('BMP P Tracking Table'!$BA184,'Performance Curves'!$D$1:$L$1,1))+2,FALSE)-VLOOKUP(CONCATENATE('BMP P Tracking Table'!$AW184," ",'BMP P Tracking Table'!$AY184),'Performance Curves'!$C$1:$L$46,_xlfn.SINGLE(MATCH('BMP P Tracking Table'!$BA184,'Performance Curves'!$D$1:$L$1,1))+1,FALSE)),"")</f>
        <v/>
      </c>
      <c r="BC184" s="102" t="str">
        <f>IFERROR(('BMP P Tracking Table'!$BA184-INDEX('Performance Curves'!$D$1:$L$1,1,MATCH('BMP P Tracking Table'!$BA184,'Performance Curves'!$D$1:$L$1,1)))/(INDEX('Performance Curves'!$D$1:$L$1,1,MATCH('BMP P Tracking Table'!$BA184,'Performance Curves'!$D$1:$L$1,1)+1)-INDEX('Performance Curves'!$D$1:$L$1,1,MATCH('BMP P Tracking Table'!$BA184,'Performance Curves'!$D$1:$L$1,1))),"")</f>
        <v/>
      </c>
      <c r="BD184" s="103" t="str" cm="1">
        <f t="array" ref="BD184">IFERROR(IF('BMP P Tracking Table'!$BA184=2,VLOOKUP(CONCATENATE('BMP P Tracking Table'!$AW184," ",'BMP P Tracking Table'!$AY184),'Performance Curves'!$C$1:$L$44,_xlfn.SINGLE(MATCH('BMP P Tracking Table'!$BA184,'Performance Curves'!$D$1:$L$1,1))+1,FALSE),'BMP P Tracking Table'!$BB184*'BMP P Tracking Table'!$BC184+VLOOKUP(CONCATENATE('BMP P Tracking Table'!$AW184," ",'BMP P Tracking Table'!$AY184),'Performance Curves'!$C$1:$L$44,_xlfn.SINGLE(MATCH('BMP P Tracking Table'!$BA184,'Performance Curves'!$D$1:$L$1,1))+1,FALSE)),"")</f>
        <v/>
      </c>
      <c r="BE184" s="104" t="str">
        <f>IFERROR('BMP P Tracking Table'!$BD184*'BMP P Tracking Table'!$AZ184,"")</f>
        <v/>
      </c>
      <c r="BF184" s="98"/>
      <c r="BG184" s="37">
        <f t="shared" si="34"/>
        <v>0</v>
      </c>
    </row>
    <row r="185" spans="2:59" s="36" customFormat="1">
      <c r="B185" s="65"/>
      <c r="C185" s="65"/>
      <c r="D185" s="65"/>
      <c r="E185" s="65"/>
      <c r="F185" s="94"/>
      <c r="G185" s="94"/>
      <c r="H185" s="65"/>
      <c r="I185" s="65"/>
      <c r="J185" s="65"/>
      <c r="K185" s="95"/>
      <c r="L185" s="65"/>
      <c r="M185" s="65"/>
      <c r="N185" s="65"/>
      <c r="O185" s="65"/>
      <c r="P185" s="65"/>
      <c r="Q185" s="65"/>
      <c r="R185" s="65" t="str">
        <f>IFERROR(VLOOKUP('BMP P Tracking Table'!$Q185,Dropdowns!$C$2:$E$15,3,FALSE),"")</f>
        <v/>
      </c>
      <c r="S185" s="65" t="str">
        <f>IFERROR(VLOOKUP('BMP P Tracking Table'!$R185,Dropdowns!$Q$3:$R$23,2,FALSE),"")</f>
        <v/>
      </c>
      <c r="T185" s="65"/>
      <c r="U185" s="65"/>
      <c r="V185" s="65"/>
      <c r="W185" s="65"/>
      <c r="X185" s="65"/>
      <c r="Y185" s="65"/>
      <c r="Z185" s="65"/>
      <c r="AA185" s="65"/>
      <c r="AB185" s="65"/>
      <c r="AC185" s="97"/>
      <c r="AD185" s="65"/>
      <c r="AE185" s="104" t="str">
        <f>IFERROR('BMP P Tracking Table'!$V185*VLOOKUP('BMP P Tracking Table'!$R185,'Loading Rates'!$B$1:$L$24,4,FALSE)+IF('BMP P Tracking Table'!$W185="By HSG",'BMP P Tracking Table'!$X185*VLOOKUP('BMP P Tracking Table'!$R185,'Loading Rates'!$B$1:$L$24,6,FALSE)+'BMP P Tracking Table'!$Y185*VLOOKUP('BMP P Tracking Table'!$R185,'Loading Rates'!$B$1:$L$24,7,FALSE)+'BMP P Tracking Table'!$Z185*VLOOKUP('BMP P Tracking Table'!$R185,'Loading Rates'!$B$1:$L$24,8,FALSE)+'BMP P Tracking Table'!$AA185*VLOOKUP('BMP P Tracking Table'!$R185,'Loading Rates'!$B$1:$L$24,9,FALSE),'BMP P Tracking Table'!$AB185*VLOOKUP('BMP P Tracking Table'!$R185,'Loading Rates'!$B$1:$L$24,10,FALSE)),"")</f>
        <v/>
      </c>
      <c r="AF185" s="104" t="str">
        <f>IFERROR(MIN(2,IF('BMP P Tracking Table'!$W185="Total Pervious",(-(3630*'BMP P Tracking Table'!$V185+20.691*'BMP P Tracking Table'!$AB185)+SQRT((3630*'BMP P Tracking Table'!$V185+20.691*'BMP P Tracking Table'!$AB185)^2-(4*(996.798*'BMP P Tracking Table'!$AB185)*-'BMP P Tracking Table'!$AC185)))/(2*(996.798*'BMP P Tracking Table'!$AB185)),IF(SUM('BMP P Tracking Table'!$X185:$AA185)=0,'BMP P Tracking Table'!$AC185/(-3630*'BMP P Tracking Table'!$V185),(-(3630*'BMP P Tracking Table'!$V185+20.691*'BMP P Tracking Table'!$AA185-216.711*'BMP P Tracking Table'!$Z185-83.853*'BMP P Tracking Table'!$Y185-42.834*'BMP P Tracking Table'!$X185)+SQRT((3630*'BMP P Tracking Table'!$V185+20.691*'BMP P Tracking Table'!$AA185-216.711*'BMP P Tracking Table'!$Z185-83.853*'BMP P Tracking Table'!$Y185-42.834*'BMP P Tracking Table'!$X185)^2-(4*(149.919*'BMP P Tracking Table'!$X185+236.676*'BMP P Tracking Table'!$Y185+726*'BMP P Tracking Table'!$Z185+996.798*'BMP P Tracking Table'!$AA185)*-'BMP P Tracking Table'!$AC185)))/(2*(149.919*'BMP P Tracking Table'!$X185+236.676*'BMP P Tracking Table'!$Y185+726*'BMP P Tracking Table'!$Z185+996.798*'BMP P Tracking Table'!$AA185))))),"")</f>
        <v/>
      </c>
      <c r="AG185" s="104" t="str">
        <f>IFERROR((VLOOKUP(CONCATENATE('BMP P Tracking Table'!$U185," ",'BMP P Tracking Table'!$AD185),'Performance Curves'!$C$1:$L$46,_xlfn.SINGLE(MATCH('BMP P Tracking Table'!$AF185,'Performance Curves'!$D$1:$L$1,1))+2,FALSE)-VLOOKUP(CONCATENATE('BMP P Tracking Table'!$U185," ",'BMP P Tracking Table'!$AD185),'Performance Curves'!$C$1:$L$46,_xlfn.SINGLE(MATCH('BMP P Tracking Table'!$AF185,'Performance Curves'!$D$1:$L$1,1))+1,FALSE)),"")</f>
        <v/>
      </c>
      <c r="AH185" s="104" t="str">
        <f>IFERROR(('BMP P Tracking Table'!$AF185-INDEX('Performance Curves'!$D$1:$L$1,1,MATCH('BMP P Tracking Table'!$AF185,'Performance Curves'!$D$1:$L$1,1)))/(INDEX('Performance Curves'!$D$1:$L$1,1,MATCH('BMP P Tracking Table'!$AF185,'Performance Curves'!$D$1:$L$1,1)+1)-INDEX('Performance Curves'!$D$1:$L$1,1,MATCH('BMP P Tracking Table'!$AF185,'Performance Curves'!$D$1:$L$1,1))),"")</f>
        <v/>
      </c>
      <c r="AI185" s="103" t="str">
        <f>IFERROR(IF('BMP P Tracking Table'!$AF185=2,VLOOKUP(CONCATENATE('BMP P Tracking Table'!$U185," ",'BMP P Tracking Table'!$AD185),'Performance Curves'!$C$1:$L$46,_xlfn.SINGLE(MATCH('BMP P Tracking Table'!$AF185,'Performance Curves'!$D$1:$L$1,1))+1,FALSE),'BMP P Tracking Table'!$AG185*'BMP P Tracking Table'!$AH185+VLOOKUP(CONCATENATE('BMP P Tracking Table'!$U185," ",'BMP P Tracking Table'!$AD185),'Performance Curves'!$C$1:$L$46,_xlfn.SINGLE(MATCH('BMP P Tracking Table'!$AF185,'Performance Curves'!$D$1:$L$1,1))+1,FALSE)),"")</f>
        <v/>
      </c>
      <c r="AJ185" s="104" t="str">
        <f>IFERROR('BMP P Tracking Table'!$AI185*'BMP P Tracking Table'!$AE185,"")</f>
        <v/>
      </c>
      <c r="AK185" s="65"/>
      <c r="AL185" s="98"/>
      <c r="AM185" s="98"/>
      <c r="AN185" s="64">
        <v>1</v>
      </c>
      <c r="AO185" s="102" t="str">
        <f t="shared" si="33"/>
        <v/>
      </c>
      <c r="AP185" s="98"/>
      <c r="AQ185" s="98"/>
      <c r="AR185" s="98"/>
      <c r="AS185" s="98"/>
      <c r="AT185" s="98"/>
      <c r="AU185" s="98"/>
      <c r="AV185" s="98"/>
      <c r="AW185" s="65"/>
      <c r="AX185" s="99"/>
      <c r="AY185" s="99"/>
      <c r="AZ185" s="104" t="str">
        <f>IF('BMP P Tracking Table'!$AL185="Yes",IF('BMP P Tracking Table'!$AM185="No",'BMP P Tracking Table'!$V185*VLOOKUP('BMP P Tracking Table'!$R185,'Loading Rates'!$B$1:$L$24,4,FALSE)+IF('BMP P Tracking Table'!$W185="By HSG",'BMP P Tracking Table'!$X185*VLOOKUP('BMP P Tracking Table'!$R185,'Loading Rates'!$B$1:$L$24,6,FALSE)+'BMP P Tracking Table'!$Y185*VLOOKUP('BMP P Tracking Table'!$R185,'Loading Rates'!$B$1:$L$24,7,FALSE)+'BMP P Tracking Table'!$Z185*VLOOKUP('BMP P Tracking Table'!$R185,'Loading Rates'!$B$1:$L$24,8,FALSE)+'BMP P Tracking Table'!$AA185*VLOOKUP('BMP P Tracking Table'!$R185,'Loading Rates'!$B$1:$L$24,9,FALSE),'BMP P Tracking Table'!$AB185*VLOOKUP('BMP P Tracking Table'!$R185,'Loading Rates'!$B$1:$L$24,10,FALSE)),'BMP P Tracking Table'!$AP185*VLOOKUP('BMP P Tracking Table'!$R185,'Loading Rates'!$B$1:$L$24,4,FALSE)+IF('BMP P Tracking Table'!$AQ185="By HSG",'BMP P Tracking Table'!$AR185*VLOOKUP('BMP P Tracking Table'!$R185,'Loading Rates'!$B$1:$L$24,6,FALSE)+'BMP P Tracking Table'!$AS185*VLOOKUP('BMP P Tracking Table'!$R185,'Loading Rates'!$B$1:$L$24,7,FALSE)+'BMP P Tracking Table'!$AT185*VLOOKUP('BMP P Tracking Table'!$R185,'Loading Rates'!$B$1:$L$24,8,FALSE)+'BMP P Tracking Table'!$AU185*VLOOKUP('BMP P Tracking Table'!$R185,'Loading Rates'!$B$1:$L$24,9,FALSE),'BMP P Tracking Table'!$AV185*VLOOKUP('BMP P Tracking Table'!$R185,'Loading Rates'!$B$1:$L$24,10,FALSE))),"")</f>
        <v/>
      </c>
      <c r="BA185" s="104" t="str">
        <f>IFERROR(IF('BMP P Tracking Table'!$AM185="Yes",MIN(2,IF('BMP P Tracking Table'!$AQ185="Total Pervious",(-(3630*'BMP P Tracking Table'!$AP185+20.691*'BMP P Tracking Table'!$AV185)+SQRT((3630*'BMP P Tracking Table'!$AP185+20.691*'BMP P Tracking Table'!$AV185)^2-(4*(996.798*'BMP P Tracking Table'!$AV185)*-'BMP P Tracking Table'!$AX185)))/(2*(996.798*'BMP P Tracking Table'!$AV185)),IF(SUM('BMP P Tracking Table'!$AR185:$AU185)=0,'BMP P Tracking Table'!$AV185/(-3630*'BMP P Tracking Table'!$AP185),(-(3630*'BMP P Tracking Table'!$AP185+20.691*'BMP P Tracking Table'!$AU185-216.711*'BMP P Tracking Table'!$AT185-83.853*'BMP P Tracking Table'!$AS185-42.834*'BMP P Tracking Table'!$AR185)+SQRT((3630*'BMP P Tracking Table'!$AP185+20.691*'BMP P Tracking Table'!$AU185-216.711*'BMP P Tracking Table'!$AT185-83.853*'BMP P Tracking Table'!$AS185-42.834*'BMP P Tracking Table'!$AR185)^2-(4*(149.919*'BMP P Tracking Table'!$AR185+236.676*'BMP P Tracking Table'!$AS185+726*'BMP P Tracking Table'!$AT185+996.798*'BMP P Tracking Table'!$AU185)*-'BMP P Tracking Table'!$AX185)))/(2*(149.919*'BMP P Tracking Table'!$AR185+236.676*'BMP P Tracking Table'!$AS185+726*'BMP P Tracking Table'!$AT185+996.798*'BMP P Tracking Table'!$AU185))))),MIN(2,IF('BMP P Tracking Table'!$AQ185="Total Pervious",(-(3630*'BMP P Tracking Table'!$V185+20.691*'BMP P Tracking Table'!$AB185)+SQRT((3630*'BMP P Tracking Table'!$V185+20.691*'BMP P Tracking Table'!$AB185)^2-(4*(996.798*'BMP P Tracking Table'!$AB185)*-'BMP P Tracking Table'!$AX185)))/(2*(996.798*'BMP P Tracking Table'!$AB185)),IF(SUM('BMP P Tracking Table'!$X185:$AA185)=0,'BMP P Tracking Table'!$AX185/(-3630*'BMP P Tracking Table'!$V185),(-(3630*'BMP P Tracking Table'!$V185+20.691*'BMP P Tracking Table'!$AA185-216.711*'BMP P Tracking Table'!$Z185-83.853*'BMP P Tracking Table'!$Y185-42.834*'BMP P Tracking Table'!$X185)+SQRT((3630*'BMP P Tracking Table'!$V185+20.691*'BMP P Tracking Table'!$AA185-216.711*'BMP P Tracking Table'!$Z185-83.853*'BMP P Tracking Table'!$Y185-42.834*'BMP P Tracking Table'!$X185)^2-(4*(149.919*'BMP P Tracking Table'!$X185+236.676*'BMP P Tracking Table'!$Y185+726*'BMP P Tracking Table'!$Z185+996.798*'BMP P Tracking Table'!$AA185)*-'BMP P Tracking Table'!$AX185)))/(2*(149.919*'BMP P Tracking Table'!$X185+236.676*'BMP P Tracking Table'!$Y185+726*'BMP P Tracking Table'!$Z185+996.798*'BMP P Tracking Table'!$AA185)))))),"")</f>
        <v/>
      </c>
      <c r="BB185" s="102" t="str">
        <f>IFERROR((VLOOKUP(CONCATENATE('BMP P Tracking Table'!$AW185," ",'BMP P Tracking Table'!$AY185),'Performance Curves'!$C$1:$L$46,_xlfn.SINGLE(MATCH('BMP P Tracking Table'!$BA185,'Performance Curves'!$D$1:$L$1,1))+2,FALSE)-VLOOKUP(CONCATENATE('BMP P Tracking Table'!$AW185," ",'BMP P Tracking Table'!$AY185),'Performance Curves'!$C$1:$L$46,_xlfn.SINGLE(MATCH('BMP P Tracking Table'!$BA185,'Performance Curves'!$D$1:$L$1,1))+1,FALSE)),"")</f>
        <v/>
      </c>
      <c r="BC185" s="102" t="str">
        <f>IFERROR(('BMP P Tracking Table'!$BA185-INDEX('Performance Curves'!$D$1:$L$1,1,MATCH('BMP P Tracking Table'!$BA185,'Performance Curves'!$D$1:$L$1,1)))/(INDEX('Performance Curves'!$D$1:$L$1,1,MATCH('BMP P Tracking Table'!$BA185,'Performance Curves'!$D$1:$L$1,1)+1)-INDEX('Performance Curves'!$D$1:$L$1,1,MATCH('BMP P Tracking Table'!$BA185,'Performance Curves'!$D$1:$L$1,1))),"")</f>
        <v/>
      </c>
      <c r="BD185" s="103" t="str" cm="1">
        <f t="array" ref="BD185">IFERROR(IF('BMP P Tracking Table'!$BA185=2,VLOOKUP(CONCATENATE('BMP P Tracking Table'!$AW185," ",'BMP P Tracking Table'!$AY185),'Performance Curves'!$C$1:$L$44,_xlfn.SINGLE(MATCH('BMP P Tracking Table'!$BA185,'Performance Curves'!$D$1:$L$1,1))+1,FALSE),'BMP P Tracking Table'!$BB185*'BMP P Tracking Table'!$BC185+VLOOKUP(CONCATENATE('BMP P Tracking Table'!$AW185," ",'BMP P Tracking Table'!$AY185),'Performance Curves'!$C$1:$L$44,_xlfn.SINGLE(MATCH('BMP P Tracking Table'!$BA185,'Performance Curves'!$D$1:$L$1,1))+1,FALSE)),"")</f>
        <v/>
      </c>
      <c r="BE185" s="104" t="str">
        <f>IFERROR('BMP P Tracking Table'!$BD185*'BMP P Tracking Table'!$AZ185,"")</f>
        <v/>
      </c>
      <c r="BF185" s="98"/>
      <c r="BG185" s="37">
        <f t="shared" si="34"/>
        <v>0</v>
      </c>
    </row>
    <row r="186" spans="2:59" s="36" customFormat="1">
      <c r="B186" s="65"/>
      <c r="C186" s="65"/>
      <c r="D186" s="65"/>
      <c r="E186" s="65"/>
      <c r="F186" s="94"/>
      <c r="G186" s="94"/>
      <c r="H186" s="65"/>
      <c r="I186" s="65"/>
      <c r="J186" s="65"/>
      <c r="K186" s="95"/>
      <c r="L186" s="65"/>
      <c r="M186" s="65"/>
      <c r="N186" s="65"/>
      <c r="O186" s="65"/>
      <c r="P186" s="65"/>
      <c r="Q186" s="65"/>
      <c r="R186" s="65" t="str">
        <f>IFERROR(VLOOKUP('BMP P Tracking Table'!$Q186,Dropdowns!$C$2:$E$15,3,FALSE),"")</f>
        <v/>
      </c>
      <c r="S186" s="65" t="str">
        <f>IFERROR(VLOOKUP('BMP P Tracking Table'!$R186,Dropdowns!$Q$3:$R$23,2,FALSE),"")</f>
        <v/>
      </c>
      <c r="T186" s="65"/>
      <c r="U186" s="65"/>
      <c r="V186" s="65"/>
      <c r="W186" s="65"/>
      <c r="X186" s="65"/>
      <c r="Y186" s="65"/>
      <c r="Z186" s="65"/>
      <c r="AA186" s="65"/>
      <c r="AB186" s="65"/>
      <c r="AC186" s="97"/>
      <c r="AD186" s="65"/>
      <c r="AE186" s="104" t="str">
        <f>IFERROR('BMP P Tracking Table'!$V186*VLOOKUP('BMP P Tracking Table'!$R186,'Loading Rates'!$B$1:$L$24,4,FALSE)+IF('BMP P Tracking Table'!$W186="By HSG",'BMP P Tracking Table'!$X186*VLOOKUP('BMP P Tracking Table'!$R186,'Loading Rates'!$B$1:$L$24,6,FALSE)+'BMP P Tracking Table'!$Y186*VLOOKUP('BMP P Tracking Table'!$R186,'Loading Rates'!$B$1:$L$24,7,FALSE)+'BMP P Tracking Table'!$Z186*VLOOKUP('BMP P Tracking Table'!$R186,'Loading Rates'!$B$1:$L$24,8,FALSE)+'BMP P Tracking Table'!$AA186*VLOOKUP('BMP P Tracking Table'!$R186,'Loading Rates'!$B$1:$L$24,9,FALSE),'BMP P Tracking Table'!$AB186*VLOOKUP('BMP P Tracking Table'!$R186,'Loading Rates'!$B$1:$L$24,10,FALSE)),"")</f>
        <v/>
      </c>
      <c r="AF186" s="104" t="str">
        <f>IFERROR(MIN(2,IF('BMP P Tracking Table'!$W186="Total Pervious",(-(3630*'BMP P Tracking Table'!$V186+20.691*'BMP P Tracking Table'!$AB186)+SQRT((3630*'BMP P Tracking Table'!$V186+20.691*'BMP P Tracking Table'!$AB186)^2-(4*(996.798*'BMP P Tracking Table'!$AB186)*-'BMP P Tracking Table'!$AC186)))/(2*(996.798*'BMP P Tracking Table'!$AB186)),IF(SUM('BMP P Tracking Table'!$X186:$AA186)=0,'BMP P Tracking Table'!$AC186/(-3630*'BMP P Tracking Table'!$V186),(-(3630*'BMP P Tracking Table'!$V186+20.691*'BMP P Tracking Table'!$AA186-216.711*'BMP P Tracking Table'!$Z186-83.853*'BMP P Tracking Table'!$Y186-42.834*'BMP P Tracking Table'!$X186)+SQRT((3630*'BMP P Tracking Table'!$V186+20.691*'BMP P Tracking Table'!$AA186-216.711*'BMP P Tracking Table'!$Z186-83.853*'BMP P Tracking Table'!$Y186-42.834*'BMP P Tracking Table'!$X186)^2-(4*(149.919*'BMP P Tracking Table'!$X186+236.676*'BMP P Tracking Table'!$Y186+726*'BMP P Tracking Table'!$Z186+996.798*'BMP P Tracking Table'!$AA186)*-'BMP P Tracking Table'!$AC186)))/(2*(149.919*'BMP P Tracking Table'!$X186+236.676*'BMP P Tracking Table'!$Y186+726*'BMP P Tracking Table'!$Z186+996.798*'BMP P Tracking Table'!$AA186))))),"")</f>
        <v/>
      </c>
      <c r="AG186" s="104" t="str">
        <f>IFERROR((VLOOKUP(CONCATENATE('BMP P Tracking Table'!$U186," ",'BMP P Tracking Table'!$AD186),'Performance Curves'!$C$1:$L$46,_xlfn.SINGLE(MATCH('BMP P Tracking Table'!$AF186,'Performance Curves'!$D$1:$L$1,1))+2,FALSE)-VLOOKUP(CONCATENATE('BMP P Tracking Table'!$U186," ",'BMP P Tracking Table'!$AD186),'Performance Curves'!$C$1:$L$46,_xlfn.SINGLE(MATCH('BMP P Tracking Table'!$AF186,'Performance Curves'!$D$1:$L$1,1))+1,FALSE)),"")</f>
        <v/>
      </c>
      <c r="AH186" s="104" t="str">
        <f>IFERROR(('BMP P Tracking Table'!$AF186-INDEX('Performance Curves'!$D$1:$L$1,1,MATCH('BMP P Tracking Table'!$AF186,'Performance Curves'!$D$1:$L$1,1)))/(INDEX('Performance Curves'!$D$1:$L$1,1,MATCH('BMP P Tracking Table'!$AF186,'Performance Curves'!$D$1:$L$1,1)+1)-INDEX('Performance Curves'!$D$1:$L$1,1,MATCH('BMP P Tracking Table'!$AF186,'Performance Curves'!$D$1:$L$1,1))),"")</f>
        <v/>
      </c>
      <c r="AI186" s="103" t="str">
        <f>IFERROR(IF('BMP P Tracking Table'!$AF186=2,VLOOKUP(CONCATENATE('BMP P Tracking Table'!$U186," ",'BMP P Tracking Table'!$AD186),'Performance Curves'!$C$1:$L$46,_xlfn.SINGLE(MATCH('BMP P Tracking Table'!$AF186,'Performance Curves'!$D$1:$L$1,1))+1,FALSE),'BMP P Tracking Table'!$AG186*'BMP P Tracking Table'!$AH186+VLOOKUP(CONCATENATE('BMP P Tracking Table'!$U186," ",'BMP P Tracking Table'!$AD186),'Performance Curves'!$C$1:$L$46,_xlfn.SINGLE(MATCH('BMP P Tracking Table'!$AF186,'Performance Curves'!$D$1:$L$1,1))+1,FALSE)),"")</f>
        <v/>
      </c>
      <c r="AJ186" s="104" t="str">
        <f>IFERROR('BMP P Tracking Table'!$AI186*'BMP P Tracking Table'!$AE186,"")</f>
        <v/>
      </c>
      <c r="AK186" s="65"/>
      <c r="AL186" s="98"/>
      <c r="AM186" s="98"/>
      <c r="AN186" s="64">
        <v>1</v>
      </c>
      <c r="AO186" s="102" t="str">
        <f t="shared" si="33"/>
        <v/>
      </c>
      <c r="AP186" s="98"/>
      <c r="AQ186" s="98"/>
      <c r="AR186" s="98"/>
      <c r="AS186" s="98"/>
      <c r="AT186" s="98"/>
      <c r="AU186" s="98"/>
      <c r="AV186" s="98"/>
      <c r="AW186" s="65"/>
      <c r="AX186" s="99"/>
      <c r="AY186" s="99"/>
      <c r="AZ186" s="104" t="str">
        <f>IF('BMP P Tracking Table'!$AL186="Yes",IF('BMP P Tracking Table'!$AM186="No",'BMP P Tracking Table'!$V186*VLOOKUP('BMP P Tracking Table'!$R186,'Loading Rates'!$B$1:$L$24,4,FALSE)+IF('BMP P Tracking Table'!$W186="By HSG",'BMP P Tracking Table'!$X186*VLOOKUP('BMP P Tracking Table'!$R186,'Loading Rates'!$B$1:$L$24,6,FALSE)+'BMP P Tracking Table'!$Y186*VLOOKUP('BMP P Tracking Table'!$R186,'Loading Rates'!$B$1:$L$24,7,FALSE)+'BMP P Tracking Table'!$Z186*VLOOKUP('BMP P Tracking Table'!$R186,'Loading Rates'!$B$1:$L$24,8,FALSE)+'BMP P Tracking Table'!$AA186*VLOOKUP('BMP P Tracking Table'!$R186,'Loading Rates'!$B$1:$L$24,9,FALSE),'BMP P Tracking Table'!$AB186*VLOOKUP('BMP P Tracking Table'!$R186,'Loading Rates'!$B$1:$L$24,10,FALSE)),'BMP P Tracking Table'!$AP186*VLOOKUP('BMP P Tracking Table'!$R186,'Loading Rates'!$B$1:$L$24,4,FALSE)+IF('BMP P Tracking Table'!$AQ186="By HSG",'BMP P Tracking Table'!$AR186*VLOOKUP('BMP P Tracking Table'!$R186,'Loading Rates'!$B$1:$L$24,6,FALSE)+'BMP P Tracking Table'!$AS186*VLOOKUP('BMP P Tracking Table'!$R186,'Loading Rates'!$B$1:$L$24,7,FALSE)+'BMP P Tracking Table'!$AT186*VLOOKUP('BMP P Tracking Table'!$R186,'Loading Rates'!$B$1:$L$24,8,FALSE)+'BMP P Tracking Table'!$AU186*VLOOKUP('BMP P Tracking Table'!$R186,'Loading Rates'!$B$1:$L$24,9,FALSE),'BMP P Tracking Table'!$AV186*VLOOKUP('BMP P Tracking Table'!$R186,'Loading Rates'!$B$1:$L$24,10,FALSE))),"")</f>
        <v/>
      </c>
      <c r="BA186" s="104" t="str">
        <f>IFERROR(IF('BMP P Tracking Table'!$AM186="Yes",MIN(2,IF('BMP P Tracking Table'!$AQ186="Total Pervious",(-(3630*'BMP P Tracking Table'!$AP186+20.691*'BMP P Tracking Table'!$AV186)+SQRT((3630*'BMP P Tracking Table'!$AP186+20.691*'BMP P Tracking Table'!$AV186)^2-(4*(996.798*'BMP P Tracking Table'!$AV186)*-'BMP P Tracking Table'!$AX186)))/(2*(996.798*'BMP P Tracking Table'!$AV186)),IF(SUM('BMP P Tracking Table'!$AR186:$AU186)=0,'BMP P Tracking Table'!$AV186/(-3630*'BMP P Tracking Table'!$AP186),(-(3630*'BMP P Tracking Table'!$AP186+20.691*'BMP P Tracking Table'!$AU186-216.711*'BMP P Tracking Table'!$AT186-83.853*'BMP P Tracking Table'!$AS186-42.834*'BMP P Tracking Table'!$AR186)+SQRT((3630*'BMP P Tracking Table'!$AP186+20.691*'BMP P Tracking Table'!$AU186-216.711*'BMP P Tracking Table'!$AT186-83.853*'BMP P Tracking Table'!$AS186-42.834*'BMP P Tracking Table'!$AR186)^2-(4*(149.919*'BMP P Tracking Table'!$AR186+236.676*'BMP P Tracking Table'!$AS186+726*'BMP P Tracking Table'!$AT186+996.798*'BMP P Tracking Table'!$AU186)*-'BMP P Tracking Table'!$AX186)))/(2*(149.919*'BMP P Tracking Table'!$AR186+236.676*'BMP P Tracking Table'!$AS186+726*'BMP P Tracking Table'!$AT186+996.798*'BMP P Tracking Table'!$AU186))))),MIN(2,IF('BMP P Tracking Table'!$AQ186="Total Pervious",(-(3630*'BMP P Tracking Table'!$V186+20.691*'BMP P Tracking Table'!$AB186)+SQRT((3630*'BMP P Tracking Table'!$V186+20.691*'BMP P Tracking Table'!$AB186)^2-(4*(996.798*'BMP P Tracking Table'!$AB186)*-'BMP P Tracking Table'!$AX186)))/(2*(996.798*'BMP P Tracking Table'!$AB186)),IF(SUM('BMP P Tracking Table'!$X186:$AA186)=0,'BMP P Tracking Table'!$AX186/(-3630*'BMP P Tracking Table'!$V186),(-(3630*'BMP P Tracking Table'!$V186+20.691*'BMP P Tracking Table'!$AA186-216.711*'BMP P Tracking Table'!$Z186-83.853*'BMP P Tracking Table'!$Y186-42.834*'BMP P Tracking Table'!$X186)+SQRT((3630*'BMP P Tracking Table'!$V186+20.691*'BMP P Tracking Table'!$AA186-216.711*'BMP P Tracking Table'!$Z186-83.853*'BMP P Tracking Table'!$Y186-42.834*'BMP P Tracking Table'!$X186)^2-(4*(149.919*'BMP P Tracking Table'!$X186+236.676*'BMP P Tracking Table'!$Y186+726*'BMP P Tracking Table'!$Z186+996.798*'BMP P Tracking Table'!$AA186)*-'BMP P Tracking Table'!$AX186)))/(2*(149.919*'BMP P Tracking Table'!$X186+236.676*'BMP P Tracking Table'!$Y186+726*'BMP P Tracking Table'!$Z186+996.798*'BMP P Tracking Table'!$AA186)))))),"")</f>
        <v/>
      </c>
      <c r="BB186" s="102" t="str">
        <f>IFERROR((VLOOKUP(CONCATENATE('BMP P Tracking Table'!$AW186," ",'BMP P Tracking Table'!$AY186),'Performance Curves'!$C$1:$L$46,_xlfn.SINGLE(MATCH('BMP P Tracking Table'!$BA186,'Performance Curves'!$D$1:$L$1,1))+2,FALSE)-VLOOKUP(CONCATENATE('BMP P Tracking Table'!$AW186," ",'BMP P Tracking Table'!$AY186),'Performance Curves'!$C$1:$L$46,_xlfn.SINGLE(MATCH('BMP P Tracking Table'!$BA186,'Performance Curves'!$D$1:$L$1,1))+1,FALSE)),"")</f>
        <v/>
      </c>
      <c r="BC186" s="102" t="str">
        <f>IFERROR(('BMP P Tracking Table'!$BA186-INDEX('Performance Curves'!$D$1:$L$1,1,MATCH('BMP P Tracking Table'!$BA186,'Performance Curves'!$D$1:$L$1,1)))/(INDEX('Performance Curves'!$D$1:$L$1,1,MATCH('BMP P Tracking Table'!$BA186,'Performance Curves'!$D$1:$L$1,1)+1)-INDEX('Performance Curves'!$D$1:$L$1,1,MATCH('BMP P Tracking Table'!$BA186,'Performance Curves'!$D$1:$L$1,1))),"")</f>
        <v/>
      </c>
      <c r="BD186" s="103" t="str" cm="1">
        <f t="array" ref="BD186">IFERROR(IF('BMP P Tracking Table'!$BA186=2,VLOOKUP(CONCATENATE('BMP P Tracking Table'!$AW186," ",'BMP P Tracking Table'!$AY186),'Performance Curves'!$C$1:$L$44,_xlfn.SINGLE(MATCH('BMP P Tracking Table'!$BA186,'Performance Curves'!$D$1:$L$1,1))+1,FALSE),'BMP P Tracking Table'!$BB186*'BMP P Tracking Table'!$BC186+VLOOKUP(CONCATENATE('BMP P Tracking Table'!$AW186," ",'BMP P Tracking Table'!$AY186),'Performance Curves'!$C$1:$L$44,_xlfn.SINGLE(MATCH('BMP P Tracking Table'!$BA186,'Performance Curves'!$D$1:$L$1,1))+1,FALSE)),"")</f>
        <v/>
      </c>
      <c r="BE186" s="104" t="str">
        <f>IFERROR('BMP P Tracking Table'!$BD186*'BMP P Tracking Table'!$AZ186,"")</f>
        <v/>
      </c>
      <c r="BF186" s="98"/>
      <c r="BG186" s="37">
        <f t="shared" si="34"/>
        <v>0</v>
      </c>
    </row>
    <row r="187" spans="2:59" s="36" customFormat="1">
      <c r="B187" s="65"/>
      <c r="C187" s="65"/>
      <c r="D187" s="65"/>
      <c r="E187" s="65"/>
      <c r="F187" s="94"/>
      <c r="G187" s="94"/>
      <c r="H187" s="65"/>
      <c r="I187" s="65"/>
      <c r="J187" s="65"/>
      <c r="K187" s="95"/>
      <c r="L187" s="65"/>
      <c r="M187" s="65"/>
      <c r="N187" s="65"/>
      <c r="O187" s="65"/>
      <c r="P187" s="65"/>
      <c r="Q187" s="65"/>
      <c r="R187" s="65" t="str">
        <f>IFERROR(VLOOKUP('BMP P Tracking Table'!$Q187,Dropdowns!$C$2:$E$15,3,FALSE),"")</f>
        <v/>
      </c>
      <c r="S187" s="65" t="str">
        <f>IFERROR(VLOOKUP('BMP P Tracking Table'!$R187,Dropdowns!$Q$3:$R$23,2,FALSE),"")</f>
        <v/>
      </c>
      <c r="T187" s="65"/>
      <c r="U187" s="65"/>
      <c r="V187" s="65"/>
      <c r="W187" s="65"/>
      <c r="X187" s="65"/>
      <c r="Y187" s="65"/>
      <c r="Z187" s="65"/>
      <c r="AA187" s="65"/>
      <c r="AB187" s="65"/>
      <c r="AC187" s="97"/>
      <c r="AD187" s="65"/>
      <c r="AE187" s="104" t="str">
        <f>IFERROR('BMP P Tracking Table'!$V187*VLOOKUP('BMP P Tracking Table'!$R187,'Loading Rates'!$B$1:$L$24,4,FALSE)+IF('BMP P Tracking Table'!$W187="By HSG",'BMP P Tracking Table'!$X187*VLOOKUP('BMP P Tracking Table'!$R187,'Loading Rates'!$B$1:$L$24,6,FALSE)+'BMP P Tracking Table'!$Y187*VLOOKUP('BMP P Tracking Table'!$R187,'Loading Rates'!$B$1:$L$24,7,FALSE)+'BMP P Tracking Table'!$Z187*VLOOKUP('BMP P Tracking Table'!$R187,'Loading Rates'!$B$1:$L$24,8,FALSE)+'BMP P Tracking Table'!$AA187*VLOOKUP('BMP P Tracking Table'!$R187,'Loading Rates'!$B$1:$L$24,9,FALSE),'BMP P Tracking Table'!$AB187*VLOOKUP('BMP P Tracking Table'!$R187,'Loading Rates'!$B$1:$L$24,10,FALSE)),"")</f>
        <v/>
      </c>
      <c r="AF187" s="104" t="str">
        <f>IFERROR(MIN(2,IF('BMP P Tracking Table'!$W187="Total Pervious",(-(3630*'BMP P Tracking Table'!$V187+20.691*'BMP P Tracking Table'!$AB187)+SQRT((3630*'BMP P Tracking Table'!$V187+20.691*'BMP P Tracking Table'!$AB187)^2-(4*(996.798*'BMP P Tracking Table'!$AB187)*-'BMP P Tracking Table'!$AC187)))/(2*(996.798*'BMP P Tracking Table'!$AB187)),IF(SUM('BMP P Tracking Table'!$X187:$AA187)=0,'BMP P Tracking Table'!$AC187/(-3630*'BMP P Tracking Table'!$V187),(-(3630*'BMP P Tracking Table'!$V187+20.691*'BMP P Tracking Table'!$AA187-216.711*'BMP P Tracking Table'!$Z187-83.853*'BMP P Tracking Table'!$Y187-42.834*'BMP P Tracking Table'!$X187)+SQRT((3630*'BMP P Tracking Table'!$V187+20.691*'BMP P Tracking Table'!$AA187-216.711*'BMP P Tracking Table'!$Z187-83.853*'BMP P Tracking Table'!$Y187-42.834*'BMP P Tracking Table'!$X187)^2-(4*(149.919*'BMP P Tracking Table'!$X187+236.676*'BMP P Tracking Table'!$Y187+726*'BMP P Tracking Table'!$Z187+996.798*'BMP P Tracking Table'!$AA187)*-'BMP P Tracking Table'!$AC187)))/(2*(149.919*'BMP P Tracking Table'!$X187+236.676*'BMP P Tracking Table'!$Y187+726*'BMP P Tracking Table'!$Z187+996.798*'BMP P Tracking Table'!$AA187))))),"")</f>
        <v/>
      </c>
      <c r="AG187" s="104" t="str">
        <f>IFERROR((VLOOKUP(CONCATENATE('BMP P Tracking Table'!$U187," ",'BMP P Tracking Table'!$AD187),'Performance Curves'!$C$1:$L$46,_xlfn.SINGLE(MATCH('BMP P Tracking Table'!$AF187,'Performance Curves'!$D$1:$L$1,1))+2,FALSE)-VLOOKUP(CONCATENATE('BMP P Tracking Table'!$U187," ",'BMP P Tracking Table'!$AD187),'Performance Curves'!$C$1:$L$46,_xlfn.SINGLE(MATCH('BMP P Tracking Table'!$AF187,'Performance Curves'!$D$1:$L$1,1))+1,FALSE)),"")</f>
        <v/>
      </c>
      <c r="AH187" s="104" t="str">
        <f>IFERROR(('BMP P Tracking Table'!$AF187-INDEX('Performance Curves'!$D$1:$L$1,1,MATCH('BMP P Tracking Table'!$AF187,'Performance Curves'!$D$1:$L$1,1)))/(INDEX('Performance Curves'!$D$1:$L$1,1,MATCH('BMP P Tracking Table'!$AF187,'Performance Curves'!$D$1:$L$1,1)+1)-INDEX('Performance Curves'!$D$1:$L$1,1,MATCH('BMP P Tracking Table'!$AF187,'Performance Curves'!$D$1:$L$1,1))),"")</f>
        <v/>
      </c>
      <c r="AI187" s="103" t="str">
        <f>IFERROR(IF('BMP P Tracking Table'!$AF187=2,VLOOKUP(CONCATENATE('BMP P Tracking Table'!$U187," ",'BMP P Tracking Table'!$AD187),'Performance Curves'!$C$1:$L$46,_xlfn.SINGLE(MATCH('BMP P Tracking Table'!$AF187,'Performance Curves'!$D$1:$L$1,1))+1,FALSE),'BMP P Tracking Table'!$AG187*'BMP P Tracking Table'!$AH187+VLOOKUP(CONCATENATE('BMP P Tracking Table'!$U187," ",'BMP P Tracking Table'!$AD187),'Performance Curves'!$C$1:$L$46,_xlfn.SINGLE(MATCH('BMP P Tracking Table'!$AF187,'Performance Curves'!$D$1:$L$1,1))+1,FALSE)),"")</f>
        <v/>
      </c>
      <c r="AJ187" s="104" t="str">
        <f>IFERROR('BMP P Tracking Table'!$AI187*'BMP P Tracking Table'!$AE187,"")</f>
        <v/>
      </c>
      <c r="AK187" s="65"/>
      <c r="AL187" s="98"/>
      <c r="AM187" s="98"/>
      <c r="AN187" s="64">
        <v>1</v>
      </c>
      <c r="AO187" s="102" t="str">
        <f t="shared" si="33"/>
        <v/>
      </c>
      <c r="AP187" s="98"/>
      <c r="AQ187" s="98"/>
      <c r="AR187" s="98"/>
      <c r="AS187" s="98"/>
      <c r="AT187" s="98"/>
      <c r="AU187" s="98"/>
      <c r="AV187" s="98"/>
      <c r="AW187" s="65"/>
      <c r="AX187" s="99"/>
      <c r="AY187" s="99"/>
      <c r="AZ187" s="104" t="str">
        <f>IF('BMP P Tracking Table'!$AL187="Yes",IF('BMP P Tracking Table'!$AM187="No",'BMP P Tracking Table'!$V187*VLOOKUP('BMP P Tracking Table'!$R187,'Loading Rates'!$B$1:$L$24,4,FALSE)+IF('BMP P Tracking Table'!$W187="By HSG",'BMP P Tracking Table'!$X187*VLOOKUP('BMP P Tracking Table'!$R187,'Loading Rates'!$B$1:$L$24,6,FALSE)+'BMP P Tracking Table'!$Y187*VLOOKUP('BMP P Tracking Table'!$R187,'Loading Rates'!$B$1:$L$24,7,FALSE)+'BMP P Tracking Table'!$Z187*VLOOKUP('BMP P Tracking Table'!$R187,'Loading Rates'!$B$1:$L$24,8,FALSE)+'BMP P Tracking Table'!$AA187*VLOOKUP('BMP P Tracking Table'!$R187,'Loading Rates'!$B$1:$L$24,9,FALSE),'BMP P Tracking Table'!$AB187*VLOOKUP('BMP P Tracking Table'!$R187,'Loading Rates'!$B$1:$L$24,10,FALSE)),'BMP P Tracking Table'!$AP187*VLOOKUP('BMP P Tracking Table'!$R187,'Loading Rates'!$B$1:$L$24,4,FALSE)+IF('BMP P Tracking Table'!$AQ187="By HSG",'BMP P Tracking Table'!$AR187*VLOOKUP('BMP P Tracking Table'!$R187,'Loading Rates'!$B$1:$L$24,6,FALSE)+'BMP P Tracking Table'!$AS187*VLOOKUP('BMP P Tracking Table'!$R187,'Loading Rates'!$B$1:$L$24,7,FALSE)+'BMP P Tracking Table'!$AT187*VLOOKUP('BMP P Tracking Table'!$R187,'Loading Rates'!$B$1:$L$24,8,FALSE)+'BMP P Tracking Table'!$AU187*VLOOKUP('BMP P Tracking Table'!$R187,'Loading Rates'!$B$1:$L$24,9,FALSE),'BMP P Tracking Table'!$AV187*VLOOKUP('BMP P Tracking Table'!$R187,'Loading Rates'!$B$1:$L$24,10,FALSE))),"")</f>
        <v/>
      </c>
      <c r="BA187" s="104" t="str">
        <f>IFERROR(IF('BMP P Tracking Table'!$AM187="Yes",MIN(2,IF('BMP P Tracking Table'!$AQ187="Total Pervious",(-(3630*'BMP P Tracking Table'!$AP187+20.691*'BMP P Tracking Table'!$AV187)+SQRT((3630*'BMP P Tracking Table'!$AP187+20.691*'BMP P Tracking Table'!$AV187)^2-(4*(996.798*'BMP P Tracking Table'!$AV187)*-'BMP P Tracking Table'!$AX187)))/(2*(996.798*'BMP P Tracking Table'!$AV187)),IF(SUM('BMP P Tracking Table'!$AR187:$AU187)=0,'BMP P Tracking Table'!$AV187/(-3630*'BMP P Tracking Table'!$AP187),(-(3630*'BMP P Tracking Table'!$AP187+20.691*'BMP P Tracking Table'!$AU187-216.711*'BMP P Tracking Table'!$AT187-83.853*'BMP P Tracking Table'!$AS187-42.834*'BMP P Tracking Table'!$AR187)+SQRT((3630*'BMP P Tracking Table'!$AP187+20.691*'BMP P Tracking Table'!$AU187-216.711*'BMP P Tracking Table'!$AT187-83.853*'BMP P Tracking Table'!$AS187-42.834*'BMP P Tracking Table'!$AR187)^2-(4*(149.919*'BMP P Tracking Table'!$AR187+236.676*'BMP P Tracking Table'!$AS187+726*'BMP P Tracking Table'!$AT187+996.798*'BMP P Tracking Table'!$AU187)*-'BMP P Tracking Table'!$AX187)))/(2*(149.919*'BMP P Tracking Table'!$AR187+236.676*'BMP P Tracking Table'!$AS187+726*'BMP P Tracking Table'!$AT187+996.798*'BMP P Tracking Table'!$AU187))))),MIN(2,IF('BMP P Tracking Table'!$AQ187="Total Pervious",(-(3630*'BMP P Tracking Table'!$V187+20.691*'BMP P Tracking Table'!$AB187)+SQRT((3630*'BMP P Tracking Table'!$V187+20.691*'BMP P Tracking Table'!$AB187)^2-(4*(996.798*'BMP P Tracking Table'!$AB187)*-'BMP P Tracking Table'!$AX187)))/(2*(996.798*'BMP P Tracking Table'!$AB187)),IF(SUM('BMP P Tracking Table'!$X187:$AA187)=0,'BMP P Tracking Table'!$AX187/(-3630*'BMP P Tracking Table'!$V187),(-(3630*'BMP P Tracking Table'!$V187+20.691*'BMP P Tracking Table'!$AA187-216.711*'BMP P Tracking Table'!$Z187-83.853*'BMP P Tracking Table'!$Y187-42.834*'BMP P Tracking Table'!$X187)+SQRT((3630*'BMP P Tracking Table'!$V187+20.691*'BMP P Tracking Table'!$AA187-216.711*'BMP P Tracking Table'!$Z187-83.853*'BMP P Tracking Table'!$Y187-42.834*'BMP P Tracking Table'!$X187)^2-(4*(149.919*'BMP P Tracking Table'!$X187+236.676*'BMP P Tracking Table'!$Y187+726*'BMP P Tracking Table'!$Z187+996.798*'BMP P Tracking Table'!$AA187)*-'BMP P Tracking Table'!$AX187)))/(2*(149.919*'BMP P Tracking Table'!$X187+236.676*'BMP P Tracking Table'!$Y187+726*'BMP P Tracking Table'!$Z187+996.798*'BMP P Tracking Table'!$AA187)))))),"")</f>
        <v/>
      </c>
      <c r="BB187" s="102" t="str">
        <f>IFERROR((VLOOKUP(CONCATENATE('BMP P Tracking Table'!$AW187," ",'BMP P Tracking Table'!$AY187),'Performance Curves'!$C$1:$L$46,_xlfn.SINGLE(MATCH('BMP P Tracking Table'!$BA187,'Performance Curves'!$D$1:$L$1,1))+2,FALSE)-VLOOKUP(CONCATENATE('BMP P Tracking Table'!$AW187," ",'BMP P Tracking Table'!$AY187),'Performance Curves'!$C$1:$L$46,_xlfn.SINGLE(MATCH('BMP P Tracking Table'!$BA187,'Performance Curves'!$D$1:$L$1,1))+1,FALSE)),"")</f>
        <v/>
      </c>
      <c r="BC187" s="102" t="str">
        <f>IFERROR(('BMP P Tracking Table'!$BA187-INDEX('Performance Curves'!$D$1:$L$1,1,MATCH('BMP P Tracking Table'!$BA187,'Performance Curves'!$D$1:$L$1,1)))/(INDEX('Performance Curves'!$D$1:$L$1,1,MATCH('BMP P Tracking Table'!$BA187,'Performance Curves'!$D$1:$L$1,1)+1)-INDEX('Performance Curves'!$D$1:$L$1,1,MATCH('BMP P Tracking Table'!$BA187,'Performance Curves'!$D$1:$L$1,1))),"")</f>
        <v/>
      </c>
      <c r="BD187" s="103" t="str" cm="1">
        <f t="array" ref="BD187">IFERROR(IF('BMP P Tracking Table'!$BA187=2,VLOOKUP(CONCATENATE('BMP P Tracking Table'!$AW187," ",'BMP P Tracking Table'!$AY187),'Performance Curves'!$C$1:$L$44,_xlfn.SINGLE(MATCH('BMP P Tracking Table'!$BA187,'Performance Curves'!$D$1:$L$1,1))+1,FALSE),'BMP P Tracking Table'!$BB187*'BMP P Tracking Table'!$BC187+VLOOKUP(CONCATENATE('BMP P Tracking Table'!$AW187," ",'BMP P Tracking Table'!$AY187),'Performance Curves'!$C$1:$L$44,_xlfn.SINGLE(MATCH('BMP P Tracking Table'!$BA187,'Performance Curves'!$D$1:$L$1,1))+1,FALSE)),"")</f>
        <v/>
      </c>
      <c r="BE187" s="104" t="str">
        <f>IFERROR('BMP P Tracking Table'!$BD187*'BMP P Tracking Table'!$AZ187,"")</f>
        <v/>
      </c>
      <c r="BF187" s="98"/>
      <c r="BG187" s="37">
        <f t="shared" si="34"/>
        <v>0</v>
      </c>
    </row>
    <row r="188" spans="2:59" s="36" customFormat="1">
      <c r="B188" s="65"/>
      <c r="C188" s="65"/>
      <c r="D188" s="65"/>
      <c r="E188" s="65"/>
      <c r="F188" s="94"/>
      <c r="G188" s="94"/>
      <c r="H188" s="65"/>
      <c r="I188" s="65"/>
      <c r="J188" s="65"/>
      <c r="K188" s="95"/>
      <c r="L188" s="65"/>
      <c r="M188" s="65"/>
      <c r="N188" s="65"/>
      <c r="O188" s="65"/>
      <c r="P188" s="65"/>
      <c r="Q188" s="65"/>
      <c r="R188" s="65" t="str">
        <f>IFERROR(VLOOKUP('BMP P Tracking Table'!$Q188,Dropdowns!$C$2:$E$15,3,FALSE),"")</f>
        <v/>
      </c>
      <c r="S188" s="65" t="str">
        <f>IFERROR(VLOOKUP('BMP P Tracking Table'!$R188,Dropdowns!$Q$3:$R$23,2,FALSE),"")</f>
        <v/>
      </c>
      <c r="T188" s="65"/>
      <c r="U188" s="65"/>
      <c r="V188" s="65"/>
      <c r="W188" s="65"/>
      <c r="X188" s="65"/>
      <c r="Y188" s="65"/>
      <c r="Z188" s="65"/>
      <c r="AA188" s="65"/>
      <c r="AB188" s="65"/>
      <c r="AC188" s="97"/>
      <c r="AD188" s="65"/>
      <c r="AE188" s="104" t="str">
        <f>IFERROR('BMP P Tracking Table'!$V188*VLOOKUP('BMP P Tracking Table'!$R188,'Loading Rates'!$B$1:$L$24,4,FALSE)+IF('BMP P Tracking Table'!$W188="By HSG",'BMP P Tracking Table'!$X188*VLOOKUP('BMP P Tracking Table'!$R188,'Loading Rates'!$B$1:$L$24,6,FALSE)+'BMP P Tracking Table'!$Y188*VLOOKUP('BMP P Tracking Table'!$R188,'Loading Rates'!$B$1:$L$24,7,FALSE)+'BMP P Tracking Table'!$Z188*VLOOKUP('BMP P Tracking Table'!$R188,'Loading Rates'!$B$1:$L$24,8,FALSE)+'BMP P Tracking Table'!$AA188*VLOOKUP('BMP P Tracking Table'!$R188,'Loading Rates'!$B$1:$L$24,9,FALSE),'BMP P Tracking Table'!$AB188*VLOOKUP('BMP P Tracking Table'!$R188,'Loading Rates'!$B$1:$L$24,10,FALSE)),"")</f>
        <v/>
      </c>
      <c r="AF188" s="104" t="str">
        <f>IFERROR(MIN(2,IF('BMP P Tracking Table'!$W188="Total Pervious",(-(3630*'BMP P Tracking Table'!$V188+20.691*'BMP P Tracking Table'!$AB188)+SQRT((3630*'BMP P Tracking Table'!$V188+20.691*'BMP P Tracking Table'!$AB188)^2-(4*(996.798*'BMP P Tracking Table'!$AB188)*-'BMP P Tracking Table'!$AC188)))/(2*(996.798*'BMP P Tracking Table'!$AB188)),IF(SUM('BMP P Tracking Table'!$X188:$AA188)=0,'BMP P Tracking Table'!$AC188/(-3630*'BMP P Tracking Table'!$V188),(-(3630*'BMP P Tracking Table'!$V188+20.691*'BMP P Tracking Table'!$AA188-216.711*'BMP P Tracking Table'!$Z188-83.853*'BMP P Tracking Table'!$Y188-42.834*'BMP P Tracking Table'!$X188)+SQRT((3630*'BMP P Tracking Table'!$V188+20.691*'BMP P Tracking Table'!$AA188-216.711*'BMP P Tracking Table'!$Z188-83.853*'BMP P Tracking Table'!$Y188-42.834*'BMP P Tracking Table'!$X188)^2-(4*(149.919*'BMP P Tracking Table'!$X188+236.676*'BMP P Tracking Table'!$Y188+726*'BMP P Tracking Table'!$Z188+996.798*'BMP P Tracking Table'!$AA188)*-'BMP P Tracking Table'!$AC188)))/(2*(149.919*'BMP P Tracking Table'!$X188+236.676*'BMP P Tracking Table'!$Y188+726*'BMP P Tracking Table'!$Z188+996.798*'BMP P Tracking Table'!$AA188))))),"")</f>
        <v/>
      </c>
      <c r="AG188" s="104" t="str">
        <f>IFERROR((VLOOKUP(CONCATENATE('BMP P Tracking Table'!$U188," ",'BMP P Tracking Table'!$AD188),'Performance Curves'!$C$1:$L$46,_xlfn.SINGLE(MATCH('BMP P Tracking Table'!$AF188,'Performance Curves'!$D$1:$L$1,1))+2,FALSE)-VLOOKUP(CONCATENATE('BMP P Tracking Table'!$U188," ",'BMP P Tracking Table'!$AD188),'Performance Curves'!$C$1:$L$46,_xlfn.SINGLE(MATCH('BMP P Tracking Table'!$AF188,'Performance Curves'!$D$1:$L$1,1))+1,FALSE)),"")</f>
        <v/>
      </c>
      <c r="AH188" s="104" t="str">
        <f>IFERROR(('BMP P Tracking Table'!$AF188-INDEX('Performance Curves'!$D$1:$L$1,1,MATCH('BMP P Tracking Table'!$AF188,'Performance Curves'!$D$1:$L$1,1)))/(INDEX('Performance Curves'!$D$1:$L$1,1,MATCH('BMP P Tracking Table'!$AF188,'Performance Curves'!$D$1:$L$1,1)+1)-INDEX('Performance Curves'!$D$1:$L$1,1,MATCH('BMP P Tracking Table'!$AF188,'Performance Curves'!$D$1:$L$1,1))),"")</f>
        <v/>
      </c>
      <c r="AI188" s="103" t="str">
        <f>IFERROR(IF('BMP P Tracking Table'!$AF188=2,VLOOKUP(CONCATENATE('BMP P Tracking Table'!$U188," ",'BMP P Tracking Table'!$AD188),'Performance Curves'!$C$1:$L$46,_xlfn.SINGLE(MATCH('BMP P Tracking Table'!$AF188,'Performance Curves'!$D$1:$L$1,1))+1,FALSE),'BMP P Tracking Table'!$AG188*'BMP P Tracking Table'!$AH188+VLOOKUP(CONCATENATE('BMP P Tracking Table'!$U188," ",'BMP P Tracking Table'!$AD188),'Performance Curves'!$C$1:$L$46,_xlfn.SINGLE(MATCH('BMP P Tracking Table'!$AF188,'Performance Curves'!$D$1:$L$1,1))+1,FALSE)),"")</f>
        <v/>
      </c>
      <c r="AJ188" s="104" t="str">
        <f>IFERROR('BMP P Tracking Table'!$AI188*'BMP P Tracking Table'!$AE188,"")</f>
        <v/>
      </c>
      <c r="AK188" s="65"/>
      <c r="AL188" s="98"/>
      <c r="AM188" s="98"/>
      <c r="AN188" s="64">
        <v>1</v>
      </c>
      <c r="AO188" s="102" t="str">
        <f t="shared" si="33"/>
        <v/>
      </c>
      <c r="AP188" s="98"/>
      <c r="AQ188" s="98"/>
      <c r="AR188" s="98"/>
      <c r="AS188" s="98"/>
      <c r="AT188" s="98"/>
      <c r="AU188" s="98"/>
      <c r="AV188" s="98"/>
      <c r="AW188" s="65"/>
      <c r="AX188" s="99"/>
      <c r="AY188" s="99"/>
      <c r="AZ188" s="104" t="str">
        <f>IF('BMP P Tracking Table'!$AL188="Yes",IF('BMP P Tracking Table'!$AM188="No",'BMP P Tracking Table'!$V188*VLOOKUP('BMP P Tracking Table'!$R188,'Loading Rates'!$B$1:$L$24,4,FALSE)+IF('BMP P Tracking Table'!$W188="By HSG",'BMP P Tracking Table'!$X188*VLOOKUP('BMP P Tracking Table'!$R188,'Loading Rates'!$B$1:$L$24,6,FALSE)+'BMP P Tracking Table'!$Y188*VLOOKUP('BMP P Tracking Table'!$R188,'Loading Rates'!$B$1:$L$24,7,FALSE)+'BMP P Tracking Table'!$Z188*VLOOKUP('BMP P Tracking Table'!$R188,'Loading Rates'!$B$1:$L$24,8,FALSE)+'BMP P Tracking Table'!$AA188*VLOOKUP('BMP P Tracking Table'!$R188,'Loading Rates'!$B$1:$L$24,9,FALSE),'BMP P Tracking Table'!$AB188*VLOOKUP('BMP P Tracking Table'!$R188,'Loading Rates'!$B$1:$L$24,10,FALSE)),'BMP P Tracking Table'!$AP188*VLOOKUP('BMP P Tracking Table'!$R188,'Loading Rates'!$B$1:$L$24,4,FALSE)+IF('BMP P Tracking Table'!$AQ188="By HSG",'BMP P Tracking Table'!$AR188*VLOOKUP('BMP P Tracking Table'!$R188,'Loading Rates'!$B$1:$L$24,6,FALSE)+'BMP P Tracking Table'!$AS188*VLOOKUP('BMP P Tracking Table'!$R188,'Loading Rates'!$B$1:$L$24,7,FALSE)+'BMP P Tracking Table'!$AT188*VLOOKUP('BMP P Tracking Table'!$R188,'Loading Rates'!$B$1:$L$24,8,FALSE)+'BMP P Tracking Table'!$AU188*VLOOKUP('BMP P Tracking Table'!$R188,'Loading Rates'!$B$1:$L$24,9,FALSE),'BMP P Tracking Table'!$AV188*VLOOKUP('BMP P Tracking Table'!$R188,'Loading Rates'!$B$1:$L$24,10,FALSE))),"")</f>
        <v/>
      </c>
      <c r="BA188" s="104" t="str">
        <f>IFERROR(IF('BMP P Tracking Table'!$AM188="Yes",MIN(2,IF('BMP P Tracking Table'!$AQ188="Total Pervious",(-(3630*'BMP P Tracking Table'!$AP188+20.691*'BMP P Tracking Table'!$AV188)+SQRT((3630*'BMP P Tracking Table'!$AP188+20.691*'BMP P Tracking Table'!$AV188)^2-(4*(996.798*'BMP P Tracking Table'!$AV188)*-'BMP P Tracking Table'!$AX188)))/(2*(996.798*'BMP P Tracking Table'!$AV188)),IF(SUM('BMP P Tracking Table'!$AR188:$AU188)=0,'BMP P Tracking Table'!$AV188/(-3630*'BMP P Tracking Table'!$AP188),(-(3630*'BMP P Tracking Table'!$AP188+20.691*'BMP P Tracking Table'!$AU188-216.711*'BMP P Tracking Table'!$AT188-83.853*'BMP P Tracking Table'!$AS188-42.834*'BMP P Tracking Table'!$AR188)+SQRT((3630*'BMP P Tracking Table'!$AP188+20.691*'BMP P Tracking Table'!$AU188-216.711*'BMP P Tracking Table'!$AT188-83.853*'BMP P Tracking Table'!$AS188-42.834*'BMP P Tracking Table'!$AR188)^2-(4*(149.919*'BMP P Tracking Table'!$AR188+236.676*'BMP P Tracking Table'!$AS188+726*'BMP P Tracking Table'!$AT188+996.798*'BMP P Tracking Table'!$AU188)*-'BMP P Tracking Table'!$AX188)))/(2*(149.919*'BMP P Tracking Table'!$AR188+236.676*'BMP P Tracking Table'!$AS188+726*'BMP P Tracking Table'!$AT188+996.798*'BMP P Tracking Table'!$AU188))))),MIN(2,IF('BMP P Tracking Table'!$AQ188="Total Pervious",(-(3630*'BMP P Tracking Table'!$V188+20.691*'BMP P Tracking Table'!$AB188)+SQRT((3630*'BMP P Tracking Table'!$V188+20.691*'BMP P Tracking Table'!$AB188)^2-(4*(996.798*'BMP P Tracking Table'!$AB188)*-'BMP P Tracking Table'!$AX188)))/(2*(996.798*'BMP P Tracking Table'!$AB188)),IF(SUM('BMP P Tracking Table'!$X188:$AA188)=0,'BMP P Tracking Table'!$AX188/(-3630*'BMP P Tracking Table'!$V188),(-(3630*'BMP P Tracking Table'!$V188+20.691*'BMP P Tracking Table'!$AA188-216.711*'BMP P Tracking Table'!$Z188-83.853*'BMP P Tracking Table'!$Y188-42.834*'BMP P Tracking Table'!$X188)+SQRT((3630*'BMP P Tracking Table'!$V188+20.691*'BMP P Tracking Table'!$AA188-216.711*'BMP P Tracking Table'!$Z188-83.853*'BMP P Tracking Table'!$Y188-42.834*'BMP P Tracking Table'!$X188)^2-(4*(149.919*'BMP P Tracking Table'!$X188+236.676*'BMP P Tracking Table'!$Y188+726*'BMP P Tracking Table'!$Z188+996.798*'BMP P Tracking Table'!$AA188)*-'BMP P Tracking Table'!$AX188)))/(2*(149.919*'BMP P Tracking Table'!$X188+236.676*'BMP P Tracking Table'!$Y188+726*'BMP P Tracking Table'!$Z188+996.798*'BMP P Tracking Table'!$AA188)))))),"")</f>
        <v/>
      </c>
      <c r="BB188" s="102" t="str">
        <f>IFERROR((VLOOKUP(CONCATENATE('BMP P Tracking Table'!$AW188," ",'BMP P Tracking Table'!$AY188),'Performance Curves'!$C$1:$L$46,_xlfn.SINGLE(MATCH('BMP P Tracking Table'!$BA188,'Performance Curves'!$D$1:$L$1,1))+2,FALSE)-VLOOKUP(CONCATENATE('BMP P Tracking Table'!$AW188," ",'BMP P Tracking Table'!$AY188),'Performance Curves'!$C$1:$L$46,_xlfn.SINGLE(MATCH('BMP P Tracking Table'!$BA188,'Performance Curves'!$D$1:$L$1,1))+1,FALSE)),"")</f>
        <v/>
      </c>
      <c r="BC188" s="102" t="str">
        <f>IFERROR(('BMP P Tracking Table'!$BA188-INDEX('Performance Curves'!$D$1:$L$1,1,MATCH('BMP P Tracking Table'!$BA188,'Performance Curves'!$D$1:$L$1,1)))/(INDEX('Performance Curves'!$D$1:$L$1,1,MATCH('BMP P Tracking Table'!$BA188,'Performance Curves'!$D$1:$L$1,1)+1)-INDEX('Performance Curves'!$D$1:$L$1,1,MATCH('BMP P Tracking Table'!$BA188,'Performance Curves'!$D$1:$L$1,1))),"")</f>
        <v/>
      </c>
      <c r="BD188" s="103" t="str" cm="1">
        <f t="array" ref="BD188">IFERROR(IF('BMP P Tracking Table'!$BA188=2,VLOOKUP(CONCATENATE('BMP P Tracking Table'!$AW188," ",'BMP P Tracking Table'!$AY188),'Performance Curves'!$C$1:$L$44,_xlfn.SINGLE(MATCH('BMP P Tracking Table'!$BA188,'Performance Curves'!$D$1:$L$1,1))+1,FALSE),'BMP P Tracking Table'!$BB188*'BMP P Tracking Table'!$BC188+VLOOKUP(CONCATENATE('BMP P Tracking Table'!$AW188," ",'BMP P Tracking Table'!$AY188),'Performance Curves'!$C$1:$L$44,_xlfn.SINGLE(MATCH('BMP P Tracking Table'!$BA188,'Performance Curves'!$D$1:$L$1,1))+1,FALSE)),"")</f>
        <v/>
      </c>
      <c r="BE188" s="104" t="str">
        <f>IFERROR('BMP P Tracking Table'!$BD188*'BMP P Tracking Table'!$AZ188,"")</f>
        <v/>
      </c>
      <c r="BF188" s="92"/>
      <c r="BG188" s="37">
        <f t="shared" si="34"/>
        <v>0</v>
      </c>
    </row>
    <row r="189" spans="2:59" s="36" customFormat="1">
      <c r="B189" s="65"/>
      <c r="C189" s="65"/>
      <c r="D189" s="65"/>
      <c r="E189" s="65"/>
      <c r="F189" s="94"/>
      <c r="G189" s="94"/>
      <c r="H189" s="65"/>
      <c r="I189" s="65"/>
      <c r="J189" s="65"/>
      <c r="K189" s="95"/>
      <c r="L189" s="65"/>
      <c r="M189" s="65"/>
      <c r="N189" s="65"/>
      <c r="O189" s="65"/>
      <c r="P189" s="65"/>
      <c r="Q189" s="65"/>
      <c r="R189" s="65" t="str">
        <f>IFERROR(VLOOKUP('BMP P Tracking Table'!$Q189,Dropdowns!$C$2:$E$15,3,FALSE),"")</f>
        <v/>
      </c>
      <c r="S189" s="65" t="str">
        <f>IFERROR(VLOOKUP('BMP P Tracking Table'!$R189,Dropdowns!$Q$3:$R$23,2,FALSE),"")</f>
        <v/>
      </c>
      <c r="T189" s="65"/>
      <c r="U189" s="65"/>
      <c r="V189" s="65"/>
      <c r="W189" s="65"/>
      <c r="X189" s="65"/>
      <c r="Y189" s="65"/>
      <c r="Z189" s="65"/>
      <c r="AA189" s="65"/>
      <c r="AB189" s="65"/>
      <c r="AC189" s="97"/>
      <c r="AD189" s="65"/>
      <c r="AE189" s="104" t="str">
        <f>IFERROR('BMP P Tracking Table'!$V189*VLOOKUP('BMP P Tracking Table'!$R189,'Loading Rates'!$B$1:$L$24,4,FALSE)+IF('BMP P Tracking Table'!$W189="By HSG",'BMP P Tracking Table'!$X189*VLOOKUP('BMP P Tracking Table'!$R189,'Loading Rates'!$B$1:$L$24,6,FALSE)+'BMP P Tracking Table'!$Y189*VLOOKUP('BMP P Tracking Table'!$R189,'Loading Rates'!$B$1:$L$24,7,FALSE)+'BMP P Tracking Table'!$Z189*VLOOKUP('BMP P Tracking Table'!$R189,'Loading Rates'!$B$1:$L$24,8,FALSE)+'BMP P Tracking Table'!$AA189*VLOOKUP('BMP P Tracking Table'!$R189,'Loading Rates'!$B$1:$L$24,9,FALSE),'BMP P Tracking Table'!$AB189*VLOOKUP('BMP P Tracking Table'!$R189,'Loading Rates'!$B$1:$L$24,10,FALSE)),"")</f>
        <v/>
      </c>
      <c r="AF189" s="104" t="str">
        <f>IFERROR(MIN(2,IF('BMP P Tracking Table'!$W189="Total Pervious",(-(3630*'BMP P Tracking Table'!$V189+20.691*'BMP P Tracking Table'!$AB189)+SQRT((3630*'BMP P Tracking Table'!$V189+20.691*'BMP P Tracking Table'!$AB189)^2-(4*(996.798*'BMP P Tracking Table'!$AB189)*-'BMP P Tracking Table'!$AC189)))/(2*(996.798*'BMP P Tracking Table'!$AB189)),IF(SUM('BMP P Tracking Table'!$X189:$AA189)=0,'BMP P Tracking Table'!$AC189/(-3630*'BMP P Tracking Table'!$V189),(-(3630*'BMP P Tracking Table'!$V189+20.691*'BMP P Tracking Table'!$AA189-216.711*'BMP P Tracking Table'!$Z189-83.853*'BMP P Tracking Table'!$Y189-42.834*'BMP P Tracking Table'!$X189)+SQRT((3630*'BMP P Tracking Table'!$V189+20.691*'BMP P Tracking Table'!$AA189-216.711*'BMP P Tracking Table'!$Z189-83.853*'BMP P Tracking Table'!$Y189-42.834*'BMP P Tracking Table'!$X189)^2-(4*(149.919*'BMP P Tracking Table'!$X189+236.676*'BMP P Tracking Table'!$Y189+726*'BMP P Tracking Table'!$Z189+996.798*'BMP P Tracking Table'!$AA189)*-'BMP P Tracking Table'!$AC189)))/(2*(149.919*'BMP P Tracking Table'!$X189+236.676*'BMP P Tracking Table'!$Y189+726*'BMP P Tracking Table'!$Z189+996.798*'BMP P Tracking Table'!$AA189))))),"")</f>
        <v/>
      </c>
      <c r="AG189" s="104" t="str">
        <f>IFERROR((VLOOKUP(CONCATENATE('BMP P Tracking Table'!$U189," ",'BMP P Tracking Table'!$AD189),'Performance Curves'!$C$1:$L$46,_xlfn.SINGLE(MATCH('BMP P Tracking Table'!$AF189,'Performance Curves'!$D$1:$L$1,1))+2,FALSE)-VLOOKUP(CONCATENATE('BMP P Tracking Table'!$U189," ",'BMP P Tracking Table'!$AD189),'Performance Curves'!$C$1:$L$46,_xlfn.SINGLE(MATCH('BMP P Tracking Table'!$AF189,'Performance Curves'!$D$1:$L$1,1))+1,FALSE)),"")</f>
        <v/>
      </c>
      <c r="AH189" s="104" t="str">
        <f>IFERROR(('BMP P Tracking Table'!$AF189-INDEX('Performance Curves'!$D$1:$L$1,1,MATCH('BMP P Tracking Table'!$AF189,'Performance Curves'!$D$1:$L$1,1)))/(INDEX('Performance Curves'!$D$1:$L$1,1,MATCH('BMP P Tracking Table'!$AF189,'Performance Curves'!$D$1:$L$1,1)+1)-INDEX('Performance Curves'!$D$1:$L$1,1,MATCH('BMP P Tracking Table'!$AF189,'Performance Curves'!$D$1:$L$1,1))),"")</f>
        <v/>
      </c>
      <c r="AI189" s="103" t="str">
        <f>IFERROR(IF('BMP P Tracking Table'!$AF189=2,VLOOKUP(CONCATENATE('BMP P Tracking Table'!$U189," ",'BMP P Tracking Table'!$AD189),'Performance Curves'!$C$1:$L$46,_xlfn.SINGLE(MATCH('BMP P Tracking Table'!$AF189,'Performance Curves'!$D$1:$L$1,1))+1,FALSE),'BMP P Tracking Table'!$AG189*'BMP P Tracking Table'!$AH189+VLOOKUP(CONCATENATE('BMP P Tracking Table'!$U189," ",'BMP P Tracking Table'!$AD189),'Performance Curves'!$C$1:$L$46,_xlfn.SINGLE(MATCH('BMP P Tracking Table'!$AF189,'Performance Curves'!$D$1:$L$1,1))+1,FALSE)),"")</f>
        <v/>
      </c>
      <c r="AJ189" s="104" t="str">
        <f>IFERROR('BMP P Tracking Table'!$AI189*'BMP P Tracking Table'!$AE189,"")</f>
        <v/>
      </c>
      <c r="AK189" s="65"/>
      <c r="AL189" s="98"/>
      <c r="AM189" s="98"/>
      <c r="AN189" s="64">
        <v>1</v>
      </c>
      <c r="AO189" s="102" t="str">
        <f t="shared" si="33"/>
        <v/>
      </c>
      <c r="AP189" s="98"/>
      <c r="AQ189" s="98"/>
      <c r="AR189" s="98"/>
      <c r="AS189" s="98"/>
      <c r="AT189" s="98"/>
      <c r="AU189" s="98"/>
      <c r="AV189" s="98"/>
      <c r="AW189" s="65"/>
      <c r="AX189" s="99"/>
      <c r="AY189" s="99"/>
      <c r="AZ189" s="104" t="str">
        <f>IF('BMP P Tracking Table'!$AL189="Yes",IF('BMP P Tracking Table'!$AM189="No",'BMP P Tracking Table'!$V189*VLOOKUP('BMP P Tracking Table'!$R189,'Loading Rates'!$B$1:$L$24,4,FALSE)+IF('BMP P Tracking Table'!$W189="By HSG",'BMP P Tracking Table'!$X189*VLOOKUP('BMP P Tracking Table'!$R189,'Loading Rates'!$B$1:$L$24,6,FALSE)+'BMP P Tracking Table'!$Y189*VLOOKUP('BMP P Tracking Table'!$R189,'Loading Rates'!$B$1:$L$24,7,FALSE)+'BMP P Tracking Table'!$Z189*VLOOKUP('BMP P Tracking Table'!$R189,'Loading Rates'!$B$1:$L$24,8,FALSE)+'BMP P Tracking Table'!$AA189*VLOOKUP('BMP P Tracking Table'!$R189,'Loading Rates'!$B$1:$L$24,9,FALSE),'BMP P Tracking Table'!$AB189*VLOOKUP('BMP P Tracking Table'!$R189,'Loading Rates'!$B$1:$L$24,10,FALSE)),'BMP P Tracking Table'!$AP189*VLOOKUP('BMP P Tracking Table'!$R189,'Loading Rates'!$B$1:$L$24,4,FALSE)+IF('BMP P Tracking Table'!$AQ189="By HSG",'BMP P Tracking Table'!$AR189*VLOOKUP('BMP P Tracking Table'!$R189,'Loading Rates'!$B$1:$L$24,6,FALSE)+'BMP P Tracking Table'!$AS189*VLOOKUP('BMP P Tracking Table'!$R189,'Loading Rates'!$B$1:$L$24,7,FALSE)+'BMP P Tracking Table'!$AT189*VLOOKUP('BMP P Tracking Table'!$R189,'Loading Rates'!$B$1:$L$24,8,FALSE)+'BMP P Tracking Table'!$AU189*VLOOKUP('BMP P Tracking Table'!$R189,'Loading Rates'!$B$1:$L$24,9,FALSE),'BMP P Tracking Table'!$AV189*VLOOKUP('BMP P Tracking Table'!$R189,'Loading Rates'!$B$1:$L$24,10,FALSE))),"")</f>
        <v/>
      </c>
      <c r="BA189" s="104" t="str">
        <f>IFERROR(IF('BMP P Tracking Table'!$AM189="Yes",MIN(2,IF('BMP P Tracking Table'!$AQ189="Total Pervious",(-(3630*'BMP P Tracking Table'!$AP189+20.691*'BMP P Tracking Table'!$AV189)+SQRT((3630*'BMP P Tracking Table'!$AP189+20.691*'BMP P Tracking Table'!$AV189)^2-(4*(996.798*'BMP P Tracking Table'!$AV189)*-'BMP P Tracking Table'!$AX189)))/(2*(996.798*'BMP P Tracking Table'!$AV189)),IF(SUM('BMP P Tracking Table'!$AR189:$AU189)=0,'BMP P Tracking Table'!$AV189/(-3630*'BMP P Tracking Table'!$AP189),(-(3630*'BMP P Tracking Table'!$AP189+20.691*'BMP P Tracking Table'!$AU189-216.711*'BMP P Tracking Table'!$AT189-83.853*'BMP P Tracking Table'!$AS189-42.834*'BMP P Tracking Table'!$AR189)+SQRT((3630*'BMP P Tracking Table'!$AP189+20.691*'BMP P Tracking Table'!$AU189-216.711*'BMP P Tracking Table'!$AT189-83.853*'BMP P Tracking Table'!$AS189-42.834*'BMP P Tracking Table'!$AR189)^2-(4*(149.919*'BMP P Tracking Table'!$AR189+236.676*'BMP P Tracking Table'!$AS189+726*'BMP P Tracking Table'!$AT189+996.798*'BMP P Tracking Table'!$AU189)*-'BMP P Tracking Table'!$AX189)))/(2*(149.919*'BMP P Tracking Table'!$AR189+236.676*'BMP P Tracking Table'!$AS189+726*'BMP P Tracking Table'!$AT189+996.798*'BMP P Tracking Table'!$AU189))))),MIN(2,IF('BMP P Tracking Table'!$AQ189="Total Pervious",(-(3630*'BMP P Tracking Table'!$V189+20.691*'BMP P Tracking Table'!$AB189)+SQRT((3630*'BMP P Tracking Table'!$V189+20.691*'BMP P Tracking Table'!$AB189)^2-(4*(996.798*'BMP P Tracking Table'!$AB189)*-'BMP P Tracking Table'!$AX189)))/(2*(996.798*'BMP P Tracking Table'!$AB189)),IF(SUM('BMP P Tracking Table'!$X189:$AA189)=0,'BMP P Tracking Table'!$AX189/(-3630*'BMP P Tracking Table'!$V189),(-(3630*'BMP P Tracking Table'!$V189+20.691*'BMP P Tracking Table'!$AA189-216.711*'BMP P Tracking Table'!$Z189-83.853*'BMP P Tracking Table'!$Y189-42.834*'BMP P Tracking Table'!$X189)+SQRT((3630*'BMP P Tracking Table'!$V189+20.691*'BMP P Tracking Table'!$AA189-216.711*'BMP P Tracking Table'!$Z189-83.853*'BMP P Tracking Table'!$Y189-42.834*'BMP P Tracking Table'!$X189)^2-(4*(149.919*'BMP P Tracking Table'!$X189+236.676*'BMP P Tracking Table'!$Y189+726*'BMP P Tracking Table'!$Z189+996.798*'BMP P Tracking Table'!$AA189)*-'BMP P Tracking Table'!$AX189)))/(2*(149.919*'BMP P Tracking Table'!$X189+236.676*'BMP P Tracking Table'!$Y189+726*'BMP P Tracking Table'!$Z189+996.798*'BMP P Tracking Table'!$AA189)))))),"")</f>
        <v/>
      </c>
      <c r="BB189" s="102" t="str">
        <f>IFERROR((VLOOKUP(CONCATENATE('BMP P Tracking Table'!$AW189," ",'BMP P Tracking Table'!$AY189),'Performance Curves'!$C$1:$L$46,_xlfn.SINGLE(MATCH('BMP P Tracking Table'!$BA189,'Performance Curves'!$D$1:$L$1,1))+2,FALSE)-VLOOKUP(CONCATENATE('BMP P Tracking Table'!$AW189," ",'BMP P Tracking Table'!$AY189),'Performance Curves'!$C$1:$L$46,_xlfn.SINGLE(MATCH('BMP P Tracking Table'!$BA189,'Performance Curves'!$D$1:$L$1,1))+1,FALSE)),"")</f>
        <v/>
      </c>
      <c r="BC189" s="102" t="str">
        <f>IFERROR(('BMP P Tracking Table'!$BA189-INDEX('Performance Curves'!$D$1:$L$1,1,MATCH('BMP P Tracking Table'!$BA189,'Performance Curves'!$D$1:$L$1,1)))/(INDEX('Performance Curves'!$D$1:$L$1,1,MATCH('BMP P Tracking Table'!$BA189,'Performance Curves'!$D$1:$L$1,1)+1)-INDEX('Performance Curves'!$D$1:$L$1,1,MATCH('BMP P Tracking Table'!$BA189,'Performance Curves'!$D$1:$L$1,1))),"")</f>
        <v/>
      </c>
      <c r="BD189" s="103" t="str" cm="1">
        <f t="array" ref="BD189">IFERROR(IF('BMP P Tracking Table'!$BA189=2,VLOOKUP(CONCATENATE('BMP P Tracking Table'!$AW189," ",'BMP P Tracking Table'!$AY189),'Performance Curves'!$C$1:$L$44,_xlfn.SINGLE(MATCH('BMP P Tracking Table'!$BA189,'Performance Curves'!$D$1:$L$1,1))+1,FALSE),'BMP P Tracking Table'!$BB189*'BMP P Tracking Table'!$BC189+VLOOKUP(CONCATENATE('BMP P Tracking Table'!$AW189," ",'BMP P Tracking Table'!$AY189),'Performance Curves'!$C$1:$L$44,_xlfn.SINGLE(MATCH('BMP P Tracking Table'!$BA189,'Performance Curves'!$D$1:$L$1,1))+1,FALSE)),"")</f>
        <v/>
      </c>
      <c r="BE189" s="104" t="str">
        <f>IFERROR('BMP P Tracking Table'!$BD189*'BMP P Tracking Table'!$AZ189,"")</f>
        <v/>
      </c>
      <c r="BF189" s="98"/>
      <c r="BG189" s="37">
        <f t="shared" si="34"/>
        <v>0</v>
      </c>
    </row>
    <row r="190" spans="2:59" s="36" customFormat="1">
      <c r="B190" s="65"/>
      <c r="C190" s="65"/>
      <c r="D190" s="65"/>
      <c r="E190" s="65"/>
      <c r="F190" s="94"/>
      <c r="G190" s="94"/>
      <c r="H190" s="65"/>
      <c r="I190" s="65"/>
      <c r="J190" s="65"/>
      <c r="K190" s="95"/>
      <c r="L190" s="65"/>
      <c r="M190" s="65"/>
      <c r="N190" s="65"/>
      <c r="O190" s="65"/>
      <c r="P190" s="65"/>
      <c r="Q190" s="65"/>
      <c r="R190" s="65" t="str">
        <f>IFERROR(VLOOKUP('BMP P Tracking Table'!$Q190,Dropdowns!$C$2:$E$15,3,FALSE),"")</f>
        <v/>
      </c>
      <c r="S190" s="65" t="str">
        <f>IFERROR(VLOOKUP('BMP P Tracking Table'!$R190,Dropdowns!$Q$3:$R$23,2,FALSE),"")</f>
        <v/>
      </c>
      <c r="T190" s="65"/>
      <c r="U190" s="65"/>
      <c r="V190" s="65"/>
      <c r="W190" s="65"/>
      <c r="X190" s="65"/>
      <c r="Y190" s="65"/>
      <c r="Z190" s="65"/>
      <c r="AA190" s="65"/>
      <c r="AB190" s="65"/>
      <c r="AC190" s="97"/>
      <c r="AD190" s="65"/>
      <c r="AE190" s="104" t="str">
        <f>IFERROR('BMP P Tracking Table'!$V190*VLOOKUP('BMP P Tracking Table'!$R190,'Loading Rates'!$B$1:$L$24,4,FALSE)+IF('BMP P Tracking Table'!$W190="By HSG",'BMP P Tracking Table'!$X190*VLOOKUP('BMP P Tracking Table'!$R190,'Loading Rates'!$B$1:$L$24,6,FALSE)+'BMP P Tracking Table'!$Y190*VLOOKUP('BMP P Tracking Table'!$R190,'Loading Rates'!$B$1:$L$24,7,FALSE)+'BMP P Tracking Table'!$Z190*VLOOKUP('BMP P Tracking Table'!$R190,'Loading Rates'!$B$1:$L$24,8,FALSE)+'BMP P Tracking Table'!$AA190*VLOOKUP('BMP P Tracking Table'!$R190,'Loading Rates'!$B$1:$L$24,9,FALSE),'BMP P Tracking Table'!$AB190*VLOOKUP('BMP P Tracking Table'!$R190,'Loading Rates'!$B$1:$L$24,10,FALSE)),"")</f>
        <v/>
      </c>
      <c r="AF190" s="104" t="str">
        <f>IFERROR(MIN(2,IF('BMP P Tracking Table'!$W190="Total Pervious",(-(3630*'BMP P Tracking Table'!$V190+20.691*'BMP P Tracking Table'!$AB190)+SQRT((3630*'BMP P Tracking Table'!$V190+20.691*'BMP P Tracking Table'!$AB190)^2-(4*(996.798*'BMP P Tracking Table'!$AB190)*-'BMP P Tracking Table'!$AC190)))/(2*(996.798*'BMP P Tracking Table'!$AB190)),IF(SUM('BMP P Tracking Table'!$X190:$AA190)=0,'BMP P Tracking Table'!$AC190/(-3630*'BMP P Tracking Table'!$V190),(-(3630*'BMP P Tracking Table'!$V190+20.691*'BMP P Tracking Table'!$AA190-216.711*'BMP P Tracking Table'!$Z190-83.853*'BMP P Tracking Table'!$Y190-42.834*'BMP P Tracking Table'!$X190)+SQRT((3630*'BMP P Tracking Table'!$V190+20.691*'BMP P Tracking Table'!$AA190-216.711*'BMP P Tracking Table'!$Z190-83.853*'BMP P Tracking Table'!$Y190-42.834*'BMP P Tracking Table'!$X190)^2-(4*(149.919*'BMP P Tracking Table'!$X190+236.676*'BMP P Tracking Table'!$Y190+726*'BMP P Tracking Table'!$Z190+996.798*'BMP P Tracking Table'!$AA190)*-'BMP P Tracking Table'!$AC190)))/(2*(149.919*'BMP P Tracking Table'!$X190+236.676*'BMP P Tracking Table'!$Y190+726*'BMP P Tracking Table'!$Z190+996.798*'BMP P Tracking Table'!$AA190))))),"")</f>
        <v/>
      </c>
      <c r="AG190" s="104" t="str">
        <f>IFERROR((VLOOKUP(CONCATENATE('BMP P Tracking Table'!$U190," ",'BMP P Tracking Table'!$AD190),'Performance Curves'!$C$1:$L$46,_xlfn.SINGLE(MATCH('BMP P Tracking Table'!$AF190,'Performance Curves'!$D$1:$L$1,1))+2,FALSE)-VLOOKUP(CONCATENATE('BMP P Tracking Table'!$U190," ",'BMP P Tracking Table'!$AD190),'Performance Curves'!$C$1:$L$46,_xlfn.SINGLE(MATCH('BMP P Tracking Table'!$AF190,'Performance Curves'!$D$1:$L$1,1))+1,FALSE)),"")</f>
        <v/>
      </c>
      <c r="AH190" s="104" t="str">
        <f>IFERROR(('BMP P Tracking Table'!$AF190-INDEX('Performance Curves'!$D$1:$L$1,1,MATCH('BMP P Tracking Table'!$AF190,'Performance Curves'!$D$1:$L$1,1)))/(INDEX('Performance Curves'!$D$1:$L$1,1,MATCH('BMP P Tracking Table'!$AF190,'Performance Curves'!$D$1:$L$1,1)+1)-INDEX('Performance Curves'!$D$1:$L$1,1,MATCH('BMP P Tracking Table'!$AF190,'Performance Curves'!$D$1:$L$1,1))),"")</f>
        <v/>
      </c>
      <c r="AI190" s="103" t="str">
        <f>IFERROR(IF('BMP P Tracking Table'!$AF190=2,VLOOKUP(CONCATENATE('BMP P Tracking Table'!$U190," ",'BMP P Tracking Table'!$AD190),'Performance Curves'!$C$1:$L$46,_xlfn.SINGLE(MATCH('BMP P Tracking Table'!$AF190,'Performance Curves'!$D$1:$L$1,1))+1,FALSE),'BMP P Tracking Table'!$AG190*'BMP P Tracking Table'!$AH190+VLOOKUP(CONCATENATE('BMP P Tracking Table'!$U190," ",'BMP P Tracking Table'!$AD190),'Performance Curves'!$C$1:$L$46,_xlfn.SINGLE(MATCH('BMP P Tracking Table'!$AF190,'Performance Curves'!$D$1:$L$1,1))+1,FALSE)),"")</f>
        <v/>
      </c>
      <c r="AJ190" s="104" t="str">
        <f>IFERROR('BMP P Tracking Table'!$AI190*'BMP P Tracking Table'!$AE190,"")</f>
        <v/>
      </c>
      <c r="AK190" s="65"/>
      <c r="AL190" s="98"/>
      <c r="AM190" s="98"/>
      <c r="AN190" s="64">
        <v>1</v>
      </c>
      <c r="AO190" s="102" t="str">
        <f t="shared" si="33"/>
        <v/>
      </c>
      <c r="AP190" s="98"/>
      <c r="AQ190" s="98"/>
      <c r="AR190" s="98"/>
      <c r="AS190" s="98"/>
      <c r="AT190" s="98"/>
      <c r="AU190" s="98"/>
      <c r="AV190" s="98"/>
      <c r="AW190" s="65"/>
      <c r="AX190" s="99"/>
      <c r="AY190" s="99"/>
      <c r="AZ190" s="104" t="str">
        <f>IF('BMP P Tracking Table'!$AL190="Yes",IF('BMP P Tracking Table'!$AM190="No",'BMP P Tracking Table'!$V190*VLOOKUP('BMP P Tracking Table'!$R190,'Loading Rates'!$B$1:$L$24,4,FALSE)+IF('BMP P Tracking Table'!$W190="By HSG",'BMP P Tracking Table'!$X190*VLOOKUP('BMP P Tracking Table'!$R190,'Loading Rates'!$B$1:$L$24,6,FALSE)+'BMP P Tracking Table'!$Y190*VLOOKUP('BMP P Tracking Table'!$R190,'Loading Rates'!$B$1:$L$24,7,FALSE)+'BMP P Tracking Table'!$Z190*VLOOKUP('BMP P Tracking Table'!$R190,'Loading Rates'!$B$1:$L$24,8,FALSE)+'BMP P Tracking Table'!$AA190*VLOOKUP('BMP P Tracking Table'!$R190,'Loading Rates'!$B$1:$L$24,9,FALSE),'BMP P Tracking Table'!$AB190*VLOOKUP('BMP P Tracking Table'!$R190,'Loading Rates'!$B$1:$L$24,10,FALSE)),'BMP P Tracking Table'!$AP190*VLOOKUP('BMP P Tracking Table'!$R190,'Loading Rates'!$B$1:$L$24,4,FALSE)+IF('BMP P Tracking Table'!$AQ190="By HSG",'BMP P Tracking Table'!$AR190*VLOOKUP('BMP P Tracking Table'!$R190,'Loading Rates'!$B$1:$L$24,6,FALSE)+'BMP P Tracking Table'!$AS190*VLOOKUP('BMP P Tracking Table'!$R190,'Loading Rates'!$B$1:$L$24,7,FALSE)+'BMP P Tracking Table'!$AT190*VLOOKUP('BMP P Tracking Table'!$R190,'Loading Rates'!$B$1:$L$24,8,FALSE)+'BMP P Tracking Table'!$AU190*VLOOKUP('BMP P Tracking Table'!$R190,'Loading Rates'!$B$1:$L$24,9,FALSE),'BMP P Tracking Table'!$AV190*VLOOKUP('BMP P Tracking Table'!$R190,'Loading Rates'!$B$1:$L$24,10,FALSE))),"")</f>
        <v/>
      </c>
      <c r="BA190" s="104" t="str">
        <f>IFERROR(IF('BMP P Tracking Table'!$AM190="Yes",MIN(2,IF('BMP P Tracking Table'!$AQ190="Total Pervious",(-(3630*'BMP P Tracking Table'!$AP190+20.691*'BMP P Tracking Table'!$AV190)+SQRT((3630*'BMP P Tracking Table'!$AP190+20.691*'BMP P Tracking Table'!$AV190)^2-(4*(996.798*'BMP P Tracking Table'!$AV190)*-'BMP P Tracking Table'!$AX190)))/(2*(996.798*'BMP P Tracking Table'!$AV190)),IF(SUM('BMP P Tracking Table'!$AR190:$AU190)=0,'BMP P Tracking Table'!$AV190/(-3630*'BMP P Tracking Table'!$AP190),(-(3630*'BMP P Tracking Table'!$AP190+20.691*'BMP P Tracking Table'!$AU190-216.711*'BMP P Tracking Table'!$AT190-83.853*'BMP P Tracking Table'!$AS190-42.834*'BMP P Tracking Table'!$AR190)+SQRT((3630*'BMP P Tracking Table'!$AP190+20.691*'BMP P Tracking Table'!$AU190-216.711*'BMP P Tracking Table'!$AT190-83.853*'BMP P Tracking Table'!$AS190-42.834*'BMP P Tracking Table'!$AR190)^2-(4*(149.919*'BMP P Tracking Table'!$AR190+236.676*'BMP P Tracking Table'!$AS190+726*'BMP P Tracking Table'!$AT190+996.798*'BMP P Tracking Table'!$AU190)*-'BMP P Tracking Table'!$AX190)))/(2*(149.919*'BMP P Tracking Table'!$AR190+236.676*'BMP P Tracking Table'!$AS190+726*'BMP P Tracking Table'!$AT190+996.798*'BMP P Tracking Table'!$AU190))))),MIN(2,IF('BMP P Tracking Table'!$AQ190="Total Pervious",(-(3630*'BMP P Tracking Table'!$V190+20.691*'BMP P Tracking Table'!$AB190)+SQRT((3630*'BMP P Tracking Table'!$V190+20.691*'BMP P Tracking Table'!$AB190)^2-(4*(996.798*'BMP P Tracking Table'!$AB190)*-'BMP P Tracking Table'!$AX190)))/(2*(996.798*'BMP P Tracking Table'!$AB190)),IF(SUM('BMP P Tracking Table'!$X190:$AA190)=0,'BMP P Tracking Table'!$AX190/(-3630*'BMP P Tracking Table'!$V190),(-(3630*'BMP P Tracking Table'!$V190+20.691*'BMP P Tracking Table'!$AA190-216.711*'BMP P Tracking Table'!$Z190-83.853*'BMP P Tracking Table'!$Y190-42.834*'BMP P Tracking Table'!$X190)+SQRT((3630*'BMP P Tracking Table'!$V190+20.691*'BMP P Tracking Table'!$AA190-216.711*'BMP P Tracking Table'!$Z190-83.853*'BMP P Tracking Table'!$Y190-42.834*'BMP P Tracking Table'!$X190)^2-(4*(149.919*'BMP P Tracking Table'!$X190+236.676*'BMP P Tracking Table'!$Y190+726*'BMP P Tracking Table'!$Z190+996.798*'BMP P Tracking Table'!$AA190)*-'BMP P Tracking Table'!$AX190)))/(2*(149.919*'BMP P Tracking Table'!$X190+236.676*'BMP P Tracking Table'!$Y190+726*'BMP P Tracking Table'!$Z190+996.798*'BMP P Tracking Table'!$AA190)))))),"")</f>
        <v/>
      </c>
      <c r="BB190" s="102" t="str">
        <f>IFERROR((VLOOKUP(CONCATENATE('BMP P Tracking Table'!$AW190," ",'BMP P Tracking Table'!$AY190),'Performance Curves'!$C$1:$L$46,_xlfn.SINGLE(MATCH('BMP P Tracking Table'!$BA190,'Performance Curves'!$D$1:$L$1,1))+2,FALSE)-VLOOKUP(CONCATENATE('BMP P Tracking Table'!$AW190," ",'BMP P Tracking Table'!$AY190),'Performance Curves'!$C$1:$L$46,_xlfn.SINGLE(MATCH('BMP P Tracking Table'!$BA190,'Performance Curves'!$D$1:$L$1,1))+1,FALSE)),"")</f>
        <v/>
      </c>
      <c r="BC190" s="102" t="str">
        <f>IFERROR(('BMP P Tracking Table'!$BA190-INDEX('Performance Curves'!$D$1:$L$1,1,MATCH('BMP P Tracking Table'!$BA190,'Performance Curves'!$D$1:$L$1,1)))/(INDEX('Performance Curves'!$D$1:$L$1,1,MATCH('BMP P Tracking Table'!$BA190,'Performance Curves'!$D$1:$L$1,1)+1)-INDEX('Performance Curves'!$D$1:$L$1,1,MATCH('BMP P Tracking Table'!$BA190,'Performance Curves'!$D$1:$L$1,1))),"")</f>
        <v/>
      </c>
      <c r="BD190" s="103" t="str" cm="1">
        <f t="array" ref="BD190">IFERROR(IF('BMP P Tracking Table'!$BA190=2,VLOOKUP(CONCATENATE('BMP P Tracking Table'!$AW190," ",'BMP P Tracking Table'!$AY190),'Performance Curves'!$C$1:$L$44,_xlfn.SINGLE(MATCH('BMP P Tracking Table'!$BA190,'Performance Curves'!$D$1:$L$1,1))+1,FALSE),'BMP P Tracking Table'!$BB190*'BMP P Tracking Table'!$BC190+VLOOKUP(CONCATENATE('BMP P Tracking Table'!$AW190," ",'BMP P Tracking Table'!$AY190),'Performance Curves'!$C$1:$L$44,_xlfn.SINGLE(MATCH('BMP P Tracking Table'!$BA190,'Performance Curves'!$D$1:$L$1,1))+1,FALSE)),"")</f>
        <v/>
      </c>
      <c r="BE190" s="104" t="str">
        <f>IFERROR('BMP P Tracking Table'!$BD190*'BMP P Tracking Table'!$AZ190,"")</f>
        <v/>
      </c>
      <c r="BF190" s="98"/>
      <c r="BG190" s="37">
        <f t="shared" si="34"/>
        <v>0</v>
      </c>
    </row>
    <row r="191" spans="2:59" s="36" customFormat="1">
      <c r="B191" s="65"/>
      <c r="C191" s="65"/>
      <c r="D191" s="65"/>
      <c r="E191" s="65"/>
      <c r="F191" s="94"/>
      <c r="G191" s="94"/>
      <c r="H191" s="65"/>
      <c r="I191" s="65"/>
      <c r="J191" s="65"/>
      <c r="K191" s="95"/>
      <c r="L191" s="65"/>
      <c r="M191" s="65"/>
      <c r="N191" s="65"/>
      <c r="O191" s="65"/>
      <c r="P191" s="65"/>
      <c r="Q191" s="65"/>
      <c r="R191" s="65" t="str">
        <f>IFERROR(VLOOKUP('BMP P Tracking Table'!$Q191,Dropdowns!$C$2:$E$15,3,FALSE),"")</f>
        <v/>
      </c>
      <c r="S191" s="65" t="str">
        <f>IFERROR(VLOOKUP('BMP P Tracking Table'!$R191,Dropdowns!$Q$3:$R$23,2,FALSE),"")</f>
        <v/>
      </c>
      <c r="T191" s="65"/>
      <c r="U191" s="65"/>
      <c r="V191" s="65"/>
      <c r="W191" s="65"/>
      <c r="X191" s="65"/>
      <c r="Y191" s="65"/>
      <c r="Z191" s="65"/>
      <c r="AA191" s="65"/>
      <c r="AB191" s="65"/>
      <c r="AC191" s="97"/>
      <c r="AD191" s="65"/>
      <c r="AE191" s="104" t="str">
        <f>IFERROR('BMP P Tracking Table'!$V191*VLOOKUP('BMP P Tracking Table'!$R191,'Loading Rates'!$B$1:$L$24,4,FALSE)+IF('BMP P Tracking Table'!$W191="By HSG",'BMP P Tracking Table'!$X191*VLOOKUP('BMP P Tracking Table'!$R191,'Loading Rates'!$B$1:$L$24,6,FALSE)+'BMP P Tracking Table'!$Y191*VLOOKUP('BMP P Tracking Table'!$R191,'Loading Rates'!$B$1:$L$24,7,FALSE)+'BMP P Tracking Table'!$Z191*VLOOKUP('BMP P Tracking Table'!$R191,'Loading Rates'!$B$1:$L$24,8,FALSE)+'BMP P Tracking Table'!$AA191*VLOOKUP('BMP P Tracking Table'!$R191,'Loading Rates'!$B$1:$L$24,9,FALSE),'BMP P Tracking Table'!$AB191*VLOOKUP('BMP P Tracking Table'!$R191,'Loading Rates'!$B$1:$L$24,10,FALSE)),"")</f>
        <v/>
      </c>
      <c r="AF191" s="104" t="str">
        <f>IFERROR(MIN(2,IF('BMP P Tracking Table'!$W191="Total Pervious",(-(3630*'BMP P Tracking Table'!$V191+20.691*'BMP P Tracking Table'!$AB191)+SQRT((3630*'BMP P Tracking Table'!$V191+20.691*'BMP P Tracking Table'!$AB191)^2-(4*(996.798*'BMP P Tracking Table'!$AB191)*-'BMP P Tracking Table'!$AC191)))/(2*(996.798*'BMP P Tracking Table'!$AB191)),IF(SUM('BMP P Tracking Table'!$X191:$AA191)=0,'BMP P Tracking Table'!$AC191/(-3630*'BMP P Tracking Table'!$V191),(-(3630*'BMP P Tracking Table'!$V191+20.691*'BMP P Tracking Table'!$AA191-216.711*'BMP P Tracking Table'!$Z191-83.853*'BMP P Tracking Table'!$Y191-42.834*'BMP P Tracking Table'!$X191)+SQRT((3630*'BMP P Tracking Table'!$V191+20.691*'BMP P Tracking Table'!$AA191-216.711*'BMP P Tracking Table'!$Z191-83.853*'BMP P Tracking Table'!$Y191-42.834*'BMP P Tracking Table'!$X191)^2-(4*(149.919*'BMP P Tracking Table'!$X191+236.676*'BMP P Tracking Table'!$Y191+726*'BMP P Tracking Table'!$Z191+996.798*'BMP P Tracking Table'!$AA191)*-'BMP P Tracking Table'!$AC191)))/(2*(149.919*'BMP P Tracking Table'!$X191+236.676*'BMP P Tracking Table'!$Y191+726*'BMP P Tracking Table'!$Z191+996.798*'BMP P Tracking Table'!$AA191))))),"")</f>
        <v/>
      </c>
      <c r="AG191" s="104" t="str">
        <f>IFERROR((VLOOKUP(CONCATENATE('BMP P Tracking Table'!$U191," ",'BMP P Tracking Table'!$AD191),'Performance Curves'!$C$1:$L$46,_xlfn.SINGLE(MATCH('BMP P Tracking Table'!$AF191,'Performance Curves'!$D$1:$L$1,1))+2,FALSE)-VLOOKUP(CONCATENATE('BMP P Tracking Table'!$U191," ",'BMP P Tracking Table'!$AD191),'Performance Curves'!$C$1:$L$46,_xlfn.SINGLE(MATCH('BMP P Tracking Table'!$AF191,'Performance Curves'!$D$1:$L$1,1))+1,FALSE)),"")</f>
        <v/>
      </c>
      <c r="AH191" s="104" t="str">
        <f>IFERROR(('BMP P Tracking Table'!$AF191-INDEX('Performance Curves'!$D$1:$L$1,1,MATCH('BMP P Tracking Table'!$AF191,'Performance Curves'!$D$1:$L$1,1)))/(INDEX('Performance Curves'!$D$1:$L$1,1,MATCH('BMP P Tracking Table'!$AF191,'Performance Curves'!$D$1:$L$1,1)+1)-INDEX('Performance Curves'!$D$1:$L$1,1,MATCH('BMP P Tracking Table'!$AF191,'Performance Curves'!$D$1:$L$1,1))),"")</f>
        <v/>
      </c>
      <c r="AI191" s="103" t="str">
        <f>IFERROR(IF('BMP P Tracking Table'!$AF191=2,VLOOKUP(CONCATENATE('BMP P Tracking Table'!$U191," ",'BMP P Tracking Table'!$AD191),'Performance Curves'!$C$1:$L$46,_xlfn.SINGLE(MATCH('BMP P Tracking Table'!$AF191,'Performance Curves'!$D$1:$L$1,1))+1,FALSE),'BMP P Tracking Table'!$AG191*'BMP P Tracking Table'!$AH191+VLOOKUP(CONCATENATE('BMP P Tracking Table'!$U191," ",'BMP P Tracking Table'!$AD191),'Performance Curves'!$C$1:$L$46,_xlfn.SINGLE(MATCH('BMP P Tracking Table'!$AF191,'Performance Curves'!$D$1:$L$1,1))+1,FALSE)),"")</f>
        <v/>
      </c>
      <c r="AJ191" s="104" t="str">
        <f>IFERROR('BMP P Tracking Table'!$AI191*'BMP P Tracking Table'!$AE191,"")</f>
        <v/>
      </c>
      <c r="AK191" s="65"/>
      <c r="AL191" s="98"/>
      <c r="AM191" s="98"/>
      <c r="AN191" s="64">
        <v>1</v>
      </c>
      <c r="AO191" s="102" t="str">
        <f t="shared" si="33"/>
        <v/>
      </c>
      <c r="AP191" s="98"/>
      <c r="AQ191" s="98"/>
      <c r="AR191" s="98"/>
      <c r="AS191" s="98"/>
      <c r="AT191" s="98"/>
      <c r="AU191" s="98"/>
      <c r="AV191" s="98"/>
      <c r="AW191" s="65"/>
      <c r="AX191" s="99"/>
      <c r="AY191" s="99"/>
      <c r="AZ191" s="104" t="str">
        <f>IF('BMP P Tracking Table'!$AL191="Yes",IF('BMP P Tracking Table'!$AM191="No",'BMP P Tracking Table'!$V191*VLOOKUP('BMP P Tracking Table'!$R191,'Loading Rates'!$B$1:$L$24,4,FALSE)+IF('BMP P Tracking Table'!$W191="By HSG",'BMP P Tracking Table'!$X191*VLOOKUP('BMP P Tracking Table'!$R191,'Loading Rates'!$B$1:$L$24,6,FALSE)+'BMP P Tracking Table'!$Y191*VLOOKUP('BMP P Tracking Table'!$R191,'Loading Rates'!$B$1:$L$24,7,FALSE)+'BMP P Tracking Table'!$Z191*VLOOKUP('BMP P Tracking Table'!$R191,'Loading Rates'!$B$1:$L$24,8,FALSE)+'BMP P Tracking Table'!$AA191*VLOOKUP('BMP P Tracking Table'!$R191,'Loading Rates'!$B$1:$L$24,9,FALSE),'BMP P Tracking Table'!$AB191*VLOOKUP('BMP P Tracking Table'!$R191,'Loading Rates'!$B$1:$L$24,10,FALSE)),'BMP P Tracking Table'!$AP191*VLOOKUP('BMP P Tracking Table'!$R191,'Loading Rates'!$B$1:$L$24,4,FALSE)+IF('BMP P Tracking Table'!$AQ191="By HSG",'BMP P Tracking Table'!$AR191*VLOOKUP('BMP P Tracking Table'!$R191,'Loading Rates'!$B$1:$L$24,6,FALSE)+'BMP P Tracking Table'!$AS191*VLOOKUP('BMP P Tracking Table'!$R191,'Loading Rates'!$B$1:$L$24,7,FALSE)+'BMP P Tracking Table'!$AT191*VLOOKUP('BMP P Tracking Table'!$R191,'Loading Rates'!$B$1:$L$24,8,FALSE)+'BMP P Tracking Table'!$AU191*VLOOKUP('BMP P Tracking Table'!$R191,'Loading Rates'!$B$1:$L$24,9,FALSE),'BMP P Tracking Table'!$AV191*VLOOKUP('BMP P Tracking Table'!$R191,'Loading Rates'!$B$1:$L$24,10,FALSE))),"")</f>
        <v/>
      </c>
      <c r="BA191" s="104" t="str">
        <f>IFERROR(IF('BMP P Tracking Table'!$AM191="Yes",MIN(2,IF('BMP P Tracking Table'!$AQ191="Total Pervious",(-(3630*'BMP P Tracking Table'!$AP191+20.691*'BMP P Tracking Table'!$AV191)+SQRT((3630*'BMP P Tracking Table'!$AP191+20.691*'BMP P Tracking Table'!$AV191)^2-(4*(996.798*'BMP P Tracking Table'!$AV191)*-'BMP P Tracking Table'!$AX191)))/(2*(996.798*'BMP P Tracking Table'!$AV191)),IF(SUM('BMP P Tracking Table'!$AR191:$AU191)=0,'BMP P Tracking Table'!$AV191/(-3630*'BMP P Tracking Table'!$AP191),(-(3630*'BMP P Tracking Table'!$AP191+20.691*'BMP P Tracking Table'!$AU191-216.711*'BMP P Tracking Table'!$AT191-83.853*'BMP P Tracking Table'!$AS191-42.834*'BMP P Tracking Table'!$AR191)+SQRT((3630*'BMP P Tracking Table'!$AP191+20.691*'BMP P Tracking Table'!$AU191-216.711*'BMP P Tracking Table'!$AT191-83.853*'BMP P Tracking Table'!$AS191-42.834*'BMP P Tracking Table'!$AR191)^2-(4*(149.919*'BMP P Tracking Table'!$AR191+236.676*'BMP P Tracking Table'!$AS191+726*'BMP P Tracking Table'!$AT191+996.798*'BMP P Tracking Table'!$AU191)*-'BMP P Tracking Table'!$AX191)))/(2*(149.919*'BMP P Tracking Table'!$AR191+236.676*'BMP P Tracking Table'!$AS191+726*'BMP P Tracking Table'!$AT191+996.798*'BMP P Tracking Table'!$AU191))))),MIN(2,IF('BMP P Tracking Table'!$AQ191="Total Pervious",(-(3630*'BMP P Tracking Table'!$V191+20.691*'BMP P Tracking Table'!$AB191)+SQRT((3630*'BMP P Tracking Table'!$V191+20.691*'BMP P Tracking Table'!$AB191)^2-(4*(996.798*'BMP P Tracking Table'!$AB191)*-'BMP P Tracking Table'!$AX191)))/(2*(996.798*'BMP P Tracking Table'!$AB191)),IF(SUM('BMP P Tracking Table'!$X191:$AA191)=0,'BMP P Tracking Table'!$AX191/(-3630*'BMP P Tracking Table'!$V191),(-(3630*'BMP P Tracking Table'!$V191+20.691*'BMP P Tracking Table'!$AA191-216.711*'BMP P Tracking Table'!$Z191-83.853*'BMP P Tracking Table'!$Y191-42.834*'BMP P Tracking Table'!$X191)+SQRT((3630*'BMP P Tracking Table'!$V191+20.691*'BMP P Tracking Table'!$AA191-216.711*'BMP P Tracking Table'!$Z191-83.853*'BMP P Tracking Table'!$Y191-42.834*'BMP P Tracking Table'!$X191)^2-(4*(149.919*'BMP P Tracking Table'!$X191+236.676*'BMP P Tracking Table'!$Y191+726*'BMP P Tracking Table'!$Z191+996.798*'BMP P Tracking Table'!$AA191)*-'BMP P Tracking Table'!$AX191)))/(2*(149.919*'BMP P Tracking Table'!$X191+236.676*'BMP P Tracking Table'!$Y191+726*'BMP P Tracking Table'!$Z191+996.798*'BMP P Tracking Table'!$AA191)))))),"")</f>
        <v/>
      </c>
      <c r="BB191" s="102" t="str">
        <f>IFERROR((VLOOKUP(CONCATENATE('BMP P Tracking Table'!$AW191," ",'BMP P Tracking Table'!$AY191),'Performance Curves'!$C$1:$L$46,_xlfn.SINGLE(MATCH('BMP P Tracking Table'!$BA191,'Performance Curves'!$D$1:$L$1,1))+2,FALSE)-VLOOKUP(CONCATENATE('BMP P Tracking Table'!$AW191," ",'BMP P Tracking Table'!$AY191),'Performance Curves'!$C$1:$L$46,_xlfn.SINGLE(MATCH('BMP P Tracking Table'!$BA191,'Performance Curves'!$D$1:$L$1,1))+1,FALSE)),"")</f>
        <v/>
      </c>
      <c r="BC191" s="102" t="str">
        <f>IFERROR(('BMP P Tracking Table'!$BA191-INDEX('Performance Curves'!$D$1:$L$1,1,MATCH('BMP P Tracking Table'!$BA191,'Performance Curves'!$D$1:$L$1,1)))/(INDEX('Performance Curves'!$D$1:$L$1,1,MATCH('BMP P Tracking Table'!$BA191,'Performance Curves'!$D$1:$L$1,1)+1)-INDEX('Performance Curves'!$D$1:$L$1,1,MATCH('BMP P Tracking Table'!$BA191,'Performance Curves'!$D$1:$L$1,1))),"")</f>
        <v/>
      </c>
      <c r="BD191" s="103" t="str" cm="1">
        <f t="array" ref="BD191">IFERROR(IF('BMP P Tracking Table'!$BA191=2,VLOOKUP(CONCATENATE('BMP P Tracking Table'!$AW191," ",'BMP P Tracking Table'!$AY191),'Performance Curves'!$C$1:$L$44,_xlfn.SINGLE(MATCH('BMP P Tracking Table'!$BA191,'Performance Curves'!$D$1:$L$1,1))+1,FALSE),'BMP P Tracking Table'!$BB191*'BMP P Tracking Table'!$BC191+VLOOKUP(CONCATENATE('BMP P Tracking Table'!$AW191," ",'BMP P Tracking Table'!$AY191),'Performance Curves'!$C$1:$L$44,_xlfn.SINGLE(MATCH('BMP P Tracking Table'!$BA191,'Performance Curves'!$D$1:$L$1,1))+1,FALSE)),"")</f>
        <v/>
      </c>
      <c r="BE191" s="104" t="str">
        <f>IFERROR('BMP P Tracking Table'!$BD191*'BMP P Tracking Table'!$AZ191,"")</f>
        <v/>
      </c>
      <c r="BF191" s="98"/>
      <c r="BG191" s="37">
        <f t="shared" si="34"/>
        <v>0</v>
      </c>
    </row>
    <row r="192" spans="2:59" s="36" customFormat="1">
      <c r="B192" s="65"/>
      <c r="C192" s="65"/>
      <c r="D192" s="65"/>
      <c r="E192" s="65"/>
      <c r="F192" s="94"/>
      <c r="G192" s="94"/>
      <c r="H192" s="65"/>
      <c r="I192" s="65"/>
      <c r="J192" s="65"/>
      <c r="K192" s="95"/>
      <c r="L192" s="65"/>
      <c r="M192" s="65"/>
      <c r="N192" s="65"/>
      <c r="O192" s="65"/>
      <c r="P192" s="65"/>
      <c r="Q192" s="65"/>
      <c r="R192" s="65" t="str">
        <f>IFERROR(VLOOKUP('BMP P Tracking Table'!$Q192,Dropdowns!$C$2:$E$15,3,FALSE),"")</f>
        <v/>
      </c>
      <c r="S192" s="65" t="str">
        <f>IFERROR(VLOOKUP('BMP P Tracking Table'!$R192,Dropdowns!$Q$3:$R$23,2,FALSE),"")</f>
        <v/>
      </c>
      <c r="T192" s="65"/>
      <c r="U192" s="65"/>
      <c r="V192" s="65"/>
      <c r="W192" s="65"/>
      <c r="X192" s="65"/>
      <c r="Y192" s="65"/>
      <c r="Z192" s="65"/>
      <c r="AA192" s="65"/>
      <c r="AB192" s="65"/>
      <c r="AC192" s="97"/>
      <c r="AD192" s="65"/>
      <c r="AE192" s="104" t="str">
        <f>IFERROR('BMP P Tracking Table'!$V192*VLOOKUP('BMP P Tracking Table'!$R192,'Loading Rates'!$B$1:$L$24,4,FALSE)+IF('BMP P Tracking Table'!$W192="By HSG",'BMP P Tracking Table'!$X192*VLOOKUP('BMP P Tracking Table'!$R192,'Loading Rates'!$B$1:$L$24,6,FALSE)+'BMP P Tracking Table'!$Y192*VLOOKUP('BMP P Tracking Table'!$R192,'Loading Rates'!$B$1:$L$24,7,FALSE)+'BMP P Tracking Table'!$Z192*VLOOKUP('BMP P Tracking Table'!$R192,'Loading Rates'!$B$1:$L$24,8,FALSE)+'BMP P Tracking Table'!$AA192*VLOOKUP('BMP P Tracking Table'!$R192,'Loading Rates'!$B$1:$L$24,9,FALSE),'BMP P Tracking Table'!$AB192*VLOOKUP('BMP P Tracking Table'!$R192,'Loading Rates'!$B$1:$L$24,10,FALSE)),"")</f>
        <v/>
      </c>
      <c r="AF192" s="104" t="str">
        <f>IFERROR(MIN(2,IF('BMP P Tracking Table'!$W192="Total Pervious",(-(3630*'BMP P Tracking Table'!$V192+20.691*'BMP P Tracking Table'!$AB192)+SQRT((3630*'BMP P Tracking Table'!$V192+20.691*'BMP P Tracking Table'!$AB192)^2-(4*(996.798*'BMP P Tracking Table'!$AB192)*-'BMP P Tracking Table'!$AC192)))/(2*(996.798*'BMP P Tracking Table'!$AB192)),IF(SUM('BMP P Tracking Table'!$X192:$AA192)=0,'BMP P Tracking Table'!$AC192/(-3630*'BMP P Tracking Table'!$V192),(-(3630*'BMP P Tracking Table'!$V192+20.691*'BMP P Tracking Table'!$AA192-216.711*'BMP P Tracking Table'!$Z192-83.853*'BMP P Tracking Table'!$Y192-42.834*'BMP P Tracking Table'!$X192)+SQRT((3630*'BMP P Tracking Table'!$V192+20.691*'BMP P Tracking Table'!$AA192-216.711*'BMP P Tracking Table'!$Z192-83.853*'BMP P Tracking Table'!$Y192-42.834*'BMP P Tracking Table'!$X192)^2-(4*(149.919*'BMP P Tracking Table'!$X192+236.676*'BMP P Tracking Table'!$Y192+726*'BMP P Tracking Table'!$Z192+996.798*'BMP P Tracking Table'!$AA192)*-'BMP P Tracking Table'!$AC192)))/(2*(149.919*'BMP P Tracking Table'!$X192+236.676*'BMP P Tracking Table'!$Y192+726*'BMP P Tracking Table'!$Z192+996.798*'BMP P Tracking Table'!$AA192))))),"")</f>
        <v/>
      </c>
      <c r="AG192" s="104" t="str">
        <f>IFERROR((VLOOKUP(CONCATENATE('BMP P Tracking Table'!$U192," ",'BMP P Tracking Table'!$AD192),'Performance Curves'!$C$1:$L$46,_xlfn.SINGLE(MATCH('BMP P Tracking Table'!$AF192,'Performance Curves'!$D$1:$L$1,1))+2,FALSE)-VLOOKUP(CONCATENATE('BMP P Tracking Table'!$U192," ",'BMP P Tracking Table'!$AD192),'Performance Curves'!$C$1:$L$46,_xlfn.SINGLE(MATCH('BMP P Tracking Table'!$AF192,'Performance Curves'!$D$1:$L$1,1))+1,FALSE)),"")</f>
        <v/>
      </c>
      <c r="AH192" s="104" t="str">
        <f>IFERROR(('BMP P Tracking Table'!$AF192-INDEX('Performance Curves'!$D$1:$L$1,1,MATCH('BMP P Tracking Table'!$AF192,'Performance Curves'!$D$1:$L$1,1)))/(INDEX('Performance Curves'!$D$1:$L$1,1,MATCH('BMP P Tracking Table'!$AF192,'Performance Curves'!$D$1:$L$1,1)+1)-INDEX('Performance Curves'!$D$1:$L$1,1,MATCH('BMP P Tracking Table'!$AF192,'Performance Curves'!$D$1:$L$1,1))),"")</f>
        <v/>
      </c>
      <c r="AI192" s="103" t="str">
        <f>IFERROR(IF('BMP P Tracking Table'!$AF192=2,VLOOKUP(CONCATENATE('BMP P Tracking Table'!$U192," ",'BMP P Tracking Table'!$AD192),'Performance Curves'!$C$1:$L$46,_xlfn.SINGLE(MATCH('BMP P Tracking Table'!$AF192,'Performance Curves'!$D$1:$L$1,1))+1,FALSE),'BMP P Tracking Table'!$AG192*'BMP P Tracking Table'!$AH192+VLOOKUP(CONCATENATE('BMP P Tracking Table'!$U192," ",'BMP P Tracking Table'!$AD192),'Performance Curves'!$C$1:$L$46,_xlfn.SINGLE(MATCH('BMP P Tracking Table'!$AF192,'Performance Curves'!$D$1:$L$1,1))+1,FALSE)),"")</f>
        <v/>
      </c>
      <c r="AJ192" s="104" t="str">
        <f>IFERROR('BMP P Tracking Table'!$AI192*'BMP P Tracking Table'!$AE192,"")</f>
        <v/>
      </c>
      <c r="AK192" s="65"/>
      <c r="AL192" s="98"/>
      <c r="AM192" s="98"/>
      <c r="AN192" s="64">
        <v>1</v>
      </c>
      <c r="AO192" s="102" t="str">
        <f t="shared" si="33"/>
        <v/>
      </c>
      <c r="AP192" s="98"/>
      <c r="AQ192" s="98"/>
      <c r="AR192" s="98"/>
      <c r="AS192" s="98"/>
      <c r="AT192" s="98"/>
      <c r="AU192" s="98"/>
      <c r="AV192" s="98"/>
      <c r="AW192" s="65"/>
      <c r="AX192" s="99"/>
      <c r="AY192" s="99"/>
      <c r="AZ192" s="104" t="str">
        <f>IF('BMP P Tracking Table'!$AL192="Yes",IF('BMP P Tracking Table'!$AM192="No",'BMP P Tracking Table'!$V192*VLOOKUP('BMP P Tracking Table'!$R192,'Loading Rates'!$B$1:$L$24,4,FALSE)+IF('BMP P Tracking Table'!$W192="By HSG",'BMP P Tracking Table'!$X192*VLOOKUP('BMP P Tracking Table'!$R192,'Loading Rates'!$B$1:$L$24,6,FALSE)+'BMP P Tracking Table'!$Y192*VLOOKUP('BMP P Tracking Table'!$R192,'Loading Rates'!$B$1:$L$24,7,FALSE)+'BMP P Tracking Table'!$Z192*VLOOKUP('BMP P Tracking Table'!$R192,'Loading Rates'!$B$1:$L$24,8,FALSE)+'BMP P Tracking Table'!$AA192*VLOOKUP('BMP P Tracking Table'!$R192,'Loading Rates'!$B$1:$L$24,9,FALSE),'BMP P Tracking Table'!$AB192*VLOOKUP('BMP P Tracking Table'!$R192,'Loading Rates'!$B$1:$L$24,10,FALSE)),'BMP P Tracking Table'!$AP192*VLOOKUP('BMP P Tracking Table'!$R192,'Loading Rates'!$B$1:$L$24,4,FALSE)+IF('BMP P Tracking Table'!$AQ192="By HSG",'BMP P Tracking Table'!$AR192*VLOOKUP('BMP P Tracking Table'!$R192,'Loading Rates'!$B$1:$L$24,6,FALSE)+'BMP P Tracking Table'!$AS192*VLOOKUP('BMP P Tracking Table'!$R192,'Loading Rates'!$B$1:$L$24,7,FALSE)+'BMP P Tracking Table'!$AT192*VLOOKUP('BMP P Tracking Table'!$R192,'Loading Rates'!$B$1:$L$24,8,FALSE)+'BMP P Tracking Table'!$AU192*VLOOKUP('BMP P Tracking Table'!$R192,'Loading Rates'!$B$1:$L$24,9,FALSE),'BMP P Tracking Table'!$AV192*VLOOKUP('BMP P Tracking Table'!$R192,'Loading Rates'!$B$1:$L$24,10,FALSE))),"")</f>
        <v/>
      </c>
      <c r="BA192" s="104" t="str">
        <f>IFERROR(IF('BMP P Tracking Table'!$AM192="Yes",MIN(2,IF('BMP P Tracking Table'!$AQ192="Total Pervious",(-(3630*'BMP P Tracking Table'!$AP192+20.691*'BMP P Tracking Table'!$AV192)+SQRT((3630*'BMP P Tracking Table'!$AP192+20.691*'BMP P Tracking Table'!$AV192)^2-(4*(996.798*'BMP P Tracking Table'!$AV192)*-'BMP P Tracking Table'!$AX192)))/(2*(996.798*'BMP P Tracking Table'!$AV192)),IF(SUM('BMP P Tracking Table'!$AR192:$AU192)=0,'BMP P Tracking Table'!$AV192/(-3630*'BMP P Tracking Table'!$AP192),(-(3630*'BMP P Tracking Table'!$AP192+20.691*'BMP P Tracking Table'!$AU192-216.711*'BMP P Tracking Table'!$AT192-83.853*'BMP P Tracking Table'!$AS192-42.834*'BMP P Tracking Table'!$AR192)+SQRT((3630*'BMP P Tracking Table'!$AP192+20.691*'BMP P Tracking Table'!$AU192-216.711*'BMP P Tracking Table'!$AT192-83.853*'BMP P Tracking Table'!$AS192-42.834*'BMP P Tracking Table'!$AR192)^2-(4*(149.919*'BMP P Tracking Table'!$AR192+236.676*'BMP P Tracking Table'!$AS192+726*'BMP P Tracking Table'!$AT192+996.798*'BMP P Tracking Table'!$AU192)*-'BMP P Tracking Table'!$AX192)))/(2*(149.919*'BMP P Tracking Table'!$AR192+236.676*'BMP P Tracking Table'!$AS192+726*'BMP P Tracking Table'!$AT192+996.798*'BMP P Tracking Table'!$AU192))))),MIN(2,IF('BMP P Tracking Table'!$AQ192="Total Pervious",(-(3630*'BMP P Tracking Table'!$V192+20.691*'BMP P Tracking Table'!$AB192)+SQRT((3630*'BMP P Tracking Table'!$V192+20.691*'BMP P Tracking Table'!$AB192)^2-(4*(996.798*'BMP P Tracking Table'!$AB192)*-'BMP P Tracking Table'!$AX192)))/(2*(996.798*'BMP P Tracking Table'!$AB192)),IF(SUM('BMP P Tracking Table'!$X192:$AA192)=0,'BMP P Tracking Table'!$AX192/(-3630*'BMP P Tracking Table'!$V192),(-(3630*'BMP P Tracking Table'!$V192+20.691*'BMP P Tracking Table'!$AA192-216.711*'BMP P Tracking Table'!$Z192-83.853*'BMP P Tracking Table'!$Y192-42.834*'BMP P Tracking Table'!$X192)+SQRT((3630*'BMP P Tracking Table'!$V192+20.691*'BMP P Tracking Table'!$AA192-216.711*'BMP P Tracking Table'!$Z192-83.853*'BMP P Tracking Table'!$Y192-42.834*'BMP P Tracking Table'!$X192)^2-(4*(149.919*'BMP P Tracking Table'!$X192+236.676*'BMP P Tracking Table'!$Y192+726*'BMP P Tracking Table'!$Z192+996.798*'BMP P Tracking Table'!$AA192)*-'BMP P Tracking Table'!$AX192)))/(2*(149.919*'BMP P Tracking Table'!$X192+236.676*'BMP P Tracking Table'!$Y192+726*'BMP P Tracking Table'!$Z192+996.798*'BMP P Tracking Table'!$AA192)))))),"")</f>
        <v/>
      </c>
      <c r="BB192" s="102" t="str">
        <f>IFERROR((VLOOKUP(CONCATENATE('BMP P Tracking Table'!$AW192," ",'BMP P Tracking Table'!$AY192),'Performance Curves'!$C$1:$L$46,_xlfn.SINGLE(MATCH('BMP P Tracking Table'!$BA192,'Performance Curves'!$D$1:$L$1,1))+2,FALSE)-VLOOKUP(CONCATENATE('BMP P Tracking Table'!$AW192," ",'BMP P Tracking Table'!$AY192),'Performance Curves'!$C$1:$L$46,_xlfn.SINGLE(MATCH('BMP P Tracking Table'!$BA192,'Performance Curves'!$D$1:$L$1,1))+1,FALSE)),"")</f>
        <v/>
      </c>
      <c r="BC192" s="102" t="str">
        <f>IFERROR(('BMP P Tracking Table'!$BA192-INDEX('Performance Curves'!$D$1:$L$1,1,MATCH('BMP P Tracking Table'!$BA192,'Performance Curves'!$D$1:$L$1,1)))/(INDEX('Performance Curves'!$D$1:$L$1,1,MATCH('BMP P Tracking Table'!$BA192,'Performance Curves'!$D$1:$L$1,1)+1)-INDEX('Performance Curves'!$D$1:$L$1,1,MATCH('BMP P Tracking Table'!$BA192,'Performance Curves'!$D$1:$L$1,1))),"")</f>
        <v/>
      </c>
      <c r="BD192" s="103" t="str" cm="1">
        <f t="array" ref="BD192">IFERROR(IF('BMP P Tracking Table'!$BA192=2,VLOOKUP(CONCATENATE('BMP P Tracking Table'!$AW192," ",'BMP P Tracking Table'!$AY192),'Performance Curves'!$C$1:$L$44,_xlfn.SINGLE(MATCH('BMP P Tracking Table'!$BA192,'Performance Curves'!$D$1:$L$1,1))+1,FALSE),'BMP P Tracking Table'!$BB192*'BMP P Tracking Table'!$BC192+VLOOKUP(CONCATENATE('BMP P Tracking Table'!$AW192," ",'BMP P Tracking Table'!$AY192),'Performance Curves'!$C$1:$L$44,_xlfn.SINGLE(MATCH('BMP P Tracking Table'!$BA192,'Performance Curves'!$D$1:$L$1,1))+1,FALSE)),"")</f>
        <v/>
      </c>
      <c r="BE192" s="104" t="str">
        <f>IFERROR('BMP P Tracking Table'!$BD192*'BMP P Tracking Table'!$AZ192,"")</f>
        <v/>
      </c>
      <c r="BF192" s="98"/>
      <c r="BG192" s="37">
        <f t="shared" si="34"/>
        <v>0</v>
      </c>
    </row>
    <row r="193" spans="2:59" s="36" customFormat="1">
      <c r="B193" s="65"/>
      <c r="C193" s="65"/>
      <c r="D193" s="65"/>
      <c r="E193" s="65"/>
      <c r="F193" s="94"/>
      <c r="G193" s="94"/>
      <c r="H193" s="65"/>
      <c r="I193" s="65"/>
      <c r="J193" s="65"/>
      <c r="K193" s="95"/>
      <c r="L193" s="65"/>
      <c r="M193" s="65"/>
      <c r="N193" s="65"/>
      <c r="O193" s="65"/>
      <c r="P193" s="65"/>
      <c r="Q193" s="65"/>
      <c r="R193" s="65" t="str">
        <f>IFERROR(VLOOKUP('BMP P Tracking Table'!$Q193,Dropdowns!$C$2:$E$15,3,FALSE),"")</f>
        <v/>
      </c>
      <c r="S193" s="65" t="str">
        <f>IFERROR(VLOOKUP('BMP P Tracking Table'!$R193,Dropdowns!$Q$3:$R$23,2,FALSE),"")</f>
        <v/>
      </c>
      <c r="T193" s="65"/>
      <c r="U193" s="65"/>
      <c r="V193" s="65"/>
      <c r="W193" s="65"/>
      <c r="X193" s="65"/>
      <c r="Y193" s="65"/>
      <c r="Z193" s="65"/>
      <c r="AA193" s="65"/>
      <c r="AB193" s="65"/>
      <c r="AC193" s="97"/>
      <c r="AD193" s="65"/>
      <c r="AE193" s="104" t="str">
        <f>IFERROR('BMP P Tracking Table'!$V193*VLOOKUP('BMP P Tracking Table'!$R193,'Loading Rates'!$B$1:$L$24,4,FALSE)+IF('BMP P Tracking Table'!$W193="By HSG",'BMP P Tracking Table'!$X193*VLOOKUP('BMP P Tracking Table'!$R193,'Loading Rates'!$B$1:$L$24,6,FALSE)+'BMP P Tracking Table'!$Y193*VLOOKUP('BMP P Tracking Table'!$R193,'Loading Rates'!$B$1:$L$24,7,FALSE)+'BMP P Tracking Table'!$Z193*VLOOKUP('BMP P Tracking Table'!$R193,'Loading Rates'!$B$1:$L$24,8,FALSE)+'BMP P Tracking Table'!$AA193*VLOOKUP('BMP P Tracking Table'!$R193,'Loading Rates'!$B$1:$L$24,9,FALSE),'BMP P Tracking Table'!$AB193*VLOOKUP('BMP P Tracking Table'!$R193,'Loading Rates'!$B$1:$L$24,10,FALSE)),"")</f>
        <v/>
      </c>
      <c r="AF193" s="104" t="str">
        <f>IFERROR(MIN(2,IF('BMP P Tracking Table'!$W193="Total Pervious",(-(3630*'BMP P Tracking Table'!$V193+20.691*'BMP P Tracking Table'!$AB193)+SQRT((3630*'BMP P Tracking Table'!$V193+20.691*'BMP P Tracking Table'!$AB193)^2-(4*(996.798*'BMP P Tracking Table'!$AB193)*-'BMP P Tracking Table'!$AC193)))/(2*(996.798*'BMP P Tracking Table'!$AB193)),IF(SUM('BMP P Tracking Table'!$X193:$AA193)=0,'BMP P Tracking Table'!$AC193/(-3630*'BMP P Tracking Table'!$V193),(-(3630*'BMP P Tracking Table'!$V193+20.691*'BMP P Tracking Table'!$AA193-216.711*'BMP P Tracking Table'!$Z193-83.853*'BMP P Tracking Table'!$Y193-42.834*'BMP P Tracking Table'!$X193)+SQRT((3630*'BMP P Tracking Table'!$V193+20.691*'BMP P Tracking Table'!$AA193-216.711*'BMP P Tracking Table'!$Z193-83.853*'BMP P Tracking Table'!$Y193-42.834*'BMP P Tracking Table'!$X193)^2-(4*(149.919*'BMP P Tracking Table'!$X193+236.676*'BMP P Tracking Table'!$Y193+726*'BMP P Tracking Table'!$Z193+996.798*'BMP P Tracking Table'!$AA193)*-'BMP P Tracking Table'!$AC193)))/(2*(149.919*'BMP P Tracking Table'!$X193+236.676*'BMP P Tracking Table'!$Y193+726*'BMP P Tracking Table'!$Z193+996.798*'BMP P Tracking Table'!$AA193))))),"")</f>
        <v/>
      </c>
      <c r="AG193" s="104" t="str">
        <f>IFERROR((VLOOKUP(CONCATENATE('BMP P Tracking Table'!$U193," ",'BMP P Tracking Table'!$AD193),'Performance Curves'!$C$1:$L$46,_xlfn.SINGLE(MATCH('BMP P Tracking Table'!$AF193,'Performance Curves'!$D$1:$L$1,1))+2,FALSE)-VLOOKUP(CONCATENATE('BMP P Tracking Table'!$U193," ",'BMP P Tracking Table'!$AD193),'Performance Curves'!$C$1:$L$46,_xlfn.SINGLE(MATCH('BMP P Tracking Table'!$AF193,'Performance Curves'!$D$1:$L$1,1))+1,FALSE)),"")</f>
        <v/>
      </c>
      <c r="AH193" s="104" t="str">
        <f>IFERROR(('BMP P Tracking Table'!$AF193-INDEX('Performance Curves'!$D$1:$L$1,1,MATCH('BMP P Tracking Table'!$AF193,'Performance Curves'!$D$1:$L$1,1)))/(INDEX('Performance Curves'!$D$1:$L$1,1,MATCH('BMP P Tracking Table'!$AF193,'Performance Curves'!$D$1:$L$1,1)+1)-INDEX('Performance Curves'!$D$1:$L$1,1,MATCH('BMP P Tracking Table'!$AF193,'Performance Curves'!$D$1:$L$1,1))),"")</f>
        <v/>
      </c>
      <c r="AI193" s="103" t="str">
        <f>IFERROR(IF('BMP P Tracking Table'!$AF193=2,VLOOKUP(CONCATENATE('BMP P Tracking Table'!$U193," ",'BMP P Tracking Table'!$AD193),'Performance Curves'!$C$1:$L$46,_xlfn.SINGLE(MATCH('BMP P Tracking Table'!$AF193,'Performance Curves'!$D$1:$L$1,1))+1,FALSE),'BMP P Tracking Table'!$AG193*'BMP P Tracking Table'!$AH193+VLOOKUP(CONCATENATE('BMP P Tracking Table'!$U193," ",'BMP P Tracking Table'!$AD193),'Performance Curves'!$C$1:$L$46,_xlfn.SINGLE(MATCH('BMP P Tracking Table'!$AF193,'Performance Curves'!$D$1:$L$1,1))+1,FALSE)),"")</f>
        <v/>
      </c>
      <c r="AJ193" s="104" t="str">
        <f>IFERROR('BMP P Tracking Table'!$AI193*'BMP P Tracking Table'!$AE193,"")</f>
        <v/>
      </c>
      <c r="AK193" s="65"/>
      <c r="AL193" s="98"/>
      <c r="AM193" s="98"/>
      <c r="AN193" s="64">
        <v>1</v>
      </c>
      <c r="AO193" s="102" t="str">
        <f t="shared" si="33"/>
        <v/>
      </c>
      <c r="AP193" s="98"/>
      <c r="AQ193" s="98"/>
      <c r="AR193" s="98"/>
      <c r="AS193" s="98"/>
      <c r="AT193" s="98"/>
      <c r="AU193" s="98"/>
      <c r="AV193" s="98"/>
      <c r="AW193" s="65"/>
      <c r="AX193" s="99"/>
      <c r="AY193" s="99"/>
      <c r="AZ193" s="104" t="str">
        <f>IF('BMP P Tracking Table'!$AL193="Yes",IF('BMP P Tracking Table'!$AM193="No",'BMP P Tracking Table'!$V193*VLOOKUP('BMP P Tracking Table'!$R193,'Loading Rates'!$B$1:$L$24,4,FALSE)+IF('BMP P Tracking Table'!$W193="By HSG",'BMP P Tracking Table'!$X193*VLOOKUP('BMP P Tracking Table'!$R193,'Loading Rates'!$B$1:$L$24,6,FALSE)+'BMP P Tracking Table'!$Y193*VLOOKUP('BMP P Tracking Table'!$R193,'Loading Rates'!$B$1:$L$24,7,FALSE)+'BMP P Tracking Table'!$Z193*VLOOKUP('BMP P Tracking Table'!$R193,'Loading Rates'!$B$1:$L$24,8,FALSE)+'BMP P Tracking Table'!$AA193*VLOOKUP('BMP P Tracking Table'!$R193,'Loading Rates'!$B$1:$L$24,9,FALSE),'BMP P Tracking Table'!$AB193*VLOOKUP('BMP P Tracking Table'!$R193,'Loading Rates'!$B$1:$L$24,10,FALSE)),'BMP P Tracking Table'!$AP193*VLOOKUP('BMP P Tracking Table'!$R193,'Loading Rates'!$B$1:$L$24,4,FALSE)+IF('BMP P Tracking Table'!$AQ193="By HSG",'BMP P Tracking Table'!$AR193*VLOOKUP('BMP P Tracking Table'!$R193,'Loading Rates'!$B$1:$L$24,6,FALSE)+'BMP P Tracking Table'!$AS193*VLOOKUP('BMP P Tracking Table'!$R193,'Loading Rates'!$B$1:$L$24,7,FALSE)+'BMP P Tracking Table'!$AT193*VLOOKUP('BMP P Tracking Table'!$R193,'Loading Rates'!$B$1:$L$24,8,FALSE)+'BMP P Tracking Table'!$AU193*VLOOKUP('BMP P Tracking Table'!$R193,'Loading Rates'!$B$1:$L$24,9,FALSE),'BMP P Tracking Table'!$AV193*VLOOKUP('BMP P Tracking Table'!$R193,'Loading Rates'!$B$1:$L$24,10,FALSE))),"")</f>
        <v/>
      </c>
      <c r="BA193" s="104" t="str">
        <f>IFERROR(IF('BMP P Tracking Table'!$AM193="Yes",MIN(2,IF('BMP P Tracking Table'!$AQ193="Total Pervious",(-(3630*'BMP P Tracking Table'!$AP193+20.691*'BMP P Tracking Table'!$AV193)+SQRT((3630*'BMP P Tracking Table'!$AP193+20.691*'BMP P Tracking Table'!$AV193)^2-(4*(996.798*'BMP P Tracking Table'!$AV193)*-'BMP P Tracking Table'!$AX193)))/(2*(996.798*'BMP P Tracking Table'!$AV193)),IF(SUM('BMP P Tracking Table'!$AR193:$AU193)=0,'BMP P Tracking Table'!$AV193/(-3630*'BMP P Tracking Table'!$AP193),(-(3630*'BMP P Tracking Table'!$AP193+20.691*'BMP P Tracking Table'!$AU193-216.711*'BMP P Tracking Table'!$AT193-83.853*'BMP P Tracking Table'!$AS193-42.834*'BMP P Tracking Table'!$AR193)+SQRT((3630*'BMP P Tracking Table'!$AP193+20.691*'BMP P Tracking Table'!$AU193-216.711*'BMP P Tracking Table'!$AT193-83.853*'BMP P Tracking Table'!$AS193-42.834*'BMP P Tracking Table'!$AR193)^2-(4*(149.919*'BMP P Tracking Table'!$AR193+236.676*'BMP P Tracking Table'!$AS193+726*'BMP P Tracking Table'!$AT193+996.798*'BMP P Tracking Table'!$AU193)*-'BMP P Tracking Table'!$AX193)))/(2*(149.919*'BMP P Tracking Table'!$AR193+236.676*'BMP P Tracking Table'!$AS193+726*'BMP P Tracking Table'!$AT193+996.798*'BMP P Tracking Table'!$AU193))))),MIN(2,IF('BMP P Tracking Table'!$AQ193="Total Pervious",(-(3630*'BMP P Tracking Table'!$V193+20.691*'BMP P Tracking Table'!$AB193)+SQRT((3630*'BMP P Tracking Table'!$V193+20.691*'BMP P Tracking Table'!$AB193)^2-(4*(996.798*'BMP P Tracking Table'!$AB193)*-'BMP P Tracking Table'!$AX193)))/(2*(996.798*'BMP P Tracking Table'!$AB193)),IF(SUM('BMP P Tracking Table'!$X193:$AA193)=0,'BMP P Tracking Table'!$AX193/(-3630*'BMP P Tracking Table'!$V193),(-(3630*'BMP P Tracking Table'!$V193+20.691*'BMP P Tracking Table'!$AA193-216.711*'BMP P Tracking Table'!$Z193-83.853*'BMP P Tracking Table'!$Y193-42.834*'BMP P Tracking Table'!$X193)+SQRT((3630*'BMP P Tracking Table'!$V193+20.691*'BMP P Tracking Table'!$AA193-216.711*'BMP P Tracking Table'!$Z193-83.853*'BMP P Tracking Table'!$Y193-42.834*'BMP P Tracking Table'!$X193)^2-(4*(149.919*'BMP P Tracking Table'!$X193+236.676*'BMP P Tracking Table'!$Y193+726*'BMP P Tracking Table'!$Z193+996.798*'BMP P Tracking Table'!$AA193)*-'BMP P Tracking Table'!$AX193)))/(2*(149.919*'BMP P Tracking Table'!$X193+236.676*'BMP P Tracking Table'!$Y193+726*'BMP P Tracking Table'!$Z193+996.798*'BMP P Tracking Table'!$AA193)))))),"")</f>
        <v/>
      </c>
      <c r="BB193" s="102" t="str">
        <f>IFERROR((VLOOKUP(CONCATENATE('BMP P Tracking Table'!$AW193," ",'BMP P Tracking Table'!$AY193),'Performance Curves'!$C$1:$L$46,_xlfn.SINGLE(MATCH('BMP P Tracking Table'!$BA193,'Performance Curves'!$D$1:$L$1,1))+2,FALSE)-VLOOKUP(CONCATENATE('BMP P Tracking Table'!$AW193," ",'BMP P Tracking Table'!$AY193),'Performance Curves'!$C$1:$L$46,_xlfn.SINGLE(MATCH('BMP P Tracking Table'!$BA193,'Performance Curves'!$D$1:$L$1,1))+1,FALSE)),"")</f>
        <v/>
      </c>
      <c r="BC193" s="102" t="str">
        <f>IFERROR(('BMP P Tracking Table'!$BA193-INDEX('Performance Curves'!$D$1:$L$1,1,MATCH('BMP P Tracking Table'!$BA193,'Performance Curves'!$D$1:$L$1,1)))/(INDEX('Performance Curves'!$D$1:$L$1,1,MATCH('BMP P Tracking Table'!$BA193,'Performance Curves'!$D$1:$L$1,1)+1)-INDEX('Performance Curves'!$D$1:$L$1,1,MATCH('BMP P Tracking Table'!$BA193,'Performance Curves'!$D$1:$L$1,1))),"")</f>
        <v/>
      </c>
      <c r="BD193" s="103" t="str" cm="1">
        <f t="array" ref="BD193">IFERROR(IF('BMP P Tracking Table'!$BA193=2,VLOOKUP(CONCATENATE('BMP P Tracking Table'!$AW193," ",'BMP P Tracking Table'!$AY193),'Performance Curves'!$C$1:$L$44,_xlfn.SINGLE(MATCH('BMP P Tracking Table'!$BA193,'Performance Curves'!$D$1:$L$1,1))+1,FALSE),'BMP P Tracking Table'!$BB193*'BMP P Tracking Table'!$BC193+VLOOKUP(CONCATENATE('BMP P Tracking Table'!$AW193," ",'BMP P Tracking Table'!$AY193),'Performance Curves'!$C$1:$L$44,_xlfn.SINGLE(MATCH('BMP P Tracking Table'!$BA193,'Performance Curves'!$D$1:$L$1,1))+1,FALSE)),"")</f>
        <v/>
      </c>
      <c r="BE193" s="104" t="str">
        <f>IFERROR('BMP P Tracking Table'!$BD193*'BMP P Tracking Table'!$AZ193,"")</f>
        <v/>
      </c>
      <c r="BF193" s="98"/>
      <c r="BG193" s="37">
        <f t="shared" si="34"/>
        <v>0</v>
      </c>
    </row>
    <row r="194" spans="2:59" s="36" customFormat="1">
      <c r="B194" s="65"/>
      <c r="C194" s="65"/>
      <c r="D194" s="65"/>
      <c r="E194" s="65"/>
      <c r="F194" s="94"/>
      <c r="G194" s="94"/>
      <c r="H194" s="65"/>
      <c r="I194" s="65"/>
      <c r="J194" s="65"/>
      <c r="K194" s="95"/>
      <c r="L194" s="65"/>
      <c r="M194" s="65"/>
      <c r="N194" s="65"/>
      <c r="O194" s="65"/>
      <c r="P194" s="65"/>
      <c r="Q194" s="65"/>
      <c r="R194" s="65" t="str">
        <f>IFERROR(VLOOKUP('BMP P Tracking Table'!$Q194,Dropdowns!$C$2:$E$15,3,FALSE),"")</f>
        <v/>
      </c>
      <c r="S194" s="65" t="str">
        <f>IFERROR(VLOOKUP('BMP P Tracking Table'!$R194,Dropdowns!$Q$3:$R$23,2,FALSE),"")</f>
        <v/>
      </c>
      <c r="T194" s="65"/>
      <c r="U194" s="65"/>
      <c r="V194" s="65"/>
      <c r="W194" s="65"/>
      <c r="X194" s="65"/>
      <c r="Y194" s="65"/>
      <c r="Z194" s="65"/>
      <c r="AA194" s="65"/>
      <c r="AB194" s="65"/>
      <c r="AC194" s="97"/>
      <c r="AD194" s="65"/>
      <c r="AE194" s="104" t="str">
        <f>IFERROR('BMP P Tracking Table'!$V194*VLOOKUP('BMP P Tracking Table'!$R194,'Loading Rates'!$B$1:$L$24,4,FALSE)+IF('BMP P Tracking Table'!$W194="By HSG",'BMP P Tracking Table'!$X194*VLOOKUP('BMP P Tracking Table'!$R194,'Loading Rates'!$B$1:$L$24,6,FALSE)+'BMP P Tracking Table'!$Y194*VLOOKUP('BMP P Tracking Table'!$R194,'Loading Rates'!$B$1:$L$24,7,FALSE)+'BMP P Tracking Table'!$Z194*VLOOKUP('BMP P Tracking Table'!$R194,'Loading Rates'!$B$1:$L$24,8,FALSE)+'BMP P Tracking Table'!$AA194*VLOOKUP('BMP P Tracking Table'!$R194,'Loading Rates'!$B$1:$L$24,9,FALSE),'BMP P Tracking Table'!$AB194*VLOOKUP('BMP P Tracking Table'!$R194,'Loading Rates'!$B$1:$L$24,10,FALSE)),"")</f>
        <v/>
      </c>
      <c r="AF194" s="104" t="str">
        <f>IFERROR(MIN(2,IF('BMP P Tracking Table'!$W194="Total Pervious",(-(3630*'BMP P Tracking Table'!$V194+20.691*'BMP P Tracking Table'!$AB194)+SQRT((3630*'BMP P Tracking Table'!$V194+20.691*'BMP P Tracking Table'!$AB194)^2-(4*(996.798*'BMP P Tracking Table'!$AB194)*-'BMP P Tracking Table'!$AC194)))/(2*(996.798*'BMP P Tracking Table'!$AB194)),IF(SUM('BMP P Tracking Table'!$X194:$AA194)=0,'BMP P Tracking Table'!$AC194/(-3630*'BMP P Tracking Table'!$V194),(-(3630*'BMP P Tracking Table'!$V194+20.691*'BMP P Tracking Table'!$AA194-216.711*'BMP P Tracking Table'!$Z194-83.853*'BMP P Tracking Table'!$Y194-42.834*'BMP P Tracking Table'!$X194)+SQRT((3630*'BMP P Tracking Table'!$V194+20.691*'BMP P Tracking Table'!$AA194-216.711*'BMP P Tracking Table'!$Z194-83.853*'BMP P Tracking Table'!$Y194-42.834*'BMP P Tracking Table'!$X194)^2-(4*(149.919*'BMP P Tracking Table'!$X194+236.676*'BMP P Tracking Table'!$Y194+726*'BMP P Tracking Table'!$Z194+996.798*'BMP P Tracking Table'!$AA194)*-'BMP P Tracking Table'!$AC194)))/(2*(149.919*'BMP P Tracking Table'!$X194+236.676*'BMP P Tracking Table'!$Y194+726*'BMP P Tracking Table'!$Z194+996.798*'BMP P Tracking Table'!$AA194))))),"")</f>
        <v/>
      </c>
      <c r="AG194" s="104" t="str">
        <f>IFERROR((VLOOKUP(CONCATENATE('BMP P Tracking Table'!$U194," ",'BMP P Tracking Table'!$AD194),'Performance Curves'!$C$1:$L$46,_xlfn.SINGLE(MATCH('BMP P Tracking Table'!$AF194,'Performance Curves'!$D$1:$L$1,1))+2,FALSE)-VLOOKUP(CONCATENATE('BMP P Tracking Table'!$U194," ",'BMP P Tracking Table'!$AD194),'Performance Curves'!$C$1:$L$46,_xlfn.SINGLE(MATCH('BMP P Tracking Table'!$AF194,'Performance Curves'!$D$1:$L$1,1))+1,FALSE)),"")</f>
        <v/>
      </c>
      <c r="AH194" s="104" t="str">
        <f>IFERROR(('BMP P Tracking Table'!$AF194-INDEX('Performance Curves'!$D$1:$L$1,1,MATCH('BMP P Tracking Table'!$AF194,'Performance Curves'!$D$1:$L$1,1)))/(INDEX('Performance Curves'!$D$1:$L$1,1,MATCH('BMP P Tracking Table'!$AF194,'Performance Curves'!$D$1:$L$1,1)+1)-INDEX('Performance Curves'!$D$1:$L$1,1,MATCH('BMP P Tracking Table'!$AF194,'Performance Curves'!$D$1:$L$1,1))),"")</f>
        <v/>
      </c>
      <c r="AI194" s="103" t="str">
        <f>IFERROR(IF('BMP P Tracking Table'!$AF194=2,VLOOKUP(CONCATENATE('BMP P Tracking Table'!$U194," ",'BMP P Tracking Table'!$AD194),'Performance Curves'!$C$1:$L$46,_xlfn.SINGLE(MATCH('BMP P Tracking Table'!$AF194,'Performance Curves'!$D$1:$L$1,1))+1,FALSE),'BMP P Tracking Table'!$AG194*'BMP P Tracking Table'!$AH194+VLOOKUP(CONCATENATE('BMP P Tracking Table'!$U194," ",'BMP P Tracking Table'!$AD194),'Performance Curves'!$C$1:$L$46,_xlfn.SINGLE(MATCH('BMP P Tracking Table'!$AF194,'Performance Curves'!$D$1:$L$1,1))+1,FALSE)),"")</f>
        <v/>
      </c>
      <c r="AJ194" s="104" t="str">
        <f>IFERROR('BMP P Tracking Table'!$AI194*'BMP P Tracking Table'!$AE194,"")</f>
        <v/>
      </c>
      <c r="AK194" s="65"/>
      <c r="AL194" s="98"/>
      <c r="AM194" s="98"/>
      <c r="AN194" s="64">
        <v>1</v>
      </c>
      <c r="AO194" s="102" t="str">
        <f t="shared" si="33"/>
        <v/>
      </c>
      <c r="AP194" s="98"/>
      <c r="AQ194" s="98"/>
      <c r="AR194" s="98"/>
      <c r="AS194" s="98"/>
      <c r="AT194" s="98"/>
      <c r="AU194" s="98"/>
      <c r="AV194" s="98"/>
      <c r="AW194" s="65"/>
      <c r="AX194" s="99"/>
      <c r="AY194" s="99"/>
      <c r="AZ194" s="104" t="str">
        <f>IF('BMP P Tracking Table'!$AL194="Yes",IF('BMP P Tracking Table'!$AM194="No",'BMP P Tracking Table'!$V194*VLOOKUP('BMP P Tracking Table'!$R194,'Loading Rates'!$B$1:$L$24,4,FALSE)+IF('BMP P Tracking Table'!$W194="By HSG",'BMP P Tracking Table'!$X194*VLOOKUP('BMP P Tracking Table'!$R194,'Loading Rates'!$B$1:$L$24,6,FALSE)+'BMP P Tracking Table'!$Y194*VLOOKUP('BMP P Tracking Table'!$R194,'Loading Rates'!$B$1:$L$24,7,FALSE)+'BMP P Tracking Table'!$Z194*VLOOKUP('BMP P Tracking Table'!$R194,'Loading Rates'!$B$1:$L$24,8,FALSE)+'BMP P Tracking Table'!$AA194*VLOOKUP('BMP P Tracking Table'!$R194,'Loading Rates'!$B$1:$L$24,9,FALSE),'BMP P Tracking Table'!$AB194*VLOOKUP('BMP P Tracking Table'!$R194,'Loading Rates'!$B$1:$L$24,10,FALSE)),'BMP P Tracking Table'!$AP194*VLOOKUP('BMP P Tracking Table'!$R194,'Loading Rates'!$B$1:$L$24,4,FALSE)+IF('BMP P Tracking Table'!$AQ194="By HSG",'BMP P Tracking Table'!$AR194*VLOOKUP('BMP P Tracking Table'!$R194,'Loading Rates'!$B$1:$L$24,6,FALSE)+'BMP P Tracking Table'!$AS194*VLOOKUP('BMP P Tracking Table'!$R194,'Loading Rates'!$B$1:$L$24,7,FALSE)+'BMP P Tracking Table'!$AT194*VLOOKUP('BMP P Tracking Table'!$R194,'Loading Rates'!$B$1:$L$24,8,FALSE)+'BMP P Tracking Table'!$AU194*VLOOKUP('BMP P Tracking Table'!$R194,'Loading Rates'!$B$1:$L$24,9,FALSE),'BMP P Tracking Table'!$AV194*VLOOKUP('BMP P Tracking Table'!$R194,'Loading Rates'!$B$1:$L$24,10,FALSE))),"")</f>
        <v/>
      </c>
      <c r="BA194" s="104" t="str">
        <f>IFERROR(IF('BMP P Tracking Table'!$AM194="Yes",MIN(2,IF('BMP P Tracking Table'!$AQ194="Total Pervious",(-(3630*'BMP P Tracking Table'!$AP194+20.691*'BMP P Tracking Table'!$AV194)+SQRT((3630*'BMP P Tracking Table'!$AP194+20.691*'BMP P Tracking Table'!$AV194)^2-(4*(996.798*'BMP P Tracking Table'!$AV194)*-'BMP P Tracking Table'!$AX194)))/(2*(996.798*'BMP P Tracking Table'!$AV194)),IF(SUM('BMP P Tracking Table'!$AR194:$AU194)=0,'BMP P Tracking Table'!$AV194/(-3630*'BMP P Tracking Table'!$AP194),(-(3630*'BMP P Tracking Table'!$AP194+20.691*'BMP P Tracking Table'!$AU194-216.711*'BMP P Tracking Table'!$AT194-83.853*'BMP P Tracking Table'!$AS194-42.834*'BMP P Tracking Table'!$AR194)+SQRT((3630*'BMP P Tracking Table'!$AP194+20.691*'BMP P Tracking Table'!$AU194-216.711*'BMP P Tracking Table'!$AT194-83.853*'BMP P Tracking Table'!$AS194-42.834*'BMP P Tracking Table'!$AR194)^2-(4*(149.919*'BMP P Tracking Table'!$AR194+236.676*'BMP P Tracking Table'!$AS194+726*'BMP P Tracking Table'!$AT194+996.798*'BMP P Tracking Table'!$AU194)*-'BMP P Tracking Table'!$AX194)))/(2*(149.919*'BMP P Tracking Table'!$AR194+236.676*'BMP P Tracking Table'!$AS194+726*'BMP P Tracking Table'!$AT194+996.798*'BMP P Tracking Table'!$AU194))))),MIN(2,IF('BMP P Tracking Table'!$AQ194="Total Pervious",(-(3630*'BMP P Tracking Table'!$V194+20.691*'BMP P Tracking Table'!$AB194)+SQRT((3630*'BMP P Tracking Table'!$V194+20.691*'BMP P Tracking Table'!$AB194)^2-(4*(996.798*'BMP P Tracking Table'!$AB194)*-'BMP P Tracking Table'!$AX194)))/(2*(996.798*'BMP P Tracking Table'!$AB194)),IF(SUM('BMP P Tracking Table'!$X194:$AA194)=0,'BMP P Tracking Table'!$AX194/(-3630*'BMP P Tracking Table'!$V194),(-(3630*'BMP P Tracking Table'!$V194+20.691*'BMP P Tracking Table'!$AA194-216.711*'BMP P Tracking Table'!$Z194-83.853*'BMP P Tracking Table'!$Y194-42.834*'BMP P Tracking Table'!$X194)+SQRT((3630*'BMP P Tracking Table'!$V194+20.691*'BMP P Tracking Table'!$AA194-216.711*'BMP P Tracking Table'!$Z194-83.853*'BMP P Tracking Table'!$Y194-42.834*'BMP P Tracking Table'!$X194)^2-(4*(149.919*'BMP P Tracking Table'!$X194+236.676*'BMP P Tracking Table'!$Y194+726*'BMP P Tracking Table'!$Z194+996.798*'BMP P Tracking Table'!$AA194)*-'BMP P Tracking Table'!$AX194)))/(2*(149.919*'BMP P Tracking Table'!$X194+236.676*'BMP P Tracking Table'!$Y194+726*'BMP P Tracking Table'!$Z194+996.798*'BMP P Tracking Table'!$AA194)))))),"")</f>
        <v/>
      </c>
      <c r="BB194" s="102" t="str">
        <f>IFERROR((VLOOKUP(CONCATENATE('BMP P Tracking Table'!$AW194," ",'BMP P Tracking Table'!$AY194),'Performance Curves'!$C$1:$L$46,_xlfn.SINGLE(MATCH('BMP P Tracking Table'!$BA194,'Performance Curves'!$D$1:$L$1,1))+2,FALSE)-VLOOKUP(CONCATENATE('BMP P Tracking Table'!$AW194," ",'BMP P Tracking Table'!$AY194),'Performance Curves'!$C$1:$L$46,_xlfn.SINGLE(MATCH('BMP P Tracking Table'!$BA194,'Performance Curves'!$D$1:$L$1,1))+1,FALSE)),"")</f>
        <v/>
      </c>
      <c r="BC194" s="102" t="str">
        <f>IFERROR(('BMP P Tracking Table'!$BA194-INDEX('Performance Curves'!$D$1:$L$1,1,MATCH('BMP P Tracking Table'!$BA194,'Performance Curves'!$D$1:$L$1,1)))/(INDEX('Performance Curves'!$D$1:$L$1,1,MATCH('BMP P Tracking Table'!$BA194,'Performance Curves'!$D$1:$L$1,1)+1)-INDEX('Performance Curves'!$D$1:$L$1,1,MATCH('BMP P Tracking Table'!$BA194,'Performance Curves'!$D$1:$L$1,1))),"")</f>
        <v/>
      </c>
      <c r="BD194" s="103" t="str" cm="1">
        <f t="array" ref="BD194">IFERROR(IF('BMP P Tracking Table'!$BA194=2,VLOOKUP(CONCATENATE('BMP P Tracking Table'!$AW194," ",'BMP P Tracking Table'!$AY194),'Performance Curves'!$C$1:$L$44,_xlfn.SINGLE(MATCH('BMP P Tracking Table'!$BA194,'Performance Curves'!$D$1:$L$1,1))+1,FALSE),'BMP P Tracking Table'!$BB194*'BMP P Tracking Table'!$BC194+VLOOKUP(CONCATENATE('BMP P Tracking Table'!$AW194," ",'BMP P Tracking Table'!$AY194),'Performance Curves'!$C$1:$L$44,_xlfn.SINGLE(MATCH('BMP P Tracking Table'!$BA194,'Performance Curves'!$D$1:$L$1,1))+1,FALSE)),"")</f>
        <v/>
      </c>
      <c r="BE194" s="104" t="str">
        <f>IFERROR('BMP P Tracking Table'!$BD194*'BMP P Tracking Table'!$AZ194,"")</f>
        <v/>
      </c>
      <c r="BF194" s="98"/>
      <c r="BG194" s="37">
        <f t="shared" si="34"/>
        <v>0</v>
      </c>
    </row>
    <row r="195" spans="2:59" s="36" customFormat="1">
      <c r="B195" s="65"/>
      <c r="C195" s="65"/>
      <c r="D195" s="65"/>
      <c r="E195" s="65"/>
      <c r="F195" s="94"/>
      <c r="G195" s="94"/>
      <c r="H195" s="65"/>
      <c r="I195" s="65"/>
      <c r="J195" s="65"/>
      <c r="K195" s="95"/>
      <c r="L195" s="65"/>
      <c r="M195" s="65"/>
      <c r="N195" s="65"/>
      <c r="O195" s="65"/>
      <c r="P195" s="65"/>
      <c r="Q195" s="65"/>
      <c r="R195" s="65" t="str">
        <f>IFERROR(VLOOKUP('BMP P Tracking Table'!$Q195,Dropdowns!$C$2:$E$15,3,FALSE),"")</f>
        <v/>
      </c>
      <c r="S195" s="65" t="str">
        <f>IFERROR(VLOOKUP('BMP P Tracking Table'!$R195,Dropdowns!$Q$3:$R$23,2,FALSE),"")</f>
        <v/>
      </c>
      <c r="T195" s="65"/>
      <c r="U195" s="65"/>
      <c r="V195" s="65"/>
      <c r="W195" s="65"/>
      <c r="X195" s="65"/>
      <c r="Y195" s="65"/>
      <c r="Z195" s="65"/>
      <c r="AA195" s="65"/>
      <c r="AB195" s="65"/>
      <c r="AC195" s="97"/>
      <c r="AD195" s="65"/>
      <c r="AE195" s="104" t="str">
        <f>IFERROR('BMP P Tracking Table'!$V195*VLOOKUP('BMP P Tracking Table'!$R195,'Loading Rates'!$B$1:$L$24,4,FALSE)+IF('BMP P Tracking Table'!$W195="By HSG",'BMP P Tracking Table'!$X195*VLOOKUP('BMP P Tracking Table'!$R195,'Loading Rates'!$B$1:$L$24,6,FALSE)+'BMP P Tracking Table'!$Y195*VLOOKUP('BMP P Tracking Table'!$R195,'Loading Rates'!$B$1:$L$24,7,FALSE)+'BMP P Tracking Table'!$Z195*VLOOKUP('BMP P Tracking Table'!$R195,'Loading Rates'!$B$1:$L$24,8,FALSE)+'BMP P Tracking Table'!$AA195*VLOOKUP('BMP P Tracking Table'!$R195,'Loading Rates'!$B$1:$L$24,9,FALSE),'BMP P Tracking Table'!$AB195*VLOOKUP('BMP P Tracking Table'!$R195,'Loading Rates'!$B$1:$L$24,10,FALSE)),"")</f>
        <v/>
      </c>
      <c r="AF195" s="104" t="str">
        <f>IFERROR(MIN(2,IF('BMP P Tracking Table'!$W195="Total Pervious",(-(3630*'BMP P Tracking Table'!$V195+20.691*'BMP P Tracking Table'!$AB195)+SQRT((3630*'BMP P Tracking Table'!$V195+20.691*'BMP P Tracking Table'!$AB195)^2-(4*(996.798*'BMP P Tracking Table'!$AB195)*-'BMP P Tracking Table'!$AC195)))/(2*(996.798*'BMP P Tracking Table'!$AB195)),IF(SUM('BMP P Tracking Table'!$X195:$AA195)=0,'BMP P Tracking Table'!$AC195/(-3630*'BMP P Tracking Table'!$V195),(-(3630*'BMP P Tracking Table'!$V195+20.691*'BMP P Tracking Table'!$AA195-216.711*'BMP P Tracking Table'!$Z195-83.853*'BMP P Tracking Table'!$Y195-42.834*'BMP P Tracking Table'!$X195)+SQRT((3630*'BMP P Tracking Table'!$V195+20.691*'BMP P Tracking Table'!$AA195-216.711*'BMP P Tracking Table'!$Z195-83.853*'BMP P Tracking Table'!$Y195-42.834*'BMP P Tracking Table'!$X195)^2-(4*(149.919*'BMP P Tracking Table'!$X195+236.676*'BMP P Tracking Table'!$Y195+726*'BMP P Tracking Table'!$Z195+996.798*'BMP P Tracking Table'!$AA195)*-'BMP P Tracking Table'!$AC195)))/(2*(149.919*'BMP P Tracking Table'!$X195+236.676*'BMP P Tracking Table'!$Y195+726*'BMP P Tracking Table'!$Z195+996.798*'BMP P Tracking Table'!$AA195))))),"")</f>
        <v/>
      </c>
      <c r="AG195" s="104" t="str">
        <f>IFERROR((VLOOKUP(CONCATENATE('BMP P Tracking Table'!$U195," ",'BMP P Tracking Table'!$AD195),'Performance Curves'!$C$1:$L$46,_xlfn.SINGLE(MATCH('BMP P Tracking Table'!$AF195,'Performance Curves'!$D$1:$L$1,1))+2,FALSE)-VLOOKUP(CONCATENATE('BMP P Tracking Table'!$U195," ",'BMP P Tracking Table'!$AD195),'Performance Curves'!$C$1:$L$46,_xlfn.SINGLE(MATCH('BMP P Tracking Table'!$AF195,'Performance Curves'!$D$1:$L$1,1))+1,FALSE)),"")</f>
        <v/>
      </c>
      <c r="AH195" s="104" t="str">
        <f>IFERROR(('BMP P Tracking Table'!$AF195-INDEX('Performance Curves'!$D$1:$L$1,1,MATCH('BMP P Tracking Table'!$AF195,'Performance Curves'!$D$1:$L$1,1)))/(INDEX('Performance Curves'!$D$1:$L$1,1,MATCH('BMP P Tracking Table'!$AF195,'Performance Curves'!$D$1:$L$1,1)+1)-INDEX('Performance Curves'!$D$1:$L$1,1,MATCH('BMP P Tracking Table'!$AF195,'Performance Curves'!$D$1:$L$1,1))),"")</f>
        <v/>
      </c>
      <c r="AI195" s="103" t="str">
        <f>IFERROR(IF('BMP P Tracking Table'!$AF195=2,VLOOKUP(CONCATENATE('BMP P Tracking Table'!$U195," ",'BMP P Tracking Table'!$AD195),'Performance Curves'!$C$1:$L$46,_xlfn.SINGLE(MATCH('BMP P Tracking Table'!$AF195,'Performance Curves'!$D$1:$L$1,1))+1,FALSE),'BMP P Tracking Table'!$AG195*'BMP P Tracking Table'!$AH195+VLOOKUP(CONCATENATE('BMP P Tracking Table'!$U195," ",'BMP P Tracking Table'!$AD195),'Performance Curves'!$C$1:$L$46,_xlfn.SINGLE(MATCH('BMP P Tracking Table'!$AF195,'Performance Curves'!$D$1:$L$1,1))+1,FALSE)),"")</f>
        <v/>
      </c>
      <c r="AJ195" s="104" t="str">
        <f>IFERROR('BMP P Tracking Table'!$AI195*'BMP P Tracking Table'!$AE195,"")</f>
        <v/>
      </c>
      <c r="AK195" s="65"/>
      <c r="AL195" s="98"/>
      <c r="AM195" s="98"/>
      <c r="AN195" s="64">
        <v>1</v>
      </c>
      <c r="AO195" s="102" t="str">
        <f t="shared" si="33"/>
        <v/>
      </c>
      <c r="AP195" s="98"/>
      <c r="AQ195" s="98"/>
      <c r="AR195" s="98"/>
      <c r="AS195" s="98"/>
      <c r="AT195" s="98"/>
      <c r="AU195" s="98"/>
      <c r="AV195" s="98"/>
      <c r="AW195" s="65"/>
      <c r="AX195" s="99"/>
      <c r="AY195" s="99"/>
      <c r="AZ195" s="104" t="str">
        <f>IF('BMP P Tracking Table'!$AL195="Yes",IF('BMP P Tracking Table'!$AM195="No",'BMP P Tracking Table'!$V195*VLOOKUP('BMP P Tracking Table'!$R195,'Loading Rates'!$B$1:$L$24,4,FALSE)+IF('BMP P Tracking Table'!$W195="By HSG",'BMP P Tracking Table'!$X195*VLOOKUP('BMP P Tracking Table'!$R195,'Loading Rates'!$B$1:$L$24,6,FALSE)+'BMP P Tracking Table'!$Y195*VLOOKUP('BMP P Tracking Table'!$R195,'Loading Rates'!$B$1:$L$24,7,FALSE)+'BMP P Tracking Table'!$Z195*VLOOKUP('BMP P Tracking Table'!$R195,'Loading Rates'!$B$1:$L$24,8,FALSE)+'BMP P Tracking Table'!$AA195*VLOOKUP('BMP P Tracking Table'!$R195,'Loading Rates'!$B$1:$L$24,9,FALSE),'BMP P Tracking Table'!$AB195*VLOOKUP('BMP P Tracking Table'!$R195,'Loading Rates'!$B$1:$L$24,10,FALSE)),'BMP P Tracking Table'!$AP195*VLOOKUP('BMP P Tracking Table'!$R195,'Loading Rates'!$B$1:$L$24,4,FALSE)+IF('BMP P Tracking Table'!$AQ195="By HSG",'BMP P Tracking Table'!$AR195*VLOOKUP('BMP P Tracking Table'!$R195,'Loading Rates'!$B$1:$L$24,6,FALSE)+'BMP P Tracking Table'!$AS195*VLOOKUP('BMP P Tracking Table'!$R195,'Loading Rates'!$B$1:$L$24,7,FALSE)+'BMP P Tracking Table'!$AT195*VLOOKUP('BMP P Tracking Table'!$R195,'Loading Rates'!$B$1:$L$24,8,FALSE)+'BMP P Tracking Table'!$AU195*VLOOKUP('BMP P Tracking Table'!$R195,'Loading Rates'!$B$1:$L$24,9,FALSE),'BMP P Tracking Table'!$AV195*VLOOKUP('BMP P Tracking Table'!$R195,'Loading Rates'!$B$1:$L$24,10,FALSE))),"")</f>
        <v/>
      </c>
      <c r="BA195" s="104" t="str">
        <f>IFERROR(IF('BMP P Tracking Table'!$AM195="Yes",MIN(2,IF('BMP P Tracking Table'!$AQ195="Total Pervious",(-(3630*'BMP P Tracking Table'!$AP195+20.691*'BMP P Tracking Table'!$AV195)+SQRT((3630*'BMP P Tracking Table'!$AP195+20.691*'BMP P Tracking Table'!$AV195)^2-(4*(996.798*'BMP P Tracking Table'!$AV195)*-'BMP P Tracking Table'!$AX195)))/(2*(996.798*'BMP P Tracking Table'!$AV195)),IF(SUM('BMP P Tracking Table'!$AR195:$AU195)=0,'BMP P Tracking Table'!$AV195/(-3630*'BMP P Tracking Table'!$AP195),(-(3630*'BMP P Tracking Table'!$AP195+20.691*'BMP P Tracking Table'!$AU195-216.711*'BMP P Tracking Table'!$AT195-83.853*'BMP P Tracking Table'!$AS195-42.834*'BMP P Tracking Table'!$AR195)+SQRT((3630*'BMP P Tracking Table'!$AP195+20.691*'BMP P Tracking Table'!$AU195-216.711*'BMP P Tracking Table'!$AT195-83.853*'BMP P Tracking Table'!$AS195-42.834*'BMP P Tracking Table'!$AR195)^2-(4*(149.919*'BMP P Tracking Table'!$AR195+236.676*'BMP P Tracking Table'!$AS195+726*'BMP P Tracking Table'!$AT195+996.798*'BMP P Tracking Table'!$AU195)*-'BMP P Tracking Table'!$AX195)))/(2*(149.919*'BMP P Tracking Table'!$AR195+236.676*'BMP P Tracking Table'!$AS195+726*'BMP P Tracking Table'!$AT195+996.798*'BMP P Tracking Table'!$AU195))))),MIN(2,IF('BMP P Tracking Table'!$AQ195="Total Pervious",(-(3630*'BMP P Tracking Table'!$V195+20.691*'BMP P Tracking Table'!$AB195)+SQRT((3630*'BMP P Tracking Table'!$V195+20.691*'BMP P Tracking Table'!$AB195)^2-(4*(996.798*'BMP P Tracking Table'!$AB195)*-'BMP P Tracking Table'!$AX195)))/(2*(996.798*'BMP P Tracking Table'!$AB195)),IF(SUM('BMP P Tracking Table'!$X195:$AA195)=0,'BMP P Tracking Table'!$AX195/(-3630*'BMP P Tracking Table'!$V195),(-(3630*'BMP P Tracking Table'!$V195+20.691*'BMP P Tracking Table'!$AA195-216.711*'BMP P Tracking Table'!$Z195-83.853*'BMP P Tracking Table'!$Y195-42.834*'BMP P Tracking Table'!$X195)+SQRT((3630*'BMP P Tracking Table'!$V195+20.691*'BMP P Tracking Table'!$AA195-216.711*'BMP P Tracking Table'!$Z195-83.853*'BMP P Tracking Table'!$Y195-42.834*'BMP P Tracking Table'!$X195)^2-(4*(149.919*'BMP P Tracking Table'!$X195+236.676*'BMP P Tracking Table'!$Y195+726*'BMP P Tracking Table'!$Z195+996.798*'BMP P Tracking Table'!$AA195)*-'BMP P Tracking Table'!$AX195)))/(2*(149.919*'BMP P Tracking Table'!$X195+236.676*'BMP P Tracking Table'!$Y195+726*'BMP P Tracking Table'!$Z195+996.798*'BMP P Tracking Table'!$AA195)))))),"")</f>
        <v/>
      </c>
      <c r="BB195" s="102" t="str">
        <f>IFERROR((VLOOKUP(CONCATENATE('BMP P Tracking Table'!$AW195," ",'BMP P Tracking Table'!$AY195),'Performance Curves'!$C$1:$L$46,_xlfn.SINGLE(MATCH('BMP P Tracking Table'!$BA195,'Performance Curves'!$D$1:$L$1,1))+2,FALSE)-VLOOKUP(CONCATENATE('BMP P Tracking Table'!$AW195," ",'BMP P Tracking Table'!$AY195),'Performance Curves'!$C$1:$L$46,_xlfn.SINGLE(MATCH('BMP P Tracking Table'!$BA195,'Performance Curves'!$D$1:$L$1,1))+1,FALSE)),"")</f>
        <v/>
      </c>
      <c r="BC195" s="102" t="str">
        <f>IFERROR(('BMP P Tracking Table'!$BA195-INDEX('Performance Curves'!$D$1:$L$1,1,MATCH('BMP P Tracking Table'!$BA195,'Performance Curves'!$D$1:$L$1,1)))/(INDEX('Performance Curves'!$D$1:$L$1,1,MATCH('BMP P Tracking Table'!$BA195,'Performance Curves'!$D$1:$L$1,1)+1)-INDEX('Performance Curves'!$D$1:$L$1,1,MATCH('BMP P Tracking Table'!$BA195,'Performance Curves'!$D$1:$L$1,1))),"")</f>
        <v/>
      </c>
      <c r="BD195" s="103" t="str" cm="1">
        <f t="array" ref="BD195">IFERROR(IF('BMP P Tracking Table'!$BA195=2,VLOOKUP(CONCATENATE('BMP P Tracking Table'!$AW195," ",'BMP P Tracking Table'!$AY195),'Performance Curves'!$C$1:$L$44,_xlfn.SINGLE(MATCH('BMP P Tracking Table'!$BA195,'Performance Curves'!$D$1:$L$1,1))+1,FALSE),'BMP P Tracking Table'!$BB195*'BMP P Tracking Table'!$BC195+VLOOKUP(CONCATENATE('BMP P Tracking Table'!$AW195," ",'BMP P Tracking Table'!$AY195),'Performance Curves'!$C$1:$L$44,_xlfn.SINGLE(MATCH('BMP P Tracking Table'!$BA195,'Performance Curves'!$D$1:$L$1,1))+1,FALSE)),"")</f>
        <v/>
      </c>
      <c r="BE195" s="104" t="str">
        <f>IFERROR('BMP P Tracking Table'!$BD195*'BMP P Tracking Table'!$AZ195,"")</f>
        <v/>
      </c>
      <c r="BF195" s="98"/>
      <c r="BG195" s="37">
        <f t="shared" si="34"/>
        <v>0</v>
      </c>
    </row>
    <row r="196" spans="2:59" s="36" customFormat="1">
      <c r="B196" s="65"/>
      <c r="C196" s="65"/>
      <c r="D196" s="65"/>
      <c r="E196" s="65"/>
      <c r="F196" s="94"/>
      <c r="G196" s="94"/>
      <c r="H196" s="65"/>
      <c r="I196" s="65"/>
      <c r="J196" s="65"/>
      <c r="K196" s="95"/>
      <c r="L196" s="65"/>
      <c r="M196" s="65"/>
      <c r="N196" s="65"/>
      <c r="O196" s="65"/>
      <c r="P196" s="65"/>
      <c r="Q196" s="65"/>
      <c r="R196" s="65" t="str">
        <f>IFERROR(VLOOKUP('BMP P Tracking Table'!$Q196,Dropdowns!$C$2:$E$15,3,FALSE),"")</f>
        <v/>
      </c>
      <c r="S196" s="65" t="str">
        <f>IFERROR(VLOOKUP('BMP P Tracking Table'!$R196,Dropdowns!$Q$3:$R$23,2,FALSE),"")</f>
        <v/>
      </c>
      <c r="T196" s="65"/>
      <c r="U196" s="65"/>
      <c r="V196" s="65"/>
      <c r="W196" s="65"/>
      <c r="X196" s="65"/>
      <c r="Y196" s="65"/>
      <c r="Z196" s="65"/>
      <c r="AA196" s="65"/>
      <c r="AB196" s="65"/>
      <c r="AC196" s="97"/>
      <c r="AD196" s="65"/>
      <c r="AE196" s="104" t="str">
        <f>IFERROR('BMP P Tracking Table'!$V196*VLOOKUP('BMP P Tracking Table'!$R196,'Loading Rates'!$B$1:$L$24,4,FALSE)+IF('BMP P Tracking Table'!$W196="By HSG",'BMP P Tracking Table'!$X196*VLOOKUP('BMP P Tracking Table'!$R196,'Loading Rates'!$B$1:$L$24,6,FALSE)+'BMP P Tracking Table'!$Y196*VLOOKUP('BMP P Tracking Table'!$R196,'Loading Rates'!$B$1:$L$24,7,FALSE)+'BMP P Tracking Table'!$Z196*VLOOKUP('BMP P Tracking Table'!$R196,'Loading Rates'!$B$1:$L$24,8,FALSE)+'BMP P Tracking Table'!$AA196*VLOOKUP('BMP P Tracking Table'!$R196,'Loading Rates'!$B$1:$L$24,9,FALSE),'BMP P Tracking Table'!$AB196*VLOOKUP('BMP P Tracking Table'!$R196,'Loading Rates'!$B$1:$L$24,10,FALSE)),"")</f>
        <v/>
      </c>
      <c r="AF196" s="104" t="str">
        <f>IFERROR(MIN(2,IF('BMP P Tracking Table'!$W196="Total Pervious",(-(3630*'BMP P Tracking Table'!$V196+20.691*'BMP P Tracking Table'!$AB196)+SQRT((3630*'BMP P Tracking Table'!$V196+20.691*'BMP P Tracking Table'!$AB196)^2-(4*(996.798*'BMP P Tracking Table'!$AB196)*-'BMP P Tracking Table'!$AC196)))/(2*(996.798*'BMP P Tracking Table'!$AB196)),IF(SUM('BMP P Tracking Table'!$X196:$AA196)=0,'BMP P Tracking Table'!$AC196/(-3630*'BMP P Tracking Table'!$V196),(-(3630*'BMP P Tracking Table'!$V196+20.691*'BMP P Tracking Table'!$AA196-216.711*'BMP P Tracking Table'!$Z196-83.853*'BMP P Tracking Table'!$Y196-42.834*'BMP P Tracking Table'!$X196)+SQRT((3630*'BMP P Tracking Table'!$V196+20.691*'BMP P Tracking Table'!$AA196-216.711*'BMP P Tracking Table'!$Z196-83.853*'BMP P Tracking Table'!$Y196-42.834*'BMP P Tracking Table'!$X196)^2-(4*(149.919*'BMP P Tracking Table'!$X196+236.676*'BMP P Tracking Table'!$Y196+726*'BMP P Tracking Table'!$Z196+996.798*'BMP P Tracking Table'!$AA196)*-'BMP P Tracking Table'!$AC196)))/(2*(149.919*'BMP P Tracking Table'!$X196+236.676*'BMP P Tracking Table'!$Y196+726*'BMP P Tracking Table'!$Z196+996.798*'BMP P Tracking Table'!$AA196))))),"")</f>
        <v/>
      </c>
      <c r="AG196" s="104" t="str">
        <f>IFERROR((VLOOKUP(CONCATENATE('BMP P Tracking Table'!$U196," ",'BMP P Tracking Table'!$AD196),'Performance Curves'!$C$1:$L$46,_xlfn.SINGLE(MATCH('BMP P Tracking Table'!$AF196,'Performance Curves'!$D$1:$L$1,1))+2,FALSE)-VLOOKUP(CONCATENATE('BMP P Tracking Table'!$U196," ",'BMP P Tracking Table'!$AD196),'Performance Curves'!$C$1:$L$46,_xlfn.SINGLE(MATCH('BMP P Tracking Table'!$AF196,'Performance Curves'!$D$1:$L$1,1))+1,FALSE)),"")</f>
        <v/>
      </c>
      <c r="AH196" s="104" t="str">
        <f>IFERROR(('BMP P Tracking Table'!$AF196-INDEX('Performance Curves'!$D$1:$L$1,1,MATCH('BMP P Tracking Table'!$AF196,'Performance Curves'!$D$1:$L$1,1)))/(INDEX('Performance Curves'!$D$1:$L$1,1,MATCH('BMP P Tracking Table'!$AF196,'Performance Curves'!$D$1:$L$1,1)+1)-INDEX('Performance Curves'!$D$1:$L$1,1,MATCH('BMP P Tracking Table'!$AF196,'Performance Curves'!$D$1:$L$1,1))),"")</f>
        <v/>
      </c>
      <c r="AI196" s="103" t="str">
        <f>IFERROR(IF('BMP P Tracking Table'!$AF196=2,VLOOKUP(CONCATENATE('BMP P Tracking Table'!$U196," ",'BMP P Tracking Table'!$AD196),'Performance Curves'!$C$1:$L$46,_xlfn.SINGLE(MATCH('BMP P Tracking Table'!$AF196,'Performance Curves'!$D$1:$L$1,1))+1,FALSE),'BMP P Tracking Table'!$AG196*'BMP P Tracking Table'!$AH196+VLOOKUP(CONCATENATE('BMP P Tracking Table'!$U196," ",'BMP P Tracking Table'!$AD196),'Performance Curves'!$C$1:$L$46,_xlfn.SINGLE(MATCH('BMP P Tracking Table'!$AF196,'Performance Curves'!$D$1:$L$1,1))+1,FALSE)),"")</f>
        <v/>
      </c>
      <c r="AJ196" s="104" t="str">
        <f>IFERROR('BMP P Tracking Table'!$AI196*'BMP P Tracking Table'!$AE196,"")</f>
        <v/>
      </c>
      <c r="AK196" s="65"/>
      <c r="AL196" s="98"/>
      <c r="AM196" s="98"/>
      <c r="AN196" s="64">
        <v>1</v>
      </c>
      <c r="AO196" s="102" t="str">
        <f t="shared" si="33"/>
        <v/>
      </c>
      <c r="AP196" s="98"/>
      <c r="AQ196" s="98"/>
      <c r="AR196" s="98"/>
      <c r="AS196" s="98"/>
      <c r="AT196" s="98"/>
      <c r="AU196" s="98"/>
      <c r="AV196" s="98"/>
      <c r="AW196" s="65"/>
      <c r="AX196" s="99"/>
      <c r="AY196" s="99"/>
      <c r="AZ196" s="104" t="str">
        <f>IF('BMP P Tracking Table'!$AL196="Yes",IF('BMP P Tracking Table'!$AM196="No",'BMP P Tracking Table'!$V196*VLOOKUP('BMP P Tracking Table'!$R196,'Loading Rates'!$B$1:$L$24,4,FALSE)+IF('BMP P Tracking Table'!$W196="By HSG",'BMP P Tracking Table'!$X196*VLOOKUP('BMP P Tracking Table'!$R196,'Loading Rates'!$B$1:$L$24,6,FALSE)+'BMP P Tracking Table'!$Y196*VLOOKUP('BMP P Tracking Table'!$R196,'Loading Rates'!$B$1:$L$24,7,FALSE)+'BMP P Tracking Table'!$Z196*VLOOKUP('BMP P Tracking Table'!$R196,'Loading Rates'!$B$1:$L$24,8,FALSE)+'BMP P Tracking Table'!$AA196*VLOOKUP('BMP P Tracking Table'!$R196,'Loading Rates'!$B$1:$L$24,9,FALSE),'BMP P Tracking Table'!$AB196*VLOOKUP('BMP P Tracking Table'!$R196,'Loading Rates'!$B$1:$L$24,10,FALSE)),'BMP P Tracking Table'!$AP196*VLOOKUP('BMP P Tracking Table'!$R196,'Loading Rates'!$B$1:$L$24,4,FALSE)+IF('BMP P Tracking Table'!$AQ196="By HSG",'BMP P Tracking Table'!$AR196*VLOOKUP('BMP P Tracking Table'!$R196,'Loading Rates'!$B$1:$L$24,6,FALSE)+'BMP P Tracking Table'!$AS196*VLOOKUP('BMP P Tracking Table'!$R196,'Loading Rates'!$B$1:$L$24,7,FALSE)+'BMP P Tracking Table'!$AT196*VLOOKUP('BMP P Tracking Table'!$R196,'Loading Rates'!$B$1:$L$24,8,FALSE)+'BMP P Tracking Table'!$AU196*VLOOKUP('BMP P Tracking Table'!$R196,'Loading Rates'!$B$1:$L$24,9,FALSE),'BMP P Tracking Table'!$AV196*VLOOKUP('BMP P Tracking Table'!$R196,'Loading Rates'!$B$1:$L$24,10,FALSE))),"")</f>
        <v/>
      </c>
      <c r="BA196" s="104" t="str">
        <f>IFERROR(IF('BMP P Tracking Table'!$AM196="Yes",MIN(2,IF('BMP P Tracking Table'!$AQ196="Total Pervious",(-(3630*'BMP P Tracking Table'!$AP196+20.691*'BMP P Tracking Table'!$AV196)+SQRT((3630*'BMP P Tracking Table'!$AP196+20.691*'BMP P Tracking Table'!$AV196)^2-(4*(996.798*'BMP P Tracking Table'!$AV196)*-'BMP P Tracking Table'!$AX196)))/(2*(996.798*'BMP P Tracking Table'!$AV196)),IF(SUM('BMP P Tracking Table'!$AR196:$AU196)=0,'BMP P Tracking Table'!$AV196/(-3630*'BMP P Tracking Table'!$AP196),(-(3630*'BMP P Tracking Table'!$AP196+20.691*'BMP P Tracking Table'!$AU196-216.711*'BMP P Tracking Table'!$AT196-83.853*'BMP P Tracking Table'!$AS196-42.834*'BMP P Tracking Table'!$AR196)+SQRT((3630*'BMP P Tracking Table'!$AP196+20.691*'BMP P Tracking Table'!$AU196-216.711*'BMP P Tracking Table'!$AT196-83.853*'BMP P Tracking Table'!$AS196-42.834*'BMP P Tracking Table'!$AR196)^2-(4*(149.919*'BMP P Tracking Table'!$AR196+236.676*'BMP P Tracking Table'!$AS196+726*'BMP P Tracking Table'!$AT196+996.798*'BMP P Tracking Table'!$AU196)*-'BMP P Tracking Table'!$AX196)))/(2*(149.919*'BMP P Tracking Table'!$AR196+236.676*'BMP P Tracking Table'!$AS196+726*'BMP P Tracking Table'!$AT196+996.798*'BMP P Tracking Table'!$AU196))))),MIN(2,IF('BMP P Tracking Table'!$AQ196="Total Pervious",(-(3630*'BMP P Tracking Table'!$V196+20.691*'BMP P Tracking Table'!$AB196)+SQRT((3630*'BMP P Tracking Table'!$V196+20.691*'BMP P Tracking Table'!$AB196)^2-(4*(996.798*'BMP P Tracking Table'!$AB196)*-'BMP P Tracking Table'!$AX196)))/(2*(996.798*'BMP P Tracking Table'!$AB196)),IF(SUM('BMP P Tracking Table'!$X196:$AA196)=0,'BMP P Tracking Table'!$AX196/(-3630*'BMP P Tracking Table'!$V196),(-(3630*'BMP P Tracking Table'!$V196+20.691*'BMP P Tracking Table'!$AA196-216.711*'BMP P Tracking Table'!$Z196-83.853*'BMP P Tracking Table'!$Y196-42.834*'BMP P Tracking Table'!$X196)+SQRT((3630*'BMP P Tracking Table'!$V196+20.691*'BMP P Tracking Table'!$AA196-216.711*'BMP P Tracking Table'!$Z196-83.853*'BMP P Tracking Table'!$Y196-42.834*'BMP P Tracking Table'!$X196)^2-(4*(149.919*'BMP P Tracking Table'!$X196+236.676*'BMP P Tracking Table'!$Y196+726*'BMP P Tracking Table'!$Z196+996.798*'BMP P Tracking Table'!$AA196)*-'BMP P Tracking Table'!$AX196)))/(2*(149.919*'BMP P Tracking Table'!$X196+236.676*'BMP P Tracking Table'!$Y196+726*'BMP P Tracking Table'!$Z196+996.798*'BMP P Tracking Table'!$AA196)))))),"")</f>
        <v/>
      </c>
      <c r="BB196" s="102" t="str">
        <f>IFERROR((VLOOKUP(CONCATENATE('BMP P Tracking Table'!$AW196," ",'BMP P Tracking Table'!$AY196),'Performance Curves'!$C$1:$L$46,_xlfn.SINGLE(MATCH('BMP P Tracking Table'!$BA196,'Performance Curves'!$D$1:$L$1,1))+2,FALSE)-VLOOKUP(CONCATENATE('BMP P Tracking Table'!$AW196," ",'BMP P Tracking Table'!$AY196),'Performance Curves'!$C$1:$L$46,_xlfn.SINGLE(MATCH('BMP P Tracking Table'!$BA196,'Performance Curves'!$D$1:$L$1,1))+1,FALSE)),"")</f>
        <v/>
      </c>
      <c r="BC196" s="102" t="str">
        <f>IFERROR(('BMP P Tracking Table'!$BA196-INDEX('Performance Curves'!$D$1:$L$1,1,MATCH('BMP P Tracking Table'!$BA196,'Performance Curves'!$D$1:$L$1,1)))/(INDEX('Performance Curves'!$D$1:$L$1,1,MATCH('BMP P Tracking Table'!$BA196,'Performance Curves'!$D$1:$L$1,1)+1)-INDEX('Performance Curves'!$D$1:$L$1,1,MATCH('BMP P Tracking Table'!$BA196,'Performance Curves'!$D$1:$L$1,1))),"")</f>
        <v/>
      </c>
      <c r="BD196" s="103" t="str" cm="1">
        <f t="array" ref="BD196">IFERROR(IF('BMP P Tracking Table'!$BA196=2,VLOOKUP(CONCATENATE('BMP P Tracking Table'!$AW196," ",'BMP P Tracking Table'!$AY196),'Performance Curves'!$C$1:$L$44,_xlfn.SINGLE(MATCH('BMP P Tracking Table'!$BA196,'Performance Curves'!$D$1:$L$1,1))+1,FALSE),'BMP P Tracking Table'!$BB196*'BMP P Tracking Table'!$BC196+VLOOKUP(CONCATENATE('BMP P Tracking Table'!$AW196," ",'BMP P Tracking Table'!$AY196),'Performance Curves'!$C$1:$L$44,_xlfn.SINGLE(MATCH('BMP P Tracking Table'!$BA196,'Performance Curves'!$D$1:$L$1,1))+1,FALSE)),"")</f>
        <v/>
      </c>
      <c r="BE196" s="104" t="str">
        <f>IFERROR('BMP P Tracking Table'!$BD196*'BMP P Tracking Table'!$AZ196,"")</f>
        <v/>
      </c>
      <c r="BF196" s="98"/>
      <c r="BG196" s="37">
        <f t="shared" si="34"/>
        <v>0</v>
      </c>
    </row>
    <row r="197" spans="2:59" s="36" customFormat="1">
      <c r="B197" s="65"/>
      <c r="C197" s="65"/>
      <c r="D197" s="65"/>
      <c r="E197" s="65"/>
      <c r="F197" s="94"/>
      <c r="G197" s="94"/>
      <c r="H197" s="65"/>
      <c r="I197" s="65"/>
      <c r="J197" s="65"/>
      <c r="K197" s="95"/>
      <c r="L197" s="65"/>
      <c r="M197" s="65"/>
      <c r="N197" s="65"/>
      <c r="O197" s="65"/>
      <c r="P197" s="65"/>
      <c r="Q197" s="65"/>
      <c r="R197" s="65" t="str">
        <f>IFERROR(VLOOKUP('BMP P Tracking Table'!$Q197,Dropdowns!$C$2:$E$15,3,FALSE),"")</f>
        <v/>
      </c>
      <c r="S197" s="65" t="str">
        <f>IFERROR(VLOOKUP('BMP P Tracking Table'!$R197,Dropdowns!$Q$3:$R$23,2,FALSE),"")</f>
        <v/>
      </c>
      <c r="T197" s="65"/>
      <c r="U197" s="65"/>
      <c r="V197" s="65"/>
      <c r="W197" s="65"/>
      <c r="X197" s="65"/>
      <c r="Y197" s="65"/>
      <c r="Z197" s="65"/>
      <c r="AA197" s="65"/>
      <c r="AB197" s="65"/>
      <c r="AC197" s="97"/>
      <c r="AD197" s="65"/>
      <c r="AE197" s="104" t="str">
        <f>IFERROR('BMP P Tracking Table'!$V197*VLOOKUP('BMP P Tracking Table'!$R197,'Loading Rates'!$B$1:$L$24,4,FALSE)+IF('BMP P Tracking Table'!$W197="By HSG",'BMP P Tracking Table'!$X197*VLOOKUP('BMP P Tracking Table'!$R197,'Loading Rates'!$B$1:$L$24,6,FALSE)+'BMP P Tracking Table'!$Y197*VLOOKUP('BMP P Tracking Table'!$R197,'Loading Rates'!$B$1:$L$24,7,FALSE)+'BMP P Tracking Table'!$Z197*VLOOKUP('BMP P Tracking Table'!$R197,'Loading Rates'!$B$1:$L$24,8,FALSE)+'BMP P Tracking Table'!$AA197*VLOOKUP('BMP P Tracking Table'!$R197,'Loading Rates'!$B$1:$L$24,9,FALSE),'BMP P Tracking Table'!$AB197*VLOOKUP('BMP P Tracking Table'!$R197,'Loading Rates'!$B$1:$L$24,10,FALSE)),"")</f>
        <v/>
      </c>
      <c r="AF197" s="104" t="str">
        <f>IFERROR(MIN(2,IF('BMP P Tracking Table'!$W197="Total Pervious",(-(3630*'BMP P Tracking Table'!$V197+20.691*'BMP P Tracking Table'!$AB197)+SQRT((3630*'BMP P Tracking Table'!$V197+20.691*'BMP P Tracking Table'!$AB197)^2-(4*(996.798*'BMP P Tracking Table'!$AB197)*-'BMP P Tracking Table'!$AC197)))/(2*(996.798*'BMP P Tracking Table'!$AB197)),IF(SUM('BMP P Tracking Table'!$X197:$AA197)=0,'BMP P Tracking Table'!$AC197/(-3630*'BMP P Tracking Table'!$V197),(-(3630*'BMP P Tracking Table'!$V197+20.691*'BMP P Tracking Table'!$AA197-216.711*'BMP P Tracking Table'!$Z197-83.853*'BMP P Tracking Table'!$Y197-42.834*'BMP P Tracking Table'!$X197)+SQRT((3630*'BMP P Tracking Table'!$V197+20.691*'BMP P Tracking Table'!$AA197-216.711*'BMP P Tracking Table'!$Z197-83.853*'BMP P Tracking Table'!$Y197-42.834*'BMP P Tracking Table'!$X197)^2-(4*(149.919*'BMP P Tracking Table'!$X197+236.676*'BMP P Tracking Table'!$Y197+726*'BMP P Tracking Table'!$Z197+996.798*'BMP P Tracking Table'!$AA197)*-'BMP P Tracking Table'!$AC197)))/(2*(149.919*'BMP P Tracking Table'!$X197+236.676*'BMP P Tracking Table'!$Y197+726*'BMP P Tracking Table'!$Z197+996.798*'BMP P Tracking Table'!$AA197))))),"")</f>
        <v/>
      </c>
      <c r="AG197" s="104" t="str">
        <f>IFERROR((VLOOKUP(CONCATENATE('BMP P Tracking Table'!$U197," ",'BMP P Tracking Table'!$AD197),'Performance Curves'!$C$1:$L$46,_xlfn.SINGLE(MATCH('BMP P Tracking Table'!$AF197,'Performance Curves'!$D$1:$L$1,1))+2,FALSE)-VLOOKUP(CONCATENATE('BMP P Tracking Table'!$U197," ",'BMP P Tracking Table'!$AD197),'Performance Curves'!$C$1:$L$46,_xlfn.SINGLE(MATCH('BMP P Tracking Table'!$AF197,'Performance Curves'!$D$1:$L$1,1))+1,FALSE)),"")</f>
        <v/>
      </c>
      <c r="AH197" s="104" t="str">
        <f>IFERROR(('BMP P Tracking Table'!$AF197-INDEX('Performance Curves'!$D$1:$L$1,1,MATCH('BMP P Tracking Table'!$AF197,'Performance Curves'!$D$1:$L$1,1)))/(INDEX('Performance Curves'!$D$1:$L$1,1,MATCH('BMP P Tracking Table'!$AF197,'Performance Curves'!$D$1:$L$1,1)+1)-INDEX('Performance Curves'!$D$1:$L$1,1,MATCH('BMP P Tracking Table'!$AF197,'Performance Curves'!$D$1:$L$1,1))),"")</f>
        <v/>
      </c>
      <c r="AI197" s="103" t="str">
        <f>IFERROR(IF('BMP P Tracking Table'!$AF197=2,VLOOKUP(CONCATENATE('BMP P Tracking Table'!$U197," ",'BMP P Tracking Table'!$AD197),'Performance Curves'!$C$1:$L$46,_xlfn.SINGLE(MATCH('BMP P Tracking Table'!$AF197,'Performance Curves'!$D$1:$L$1,1))+1,FALSE),'BMP P Tracking Table'!$AG197*'BMP P Tracking Table'!$AH197+VLOOKUP(CONCATENATE('BMP P Tracking Table'!$U197," ",'BMP P Tracking Table'!$AD197),'Performance Curves'!$C$1:$L$46,_xlfn.SINGLE(MATCH('BMP P Tracking Table'!$AF197,'Performance Curves'!$D$1:$L$1,1))+1,FALSE)),"")</f>
        <v/>
      </c>
      <c r="AJ197" s="104" t="str">
        <f>IFERROR('BMP P Tracking Table'!$AI197*'BMP P Tracking Table'!$AE197,"")</f>
        <v/>
      </c>
      <c r="AK197" s="65"/>
      <c r="AL197" s="98"/>
      <c r="AM197" s="98"/>
      <c r="AN197" s="64">
        <v>1</v>
      </c>
      <c r="AO197" s="102" t="str">
        <f t="shared" si="33"/>
        <v/>
      </c>
      <c r="AP197" s="98"/>
      <c r="AQ197" s="98"/>
      <c r="AR197" s="98"/>
      <c r="AS197" s="98"/>
      <c r="AT197" s="98"/>
      <c r="AU197" s="98"/>
      <c r="AV197" s="98"/>
      <c r="AW197" s="65"/>
      <c r="AX197" s="99"/>
      <c r="AY197" s="99"/>
      <c r="AZ197" s="104" t="str">
        <f>IF('BMP P Tracking Table'!$AL197="Yes",IF('BMP P Tracking Table'!$AM197="No",'BMP P Tracking Table'!$V197*VLOOKUP('BMP P Tracking Table'!$R197,'Loading Rates'!$B$1:$L$24,4,FALSE)+IF('BMP P Tracking Table'!$W197="By HSG",'BMP P Tracking Table'!$X197*VLOOKUP('BMP P Tracking Table'!$R197,'Loading Rates'!$B$1:$L$24,6,FALSE)+'BMP P Tracking Table'!$Y197*VLOOKUP('BMP P Tracking Table'!$R197,'Loading Rates'!$B$1:$L$24,7,FALSE)+'BMP P Tracking Table'!$Z197*VLOOKUP('BMP P Tracking Table'!$R197,'Loading Rates'!$B$1:$L$24,8,FALSE)+'BMP P Tracking Table'!$AA197*VLOOKUP('BMP P Tracking Table'!$R197,'Loading Rates'!$B$1:$L$24,9,FALSE),'BMP P Tracking Table'!$AB197*VLOOKUP('BMP P Tracking Table'!$R197,'Loading Rates'!$B$1:$L$24,10,FALSE)),'BMP P Tracking Table'!$AP197*VLOOKUP('BMP P Tracking Table'!$R197,'Loading Rates'!$B$1:$L$24,4,FALSE)+IF('BMP P Tracking Table'!$AQ197="By HSG",'BMP P Tracking Table'!$AR197*VLOOKUP('BMP P Tracking Table'!$R197,'Loading Rates'!$B$1:$L$24,6,FALSE)+'BMP P Tracking Table'!$AS197*VLOOKUP('BMP P Tracking Table'!$R197,'Loading Rates'!$B$1:$L$24,7,FALSE)+'BMP P Tracking Table'!$AT197*VLOOKUP('BMP P Tracking Table'!$R197,'Loading Rates'!$B$1:$L$24,8,FALSE)+'BMP P Tracking Table'!$AU197*VLOOKUP('BMP P Tracking Table'!$R197,'Loading Rates'!$B$1:$L$24,9,FALSE),'BMP P Tracking Table'!$AV197*VLOOKUP('BMP P Tracking Table'!$R197,'Loading Rates'!$B$1:$L$24,10,FALSE))),"")</f>
        <v/>
      </c>
      <c r="BA197" s="104" t="str">
        <f>IFERROR(IF('BMP P Tracking Table'!$AM197="Yes",MIN(2,IF('BMP P Tracking Table'!$AQ197="Total Pervious",(-(3630*'BMP P Tracking Table'!$AP197+20.691*'BMP P Tracking Table'!$AV197)+SQRT((3630*'BMP P Tracking Table'!$AP197+20.691*'BMP P Tracking Table'!$AV197)^2-(4*(996.798*'BMP P Tracking Table'!$AV197)*-'BMP P Tracking Table'!$AX197)))/(2*(996.798*'BMP P Tracking Table'!$AV197)),IF(SUM('BMP P Tracking Table'!$AR197:$AU197)=0,'BMP P Tracking Table'!$AV197/(-3630*'BMP P Tracking Table'!$AP197),(-(3630*'BMP P Tracking Table'!$AP197+20.691*'BMP P Tracking Table'!$AU197-216.711*'BMP P Tracking Table'!$AT197-83.853*'BMP P Tracking Table'!$AS197-42.834*'BMP P Tracking Table'!$AR197)+SQRT((3630*'BMP P Tracking Table'!$AP197+20.691*'BMP P Tracking Table'!$AU197-216.711*'BMP P Tracking Table'!$AT197-83.853*'BMP P Tracking Table'!$AS197-42.834*'BMP P Tracking Table'!$AR197)^2-(4*(149.919*'BMP P Tracking Table'!$AR197+236.676*'BMP P Tracking Table'!$AS197+726*'BMP P Tracking Table'!$AT197+996.798*'BMP P Tracking Table'!$AU197)*-'BMP P Tracking Table'!$AX197)))/(2*(149.919*'BMP P Tracking Table'!$AR197+236.676*'BMP P Tracking Table'!$AS197+726*'BMP P Tracking Table'!$AT197+996.798*'BMP P Tracking Table'!$AU197))))),MIN(2,IF('BMP P Tracking Table'!$AQ197="Total Pervious",(-(3630*'BMP P Tracking Table'!$V197+20.691*'BMP P Tracking Table'!$AB197)+SQRT((3630*'BMP P Tracking Table'!$V197+20.691*'BMP P Tracking Table'!$AB197)^2-(4*(996.798*'BMP P Tracking Table'!$AB197)*-'BMP P Tracking Table'!$AX197)))/(2*(996.798*'BMP P Tracking Table'!$AB197)),IF(SUM('BMP P Tracking Table'!$X197:$AA197)=0,'BMP P Tracking Table'!$AX197/(-3630*'BMP P Tracking Table'!$V197),(-(3630*'BMP P Tracking Table'!$V197+20.691*'BMP P Tracking Table'!$AA197-216.711*'BMP P Tracking Table'!$Z197-83.853*'BMP P Tracking Table'!$Y197-42.834*'BMP P Tracking Table'!$X197)+SQRT((3630*'BMP P Tracking Table'!$V197+20.691*'BMP P Tracking Table'!$AA197-216.711*'BMP P Tracking Table'!$Z197-83.853*'BMP P Tracking Table'!$Y197-42.834*'BMP P Tracking Table'!$X197)^2-(4*(149.919*'BMP P Tracking Table'!$X197+236.676*'BMP P Tracking Table'!$Y197+726*'BMP P Tracking Table'!$Z197+996.798*'BMP P Tracking Table'!$AA197)*-'BMP P Tracking Table'!$AX197)))/(2*(149.919*'BMP P Tracking Table'!$X197+236.676*'BMP P Tracking Table'!$Y197+726*'BMP P Tracking Table'!$Z197+996.798*'BMP P Tracking Table'!$AA197)))))),"")</f>
        <v/>
      </c>
      <c r="BB197" s="102" t="str">
        <f>IFERROR((VLOOKUP(CONCATENATE('BMP P Tracking Table'!$AW197," ",'BMP P Tracking Table'!$AY197),'Performance Curves'!$C$1:$L$46,_xlfn.SINGLE(MATCH('BMP P Tracking Table'!$BA197,'Performance Curves'!$D$1:$L$1,1))+2,FALSE)-VLOOKUP(CONCATENATE('BMP P Tracking Table'!$AW197," ",'BMP P Tracking Table'!$AY197),'Performance Curves'!$C$1:$L$46,_xlfn.SINGLE(MATCH('BMP P Tracking Table'!$BA197,'Performance Curves'!$D$1:$L$1,1))+1,FALSE)),"")</f>
        <v/>
      </c>
      <c r="BC197" s="102" t="str">
        <f>IFERROR(('BMP P Tracking Table'!$BA197-INDEX('Performance Curves'!$D$1:$L$1,1,MATCH('BMP P Tracking Table'!$BA197,'Performance Curves'!$D$1:$L$1,1)))/(INDEX('Performance Curves'!$D$1:$L$1,1,MATCH('BMP P Tracking Table'!$BA197,'Performance Curves'!$D$1:$L$1,1)+1)-INDEX('Performance Curves'!$D$1:$L$1,1,MATCH('BMP P Tracking Table'!$BA197,'Performance Curves'!$D$1:$L$1,1))),"")</f>
        <v/>
      </c>
      <c r="BD197" s="103" t="str" cm="1">
        <f t="array" ref="BD197">IFERROR(IF('BMP P Tracking Table'!$BA197=2,VLOOKUP(CONCATENATE('BMP P Tracking Table'!$AW197," ",'BMP P Tracking Table'!$AY197),'Performance Curves'!$C$1:$L$44,_xlfn.SINGLE(MATCH('BMP P Tracking Table'!$BA197,'Performance Curves'!$D$1:$L$1,1))+1,FALSE),'BMP P Tracking Table'!$BB197*'BMP P Tracking Table'!$BC197+VLOOKUP(CONCATENATE('BMP P Tracking Table'!$AW197," ",'BMP P Tracking Table'!$AY197),'Performance Curves'!$C$1:$L$44,_xlfn.SINGLE(MATCH('BMP P Tracking Table'!$BA197,'Performance Curves'!$D$1:$L$1,1))+1,FALSE)),"")</f>
        <v/>
      </c>
      <c r="BE197" s="104" t="str">
        <f>IFERROR('BMP P Tracking Table'!$BD197*'BMP P Tracking Table'!$AZ197,"")</f>
        <v/>
      </c>
      <c r="BF197" s="98"/>
      <c r="BG197" s="37">
        <f t="shared" si="34"/>
        <v>0</v>
      </c>
    </row>
    <row r="198" spans="2:59" s="36" customFormat="1">
      <c r="B198" s="65"/>
      <c r="C198" s="65"/>
      <c r="D198" s="65"/>
      <c r="E198" s="65"/>
      <c r="F198" s="94"/>
      <c r="G198" s="94"/>
      <c r="H198" s="65"/>
      <c r="I198" s="65"/>
      <c r="J198" s="65"/>
      <c r="K198" s="95"/>
      <c r="L198" s="65"/>
      <c r="M198" s="65"/>
      <c r="N198" s="65"/>
      <c r="O198" s="65"/>
      <c r="P198" s="65"/>
      <c r="Q198" s="65"/>
      <c r="R198" s="65" t="str">
        <f>IFERROR(VLOOKUP('BMP P Tracking Table'!$Q198,Dropdowns!$C$2:$E$15,3,FALSE),"")</f>
        <v/>
      </c>
      <c r="S198" s="65" t="str">
        <f>IFERROR(VLOOKUP('BMP P Tracking Table'!$R198,Dropdowns!$Q$3:$R$23,2,FALSE),"")</f>
        <v/>
      </c>
      <c r="T198" s="65"/>
      <c r="U198" s="65"/>
      <c r="V198" s="65"/>
      <c r="W198" s="65"/>
      <c r="X198" s="65"/>
      <c r="Y198" s="65"/>
      <c r="Z198" s="65"/>
      <c r="AA198" s="65"/>
      <c r="AB198" s="65"/>
      <c r="AC198" s="97"/>
      <c r="AD198" s="65"/>
      <c r="AE198" s="104" t="str">
        <f>IFERROR('BMP P Tracking Table'!$V198*VLOOKUP('BMP P Tracking Table'!$R198,'Loading Rates'!$B$1:$L$24,4,FALSE)+IF('BMP P Tracking Table'!$W198="By HSG",'BMP P Tracking Table'!$X198*VLOOKUP('BMP P Tracking Table'!$R198,'Loading Rates'!$B$1:$L$24,6,FALSE)+'BMP P Tracking Table'!$Y198*VLOOKUP('BMP P Tracking Table'!$R198,'Loading Rates'!$B$1:$L$24,7,FALSE)+'BMP P Tracking Table'!$Z198*VLOOKUP('BMP P Tracking Table'!$R198,'Loading Rates'!$B$1:$L$24,8,FALSE)+'BMP P Tracking Table'!$AA198*VLOOKUP('BMP P Tracking Table'!$R198,'Loading Rates'!$B$1:$L$24,9,FALSE),'BMP P Tracking Table'!$AB198*VLOOKUP('BMP P Tracking Table'!$R198,'Loading Rates'!$B$1:$L$24,10,FALSE)),"")</f>
        <v/>
      </c>
      <c r="AF198" s="104" t="str">
        <f>IFERROR(MIN(2,IF('BMP P Tracking Table'!$W198="Total Pervious",(-(3630*'BMP P Tracking Table'!$V198+20.691*'BMP P Tracking Table'!$AB198)+SQRT((3630*'BMP P Tracking Table'!$V198+20.691*'BMP P Tracking Table'!$AB198)^2-(4*(996.798*'BMP P Tracking Table'!$AB198)*-'BMP P Tracking Table'!$AC198)))/(2*(996.798*'BMP P Tracking Table'!$AB198)),IF(SUM('BMP P Tracking Table'!$X198:$AA198)=0,'BMP P Tracking Table'!$AC198/(-3630*'BMP P Tracking Table'!$V198),(-(3630*'BMP P Tracking Table'!$V198+20.691*'BMP P Tracking Table'!$AA198-216.711*'BMP P Tracking Table'!$Z198-83.853*'BMP P Tracking Table'!$Y198-42.834*'BMP P Tracking Table'!$X198)+SQRT((3630*'BMP P Tracking Table'!$V198+20.691*'BMP P Tracking Table'!$AA198-216.711*'BMP P Tracking Table'!$Z198-83.853*'BMP P Tracking Table'!$Y198-42.834*'BMP P Tracking Table'!$X198)^2-(4*(149.919*'BMP P Tracking Table'!$X198+236.676*'BMP P Tracking Table'!$Y198+726*'BMP P Tracking Table'!$Z198+996.798*'BMP P Tracking Table'!$AA198)*-'BMP P Tracking Table'!$AC198)))/(2*(149.919*'BMP P Tracking Table'!$X198+236.676*'BMP P Tracking Table'!$Y198+726*'BMP P Tracking Table'!$Z198+996.798*'BMP P Tracking Table'!$AA198))))),"")</f>
        <v/>
      </c>
      <c r="AG198" s="104" t="str">
        <f>IFERROR((VLOOKUP(CONCATENATE('BMP P Tracking Table'!$U198," ",'BMP P Tracking Table'!$AD198),'Performance Curves'!$C$1:$L$46,_xlfn.SINGLE(MATCH('BMP P Tracking Table'!$AF198,'Performance Curves'!$D$1:$L$1,1))+2,FALSE)-VLOOKUP(CONCATENATE('BMP P Tracking Table'!$U198," ",'BMP P Tracking Table'!$AD198),'Performance Curves'!$C$1:$L$46,_xlfn.SINGLE(MATCH('BMP P Tracking Table'!$AF198,'Performance Curves'!$D$1:$L$1,1))+1,FALSE)),"")</f>
        <v/>
      </c>
      <c r="AH198" s="104" t="str">
        <f>IFERROR(('BMP P Tracking Table'!$AF198-INDEX('Performance Curves'!$D$1:$L$1,1,MATCH('BMP P Tracking Table'!$AF198,'Performance Curves'!$D$1:$L$1,1)))/(INDEX('Performance Curves'!$D$1:$L$1,1,MATCH('BMP P Tracking Table'!$AF198,'Performance Curves'!$D$1:$L$1,1)+1)-INDEX('Performance Curves'!$D$1:$L$1,1,MATCH('BMP P Tracking Table'!$AF198,'Performance Curves'!$D$1:$L$1,1))),"")</f>
        <v/>
      </c>
      <c r="AI198" s="103" t="str">
        <f>IFERROR(IF('BMP P Tracking Table'!$AF198=2,VLOOKUP(CONCATENATE('BMP P Tracking Table'!$U198," ",'BMP P Tracking Table'!$AD198),'Performance Curves'!$C$1:$L$46,_xlfn.SINGLE(MATCH('BMP P Tracking Table'!$AF198,'Performance Curves'!$D$1:$L$1,1))+1,FALSE),'BMP P Tracking Table'!$AG198*'BMP P Tracking Table'!$AH198+VLOOKUP(CONCATENATE('BMP P Tracking Table'!$U198," ",'BMP P Tracking Table'!$AD198),'Performance Curves'!$C$1:$L$46,_xlfn.SINGLE(MATCH('BMP P Tracking Table'!$AF198,'Performance Curves'!$D$1:$L$1,1))+1,FALSE)),"")</f>
        <v/>
      </c>
      <c r="AJ198" s="104" t="str">
        <f>IFERROR('BMP P Tracking Table'!$AI198*'BMP P Tracking Table'!$AE198,"")</f>
        <v/>
      </c>
      <c r="AK198" s="65"/>
      <c r="AL198" s="98"/>
      <c r="AM198" s="98"/>
      <c r="AN198" s="64">
        <v>1</v>
      </c>
      <c r="AO198" s="102" t="str">
        <f t="shared" si="33"/>
        <v/>
      </c>
      <c r="AP198" s="98"/>
      <c r="AQ198" s="98"/>
      <c r="AR198" s="98"/>
      <c r="AS198" s="98"/>
      <c r="AT198" s="98"/>
      <c r="AU198" s="98"/>
      <c r="AV198" s="98"/>
      <c r="AW198" s="65"/>
      <c r="AX198" s="99"/>
      <c r="AY198" s="99"/>
      <c r="AZ198" s="104" t="str">
        <f>IF('BMP P Tracking Table'!$AL198="Yes",IF('BMP P Tracking Table'!$AM198="No",'BMP P Tracking Table'!$V198*VLOOKUP('BMP P Tracking Table'!$R198,'Loading Rates'!$B$1:$L$24,4,FALSE)+IF('BMP P Tracking Table'!$W198="By HSG",'BMP P Tracking Table'!$X198*VLOOKUP('BMP P Tracking Table'!$R198,'Loading Rates'!$B$1:$L$24,6,FALSE)+'BMP P Tracking Table'!$Y198*VLOOKUP('BMP P Tracking Table'!$R198,'Loading Rates'!$B$1:$L$24,7,FALSE)+'BMP P Tracking Table'!$Z198*VLOOKUP('BMP P Tracking Table'!$R198,'Loading Rates'!$B$1:$L$24,8,FALSE)+'BMP P Tracking Table'!$AA198*VLOOKUP('BMP P Tracking Table'!$R198,'Loading Rates'!$B$1:$L$24,9,FALSE),'BMP P Tracking Table'!$AB198*VLOOKUP('BMP P Tracking Table'!$R198,'Loading Rates'!$B$1:$L$24,10,FALSE)),'BMP P Tracking Table'!$AP198*VLOOKUP('BMP P Tracking Table'!$R198,'Loading Rates'!$B$1:$L$24,4,FALSE)+IF('BMP P Tracking Table'!$AQ198="By HSG",'BMP P Tracking Table'!$AR198*VLOOKUP('BMP P Tracking Table'!$R198,'Loading Rates'!$B$1:$L$24,6,FALSE)+'BMP P Tracking Table'!$AS198*VLOOKUP('BMP P Tracking Table'!$R198,'Loading Rates'!$B$1:$L$24,7,FALSE)+'BMP P Tracking Table'!$AT198*VLOOKUP('BMP P Tracking Table'!$R198,'Loading Rates'!$B$1:$L$24,8,FALSE)+'BMP P Tracking Table'!$AU198*VLOOKUP('BMP P Tracking Table'!$R198,'Loading Rates'!$B$1:$L$24,9,FALSE),'BMP P Tracking Table'!$AV198*VLOOKUP('BMP P Tracking Table'!$R198,'Loading Rates'!$B$1:$L$24,10,FALSE))),"")</f>
        <v/>
      </c>
      <c r="BA198" s="104" t="str">
        <f>IFERROR(IF('BMP P Tracking Table'!$AM198="Yes",MIN(2,IF('BMP P Tracking Table'!$AQ198="Total Pervious",(-(3630*'BMP P Tracking Table'!$AP198+20.691*'BMP P Tracking Table'!$AV198)+SQRT((3630*'BMP P Tracking Table'!$AP198+20.691*'BMP P Tracking Table'!$AV198)^2-(4*(996.798*'BMP P Tracking Table'!$AV198)*-'BMP P Tracking Table'!$AX198)))/(2*(996.798*'BMP P Tracking Table'!$AV198)),IF(SUM('BMP P Tracking Table'!$AR198:$AU198)=0,'BMP P Tracking Table'!$AV198/(-3630*'BMP P Tracking Table'!$AP198),(-(3630*'BMP P Tracking Table'!$AP198+20.691*'BMP P Tracking Table'!$AU198-216.711*'BMP P Tracking Table'!$AT198-83.853*'BMP P Tracking Table'!$AS198-42.834*'BMP P Tracking Table'!$AR198)+SQRT((3630*'BMP P Tracking Table'!$AP198+20.691*'BMP P Tracking Table'!$AU198-216.711*'BMP P Tracking Table'!$AT198-83.853*'BMP P Tracking Table'!$AS198-42.834*'BMP P Tracking Table'!$AR198)^2-(4*(149.919*'BMP P Tracking Table'!$AR198+236.676*'BMP P Tracking Table'!$AS198+726*'BMP P Tracking Table'!$AT198+996.798*'BMP P Tracking Table'!$AU198)*-'BMP P Tracking Table'!$AX198)))/(2*(149.919*'BMP P Tracking Table'!$AR198+236.676*'BMP P Tracking Table'!$AS198+726*'BMP P Tracking Table'!$AT198+996.798*'BMP P Tracking Table'!$AU198))))),MIN(2,IF('BMP P Tracking Table'!$AQ198="Total Pervious",(-(3630*'BMP P Tracking Table'!$V198+20.691*'BMP P Tracking Table'!$AB198)+SQRT((3630*'BMP P Tracking Table'!$V198+20.691*'BMP P Tracking Table'!$AB198)^2-(4*(996.798*'BMP P Tracking Table'!$AB198)*-'BMP P Tracking Table'!$AX198)))/(2*(996.798*'BMP P Tracking Table'!$AB198)),IF(SUM('BMP P Tracking Table'!$X198:$AA198)=0,'BMP P Tracking Table'!$AX198/(-3630*'BMP P Tracking Table'!$V198),(-(3630*'BMP P Tracking Table'!$V198+20.691*'BMP P Tracking Table'!$AA198-216.711*'BMP P Tracking Table'!$Z198-83.853*'BMP P Tracking Table'!$Y198-42.834*'BMP P Tracking Table'!$X198)+SQRT((3630*'BMP P Tracking Table'!$V198+20.691*'BMP P Tracking Table'!$AA198-216.711*'BMP P Tracking Table'!$Z198-83.853*'BMP P Tracking Table'!$Y198-42.834*'BMP P Tracking Table'!$X198)^2-(4*(149.919*'BMP P Tracking Table'!$X198+236.676*'BMP P Tracking Table'!$Y198+726*'BMP P Tracking Table'!$Z198+996.798*'BMP P Tracking Table'!$AA198)*-'BMP P Tracking Table'!$AX198)))/(2*(149.919*'BMP P Tracking Table'!$X198+236.676*'BMP P Tracking Table'!$Y198+726*'BMP P Tracking Table'!$Z198+996.798*'BMP P Tracking Table'!$AA198)))))),"")</f>
        <v/>
      </c>
      <c r="BB198" s="102" t="str">
        <f>IFERROR((VLOOKUP(CONCATENATE('BMP P Tracking Table'!$AW198," ",'BMP P Tracking Table'!$AY198),'Performance Curves'!$C$1:$L$46,_xlfn.SINGLE(MATCH('BMP P Tracking Table'!$BA198,'Performance Curves'!$D$1:$L$1,1))+2,FALSE)-VLOOKUP(CONCATENATE('BMP P Tracking Table'!$AW198," ",'BMP P Tracking Table'!$AY198),'Performance Curves'!$C$1:$L$46,_xlfn.SINGLE(MATCH('BMP P Tracking Table'!$BA198,'Performance Curves'!$D$1:$L$1,1))+1,FALSE)),"")</f>
        <v/>
      </c>
      <c r="BC198" s="102" t="str">
        <f>IFERROR(('BMP P Tracking Table'!$BA198-INDEX('Performance Curves'!$D$1:$L$1,1,MATCH('BMP P Tracking Table'!$BA198,'Performance Curves'!$D$1:$L$1,1)))/(INDEX('Performance Curves'!$D$1:$L$1,1,MATCH('BMP P Tracking Table'!$BA198,'Performance Curves'!$D$1:$L$1,1)+1)-INDEX('Performance Curves'!$D$1:$L$1,1,MATCH('BMP P Tracking Table'!$BA198,'Performance Curves'!$D$1:$L$1,1))),"")</f>
        <v/>
      </c>
      <c r="BD198" s="103" t="str" cm="1">
        <f t="array" ref="BD198">IFERROR(IF('BMP P Tracking Table'!$BA198=2,VLOOKUP(CONCATENATE('BMP P Tracking Table'!$AW198," ",'BMP P Tracking Table'!$AY198),'Performance Curves'!$C$1:$L$44,_xlfn.SINGLE(MATCH('BMP P Tracking Table'!$BA198,'Performance Curves'!$D$1:$L$1,1))+1,FALSE),'BMP P Tracking Table'!$BB198*'BMP P Tracking Table'!$BC198+VLOOKUP(CONCATENATE('BMP P Tracking Table'!$AW198," ",'BMP P Tracking Table'!$AY198),'Performance Curves'!$C$1:$L$44,_xlfn.SINGLE(MATCH('BMP P Tracking Table'!$BA198,'Performance Curves'!$D$1:$L$1,1))+1,FALSE)),"")</f>
        <v/>
      </c>
      <c r="BE198" s="104" t="str">
        <f>IFERROR('BMP P Tracking Table'!$BD198*'BMP P Tracking Table'!$AZ198,"")</f>
        <v/>
      </c>
      <c r="BF198" s="98"/>
      <c r="BG198" s="37">
        <f t="shared" si="34"/>
        <v>0</v>
      </c>
    </row>
    <row r="199" spans="2:59" s="36" customFormat="1">
      <c r="B199" s="65"/>
      <c r="C199" s="65"/>
      <c r="D199" s="65"/>
      <c r="E199" s="65"/>
      <c r="F199" s="94"/>
      <c r="G199" s="94"/>
      <c r="H199" s="65"/>
      <c r="I199" s="65"/>
      <c r="J199" s="65"/>
      <c r="K199" s="95"/>
      <c r="L199" s="65"/>
      <c r="M199" s="65"/>
      <c r="N199" s="65"/>
      <c r="O199" s="65"/>
      <c r="P199" s="65"/>
      <c r="Q199" s="65"/>
      <c r="R199" s="65" t="str">
        <f>IFERROR(VLOOKUP('BMP P Tracking Table'!$Q199,Dropdowns!$C$2:$E$15,3,FALSE),"")</f>
        <v/>
      </c>
      <c r="S199" s="65" t="str">
        <f>IFERROR(VLOOKUP('BMP P Tracking Table'!$R199,Dropdowns!$Q$3:$R$23,2,FALSE),"")</f>
        <v/>
      </c>
      <c r="T199" s="65"/>
      <c r="U199" s="65"/>
      <c r="V199" s="65"/>
      <c r="W199" s="65"/>
      <c r="X199" s="65"/>
      <c r="Y199" s="65"/>
      <c r="Z199" s="65"/>
      <c r="AA199" s="65"/>
      <c r="AB199" s="65"/>
      <c r="AC199" s="97"/>
      <c r="AD199" s="65"/>
      <c r="AE199" s="104" t="str">
        <f>IFERROR('BMP P Tracking Table'!$V199*VLOOKUP('BMP P Tracking Table'!$R199,'Loading Rates'!$B$1:$L$24,4,FALSE)+IF('BMP P Tracking Table'!$W199="By HSG",'BMP P Tracking Table'!$X199*VLOOKUP('BMP P Tracking Table'!$R199,'Loading Rates'!$B$1:$L$24,6,FALSE)+'BMP P Tracking Table'!$Y199*VLOOKUP('BMP P Tracking Table'!$R199,'Loading Rates'!$B$1:$L$24,7,FALSE)+'BMP P Tracking Table'!$Z199*VLOOKUP('BMP P Tracking Table'!$R199,'Loading Rates'!$B$1:$L$24,8,FALSE)+'BMP P Tracking Table'!$AA199*VLOOKUP('BMP P Tracking Table'!$R199,'Loading Rates'!$B$1:$L$24,9,FALSE),'BMP P Tracking Table'!$AB199*VLOOKUP('BMP P Tracking Table'!$R199,'Loading Rates'!$B$1:$L$24,10,FALSE)),"")</f>
        <v/>
      </c>
      <c r="AF199" s="104" t="str">
        <f>IFERROR(MIN(2,IF('BMP P Tracking Table'!$W199="Total Pervious",(-(3630*'BMP P Tracking Table'!$V199+20.691*'BMP P Tracking Table'!$AB199)+SQRT((3630*'BMP P Tracking Table'!$V199+20.691*'BMP P Tracking Table'!$AB199)^2-(4*(996.798*'BMP P Tracking Table'!$AB199)*-'BMP P Tracking Table'!$AC199)))/(2*(996.798*'BMP P Tracking Table'!$AB199)),IF(SUM('BMP P Tracking Table'!$X199:$AA199)=0,'BMP P Tracking Table'!$AC199/(-3630*'BMP P Tracking Table'!$V199),(-(3630*'BMP P Tracking Table'!$V199+20.691*'BMP P Tracking Table'!$AA199-216.711*'BMP P Tracking Table'!$Z199-83.853*'BMP P Tracking Table'!$Y199-42.834*'BMP P Tracking Table'!$X199)+SQRT((3630*'BMP P Tracking Table'!$V199+20.691*'BMP P Tracking Table'!$AA199-216.711*'BMP P Tracking Table'!$Z199-83.853*'BMP P Tracking Table'!$Y199-42.834*'BMP P Tracking Table'!$X199)^2-(4*(149.919*'BMP P Tracking Table'!$X199+236.676*'BMP P Tracking Table'!$Y199+726*'BMP P Tracking Table'!$Z199+996.798*'BMP P Tracking Table'!$AA199)*-'BMP P Tracking Table'!$AC199)))/(2*(149.919*'BMP P Tracking Table'!$X199+236.676*'BMP P Tracking Table'!$Y199+726*'BMP P Tracking Table'!$Z199+996.798*'BMP P Tracking Table'!$AA199))))),"")</f>
        <v/>
      </c>
      <c r="AG199" s="104" t="str">
        <f>IFERROR((VLOOKUP(CONCATENATE('BMP P Tracking Table'!$U199," ",'BMP P Tracking Table'!$AD199),'Performance Curves'!$C$1:$L$46,_xlfn.SINGLE(MATCH('BMP P Tracking Table'!$AF199,'Performance Curves'!$D$1:$L$1,1))+2,FALSE)-VLOOKUP(CONCATENATE('BMP P Tracking Table'!$U199," ",'BMP P Tracking Table'!$AD199),'Performance Curves'!$C$1:$L$46,_xlfn.SINGLE(MATCH('BMP P Tracking Table'!$AF199,'Performance Curves'!$D$1:$L$1,1))+1,FALSE)),"")</f>
        <v/>
      </c>
      <c r="AH199" s="104" t="str">
        <f>IFERROR(('BMP P Tracking Table'!$AF199-INDEX('Performance Curves'!$D$1:$L$1,1,MATCH('BMP P Tracking Table'!$AF199,'Performance Curves'!$D$1:$L$1,1)))/(INDEX('Performance Curves'!$D$1:$L$1,1,MATCH('BMP P Tracking Table'!$AF199,'Performance Curves'!$D$1:$L$1,1)+1)-INDEX('Performance Curves'!$D$1:$L$1,1,MATCH('BMP P Tracking Table'!$AF199,'Performance Curves'!$D$1:$L$1,1))),"")</f>
        <v/>
      </c>
      <c r="AI199" s="103" t="str">
        <f>IFERROR(IF('BMP P Tracking Table'!$AF199=2,VLOOKUP(CONCATENATE('BMP P Tracking Table'!$U199," ",'BMP P Tracking Table'!$AD199),'Performance Curves'!$C$1:$L$46,_xlfn.SINGLE(MATCH('BMP P Tracking Table'!$AF199,'Performance Curves'!$D$1:$L$1,1))+1,FALSE),'BMP P Tracking Table'!$AG199*'BMP P Tracking Table'!$AH199+VLOOKUP(CONCATENATE('BMP P Tracking Table'!$U199," ",'BMP P Tracking Table'!$AD199),'Performance Curves'!$C$1:$L$46,_xlfn.SINGLE(MATCH('BMP P Tracking Table'!$AF199,'Performance Curves'!$D$1:$L$1,1))+1,FALSE)),"")</f>
        <v/>
      </c>
      <c r="AJ199" s="104" t="str">
        <f>IFERROR('BMP P Tracking Table'!$AI199*'BMP P Tracking Table'!$AE199,"")</f>
        <v/>
      </c>
      <c r="AK199" s="65"/>
      <c r="AL199" s="98"/>
      <c r="AM199" s="98"/>
      <c r="AN199" s="64">
        <v>1</v>
      </c>
      <c r="AO199" s="102" t="str">
        <f t="shared" si="33"/>
        <v/>
      </c>
      <c r="AP199" s="98"/>
      <c r="AQ199" s="98"/>
      <c r="AR199" s="98"/>
      <c r="AS199" s="98"/>
      <c r="AT199" s="98"/>
      <c r="AU199" s="98"/>
      <c r="AV199" s="98"/>
      <c r="AW199" s="65"/>
      <c r="AX199" s="99"/>
      <c r="AY199" s="99"/>
      <c r="AZ199" s="104" t="str">
        <f>IF('BMP P Tracking Table'!$AL199="Yes",IF('BMP P Tracking Table'!$AM199="No",'BMP P Tracking Table'!$V199*VLOOKUP('BMP P Tracking Table'!$R199,'Loading Rates'!$B$1:$L$24,4,FALSE)+IF('BMP P Tracking Table'!$W199="By HSG",'BMP P Tracking Table'!$X199*VLOOKUP('BMP P Tracking Table'!$R199,'Loading Rates'!$B$1:$L$24,6,FALSE)+'BMP P Tracking Table'!$Y199*VLOOKUP('BMP P Tracking Table'!$R199,'Loading Rates'!$B$1:$L$24,7,FALSE)+'BMP P Tracking Table'!$Z199*VLOOKUP('BMP P Tracking Table'!$R199,'Loading Rates'!$B$1:$L$24,8,FALSE)+'BMP P Tracking Table'!$AA199*VLOOKUP('BMP P Tracking Table'!$R199,'Loading Rates'!$B$1:$L$24,9,FALSE),'BMP P Tracking Table'!$AB199*VLOOKUP('BMP P Tracking Table'!$R199,'Loading Rates'!$B$1:$L$24,10,FALSE)),'BMP P Tracking Table'!$AP199*VLOOKUP('BMP P Tracking Table'!$R199,'Loading Rates'!$B$1:$L$24,4,FALSE)+IF('BMP P Tracking Table'!$AQ199="By HSG",'BMP P Tracking Table'!$AR199*VLOOKUP('BMP P Tracking Table'!$R199,'Loading Rates'!$B$1:$L$24,6,FALSE)+'BMP P Tracking Table'!$AS199*VLOOKUP('BMP P Tracking Table'!$R199,'Loading Rates'!$B$1:$L$24,7,FALSE)+'BMP P Tracking Table'!$AT199*VLOOKUP('BMP P Tracking Table'!$R199,'Loading Rates'!$B$1:$L$24,8,FALSE)+'BMP P Tracking Table'!$AU199*VLOOKUP('BMP P Tracking Table'!$R199,'Loading Rates'!$B$1:$L$24,9,FALSE),'BMP P Tracking Table'!$AV199*VLOOKUP('BMP P Tracking Table'!$R199,'Loading Rates'!$B$1:$L$24,10,FALSE))),"")</f>
        <v/>
      </c>
      <c r="BA199" s="104" t="str">
        <f>IFERROR(IF('BMP P Tracking Table'!$AM199="Yes",MIN(2,IF('BMP P Tracking Table'!$AQ199="Total Pervious",(-(3630*'BMP P Tracking Table'!$AP199+20.691*'BMP P Tracking Table'!$AV199)+SQRT((3630*'BMP P Tracking Table'!$AP199+20.691*'BMP P Tracking Table'!$AV199)^2-(4*(996.798*'BMP P Tracking Table'!$AV199)*-'BMP P Tracking Table'!$AX199)))/(2*(996.798*'BMP P Tracking Table'!$AV199)),IF(SUM('BMP P Tracking Table'!$AR199:$AU199)=0,'BMP P Tracking Table'!$AV199/(-3630*'BMP P Tracking Table'!$AP199),(-(3630*'BMP P Tracking Table'!$AP199+20.691*'BMP P Tracking Table'!$AU199-216.711*'BMP P Tracking Table'!$AT199-83.853*'BMP P Tracking Table'!$AS199-42.834*'BMP P Tracking Table'!$AR199)+SQRT((3630*'BMP P Tracking Table'!$AP199+20.691*'BMP P Tracking Table'!$AU199-216.711*'BMP P Tracking Table'!$AT199-83.853*'BMP P Tracking Table'!$AS199-42.834*'BMP P Tracking Table'!$AR199)^2-(4*(149.919*'BMP P Tracking Table'!$AR199+236.676*'BMP P Tracking Table'!$AS199+726*'BMP P Tracking Table'!$AT199+996.798*'BMP P Tracking Table'!$AU199)*-'BMP P Tracking Table'!$AX199)))/(2*(149.919*'BMP P Tracking Table'!$AR199+236.676*'BMP P Tracking Table'!$AS199+726*'BMP P Tracking Table'!$AT199+996.798*'BMP P Tracking Table'!$AU199))))),MIN(2,IF('BMP P Tracking Table'!$AQ199="Total Pervious",(-(3630*'BMP P Tracking Table'!$V199+20.691*'BMP P Tracking Table'!$AB199)+SQRT((3630*'BMP P Tracking Table'!$V199+20.691*'BMP P Tracking Table'!$AB199)^2-(4*(996.798*'BMP P Tracking Table'!$AB199)*-'BMP P Tracking Table'!$AX199)))/(2*(996.798*'BMP P Tracking Table'!$AB199)),IF(SUM('BMP P Tracking Table'!$X199:$AA199)=0,'BMP P Tracking Table'!$AX199/(-3630*'BMP P Tracking Table'!$V199),(-(3630*'BMP P Tracking Table'!$V199+20.691*'BMP P Tracking Table'!$AA199-216.711*'BMP P Tracking Table'!$Z199-83.853*'BMP P Tracking Table'!$Y199-42.834*'BMP P Tracking Table'!$X199)+SQRT((3630*'BMP P Tracking Table'!$V199+20.691*'BMP P Tracking Table'!$AA199-216.711*'BMP P Tracking Table'!$Z199-83.853*'BMP P Tracking Table'!$Y199-42.834*'BMP P Tracking Table'!$X199)^2-(4*(149.919*'BMP P Tracking Table'!$X199+236.676*'BMP P Tracking Table'!$Y199+726*'BMP P Tracking Table'!$Z199+996.798*'BMP P Tracking Table'!$AA199)*-'BMP P Tracking Table'!$AX199)))/(2*(149.919*'BMP P Tracking Table'!$X199+236.676*'BMP P Tracking Table'!$Y199+726*'BMP P Tracking Table'!$Z199+996.798*'BMP P Tracking Table'!$AA199)))))),"")</f>
        <v/>
      </c>
      <c r="BB199" s="102" t="str">
        <f>IFERROR((VLOOKUP(CONCATENATE('BMP P Tracking Table'!$AW199," ",'BMP P Tracking Table'!$AY199),'Performance Curves'!$C$1:$L$46,_xlfn.SINGLE(MATCH('BMP P Tracking Table'!$BA199,'Performance Curves'!$D$1:$L$1,1))+2,FALSE)-VLOOKUP(CONCATENATE('BMP P Tracking Table'!$AW199," ",'BMP P Tracking Table'!$AY199),'Performance Curves'!$C$1:$L$46,_xlfn.SINGLE(MATCH('BMP P Tracking Table'!$BA199,'Performance Curves'!$D$1:$L$1,1))+1,FALSE)),"")</f>
        <v/>
      </c>
      <c r="BC199" s="102" t="str">
        <f>IFERROR(('BMP P Tracking Table'!$BA199-INDEX('Performance Curves'!$D$1:$L$1,1,MATCH('BMP P Tracking Table'!$BA199,'Performance Curves'!$D$1:$L$1,1)))/(INDEX('Performance Curves'!$D$1:$L$1,1,MATCH('BMP P Tracking Table'!$BA199,'Performance Curves'!$D$1:$L$1,1)+1)-INDEX('Performance Curves'!$D$1:$L$1,1,MATCH('BMP P Tracking Table'!$BA199,'Performance Curves'!$D$1:$L$1,1))),"")</f>
        <v/>
      </c>
      <c r="BD199" s="103" t="str" cm="1">
        <f t="array" ref="BD199">IFERROR(IF('BMP P Tracking Table'!$BA199=2,VLOOKUP(CONCATENATE('BMP P Tracking Table'!$AW199," ",'BMP P Tracking Table'!$AY199),'Performance Curves'!$C$1:$L$44,_xlfn.SINGLE(MATCH('BMP P Tracking Table'!$BA199,'Performance Curves'!$D$1:$L$1,1))+1,FALSE),'BMP P Tracking Table'!$BB199*'BMP P Tracking Table'!$BC199+VLOOKUP(CONCATENATE('BMP P Tracking Table'!$AW199," ",'BMP P Tracking Table'!$AY199),'Performance Curves'!$C$1:$L$44,_xlfn.SINGLE(MATCH('BMP P Tracking Table'!$BA199,'Performance Curves'!$D$1:$L$1,1))+1,FALSE)),"")</f>
        <v/>
      </c>
      <c r="BE199" s="104" t="str">
        <f>IFERROR('BMP P Tracking Table'!$BD199*'BMP P Tracking Table'!$AZ199,"")</f>
        <v/>
      </c>
      <c r="BF199" s="98"/>
      <c r="BG199" s="37">
        <f t="shared" si="34"/>
        <v>0</v>
      </c>
    </row>
    <row r="200" spans="2:59" s="36" customFormat="1">
      <c r="B200" s="65"/>
      <c r="C200" s="65"/>
      <c r="D200" s="65"/>
      <c r="E200" s="65"/>
      <c r="F200" s="94"/>
      <c r="G200" s="94"/>
      <c r="H200" s="65"/>
      <c r="I200" s="65"/>
      <c r="J200" s="65"/>
      <c r="K200" s="95"/>
      <c r="L200" s="65"/>
      <c r="M200" s="65"/>
      <c r="N200" s="65"/>
      <c r="O200" s="65"/>
      <c r="P200" s="65"/>
      <c r="Q200" s="65"/>
      <c r="R200" s="65" t="str">
        <f>IFERROR(VLOOKUP('BMP P Tracking Table'!$Q200,Dropdowns!$C$2:$E$15,3,FALSE),"")</f>
        <v/>
      </c>
      <c r="S200" s="65" t="str">
        <f>IFERROR(VLOOKUP('BMP P Tracking Table'!$R200,Dropdowns!$Q$3:$R$23,2,FALSE),"")</f>
        <v/>
      </c>
      <c r="T200" s="65"/>
      <c r="U200" s="65"/>
      <c r="V200" s="65"/>
      <c r="W200" s="65"/>
      <c r="X200" s="65"/>
      <c r="Y200" s="65"/>
      <c r="Z200" s="65"/>
      <c r="AA200" s="65"/>
      <c r="AB200" s="65"/>
      <c r="AC200" s="97"/>
      <c r="AD200" s="65"/>
      <c r="AE200" s="104" t="str">
        <f>IFERROR('BMP P Tracking Table'!$V200*VLOOKUP('BMP P Tracking Table'!$R200,'Loading Rates'!$B$1:$L$24,4,FALSE)+IF('BMP P Tracking Table'!$W200="By HSG",'BMP P Tracking Table'!$X200*VLOOKUP('BMP P Tracking Table'!$R200,'Loading Rates'!$B$1:$L$24,6,FALSE)+'BMP P Tracking Table'!$Y200*VLOOKUP('BMP P Tracking Table'!$R200,'Loading Rates'!$B$1:$L$24,7,FALSE)+'BMP P Tracking Table'!$Z200*VLOOKUP('BMP P Tracking Table'!$R200,'Loading Rates'!$B$1:$L$24,8,FALSE)+'BMP P Tracking Table'!$AA200*VLOOKUP('BMP P Tracking Table'!$R200,'Loading Rates'!$B$1:$L$24,9,FALSE),'BMP P Tracking Table'!$AB200*VLOOKUP('BMP P Tracking Table'!$R200,'Loading Rates'!$B$1:$L$24,10,FALSE)),"")</f>
        <v/>
      </c>
      <c r="AF200" s="104" t="str">
        <f>IFERROR(MIN(2,IF('BMP P Tracking Table'!$W200="Total Pervious",(-(3630*'BMP P Tracking Table'!$V200+20.691*'BMP P Tracking Table'!$AB200)+SQRT((3630*'BMP P Tracking Table'!$V200+20.691*'BMP P Tracking Table'!$AB200)^2-(4*(996.798*'BMP P Tracking Table'!$AB200)*-'BMP P Tracking Table'!$AC200)))/(2*(996.798*'BMP P Tracking Table'!$AB200)),IF(SUM('BMP P Tracking Table'!$X200:$AA200)=0,'BMP P Tracking Table'!$AC200/(-3630*'BMP P Tracking Table'!$V200),(-(3630*'BMP P Tracking Table'!$V200+20.691*'BMP P Tracking Table'!$AA200-216.711*'BMP P Tracking Table'!$Z200-83.853*'BMP P Tracking Table'!$Y200-42.834*'BMP P Tracking Table'!$X200)+SQRT((3630*'BMP P Tracking Table'!$V200+20.691*'BMP P Tracking Table'!$AA200-216.711*'BMP P Tracking Table'!$Z200-83.853*'BMP P Tracking Table'!$Y200-42.834*'BMP P Tracking Table'!$X200)^2-(4*(149.919*'BMP P Tracking Table'!$X200+236.676*'BMP P Tracking Table'!$Y200+726*'BMP P Tracking Table'!$Z200+996.798*'BMP P Tracking Table'!$AA200)*-'BMP P Tracking Table'!$AC200)))/(2*(149.919*'BMP P Tracking Table'!$X200+236.676*'BMP P Tracking Table'!$Y200+726*'BMP P Tracking Table'!$Z200+996.798*'BMP P Tracking Table'!$AA200))))),"")</f>
        <v/>
      </c>
      <c r="AG200" s="104" t="str">
        <f>IFERROR((VLOOKUP(CONCATENATE('BMP P Tracking Table'!$U200," ",'BMP P Tracking Table'!$AD200),'Performance Curves'!$C$1:$L$46,_xlfn.SINGLE(MATCH('BMP P Tracking Table'!$AF200,'Performance Curves'!$D$1:$L$1,1))+2,FALSE)-VLOOKUP(CONCATENATE('BMP P Tracking Table'!$U200," ",'BMP P Tracking Table'!$AD200),'Performance Curves'!$C$1:$L$46,_xlfn.SINGLE(MATCH('BMP P Tracking Table'!$AF200,'Performance Curves'!$D$1:$L$1,1))+1,FALSE)),"")</f>
        <v/>
      </c>
      <c r="AH200" s="104" t="str">
        <f>IFERROR(('BMP P Tracking Table'!$AF200-INDEX('Performance Curves'!$D$1:$L$1,1,MATCH('BMP P Tracking Table'!$AF200,'Performance Curves'!$D$1:$L$1,1)))/(INDEX('Performance Curves'!$D$1:$L$1,1,MATCH('BMP P Tracking Table'!$AF200,'Performance Curves'!$D$1:$L$1,1)+1)-INDEX('Performance Curves'!$D$1:$L$1,1,MATCH('BMP P Tracking Table'!$AF200,'Performance Curves'!$D$1:$L$1,1))),"")</f>
        <v/>
      </c>
      <c r="AI200" s="103" t="str">
        <f>IFERROR(IF('BMP P Tracking Table'!$AF200=2,VLOOKUP(CONCATENATE('BMP P Tracking Table'!$U200," ",'BMP P Tracking Table'!$AD200),'Performance Curves'!$C$1:$L$46,_xlfn.SINGLE(MATCH('BMP P Tracking Table'!$AF200,'Performance Curves'!$D$1:$L$1,1))+1,FALSE),'BMP P Tracking Table'!$AG200*'BMP P Tracking Table'!$AH200+VLOOKUP(CONCATENATE('BMP P Tracking Table'!$U200," ",'BMP P Tracking Table'!$AD200),'Performance Curves'!$C$1:$L$46,_xlfn.SINGLE(MATCH('BMP P Tracking Table'!$AF200,'Performance Curves'!$D$1:$L$1,1))+1,FALSE)),"")</f>
        <v/>
      </c>
      <c r="AJ200" s="104" t="str">
        <f>IFERROR('BMP P Tracking Table'!$AI200*'BMP P Tracking Table'!$AE200,"")</f>
        <v/>
      </c>
      <c r="AK200" s="65"/>
      <c r="AL200" s="98"/>
      <c r="AM200" s="98"/>
      <c r="AN200" s="64">
        <v>1</v>
      </c>
      <c r="AO200" s="102" t="str">
        <f t="shared" si="33"/>
        <v/>
      </c>
      <c r="AP200" s="98"/>
      <c r="AQ200" s="98"/>
      <c r="AR200" s="98"/>
      <c r="AS200" s="98"/>
      <c r="AT200" s="98"/>
      <c r="AU200" s="98"/>
      <c r="AV200" s="98"/>
      <c r="AW200" s="65"/>
      <c r="AX200" s="99"/>
      <c r="AY200" s="99"/>
      <c r="AZ200" s="104" t="str">
        <f>IF('BMP P Tracking Table'!$AL200="Yes",IF('BMP P Tracking Table'!$AM200="No",'BMP P Tracking Table'!$V200*VLOOKUP('BMP P Tracking Table'!$R200,'Loading Rates'!$B$1:$L$24,4,FALSE)+IF('BMP P Tracking Table'!$W200="By HSG",'BMP P Tracking Table'!$X200*VLOOKUP('BMP P Tracking Table'!$R200,'Loading Rates'!$B$1:$L$24,6,FALSE)+'BMP P Tracking Table'!$Y200*VLOOKUP('BMP P Tracking Table'!$R200,'Loading Rates'!$B$1:$L$24,7,FALSE)+'BMP P Tracking Table'!$Z200*VLOOKUP('BMP P Tracking Table'!$R200,'Loading Rates'!$B$1:$L$24,8,FALSE)+'BMP P Tracking Table'!$AA200*VLOOKUP('BMP P Tracking Table'!$R200,'Loading Rates'!$B$1:$L$24,9,FALSE),'BMP P Tracking Table'!$AB200*VLOOKUP('BMP P Tracking Table'!$R200,'Loading Rates'!$B$1:$L$24,10,FALSE)),'BMP P Tracking Table'!$AP200*VLOOKUP('BMP P Tracking Table'!$R200,'Loading Rates'!$B$1:$L$24,4,FALSE)+IF('BMP P Tracking Table'!$AQ200="By HSG",'BMP P Tracking Table'!$AR200*VLOOKUP('BMP P Tracking Table'!$R200,'Loading Rates'!$B$1:$L$24,6,FALSE)+'BMP P Tracking Table'!$AS200*VLOOKUP('BMP P Tracking Table'!$R200,'Loading Rates'!$B$1:$L$24,7,FALSE)+'BMP P Tracking Table'!$AT200*VLOOKUP('BMP P Tracking Table'!$R200,'Loading Rates'!$B$1:$L$24,8,FALSE)+'BMP P Tracking Table'!$AU200*VLOOKUP('BMP P Tracking Table'!$R200,'Loading Rates'!$B$1:$L$24,9,FALSE),'BMP P Tracking Table'!$AV200*VLOOKUP('BMP P Tracking Table'!$R200,'Loading Rates'!$B$1:$L$24,10,FALSE))),"")</f>
        <v/>
      </c>
      <c r="BA200" s="104" t="str">
        <f>IFERROR(IF('BMP P Tracking Table'!$AM200="Yes",MIN(2,IF('BMP P Tracking Table'!$AQ200="Total Pervious",(-(3630*'BMP P Tracking Table'!$AP200+20.691*'BMP P Tracking Table'!$AV200)+SQRT((3630*'BMP P Tracking Table'!$AP200+20.691*'BMP P Tracking Table'!$AV200)^2-(4*(996.798*'BMP P Tracking Table'!$AV200)*-'BMP P Tracking Table'!$AX200)))/(2*(996.798*'BMP P Tracking Table'!$AV200)),IF(SUM('BMP P Tracking Table'!$AR200:$AU200)=0,'BMP P Tracking Table'!$AV200/(-3630*'BMP P Tracking Table'!$AP200),(-(3630*'BMP P Tracking Table'!$AP200+20.691*'BMP P Tracking Table'!$AU200-216.711*'BMP P Tracking Table'!$AT200-83.853*'BMP P Tracking Table'!$AS200-42.834*'BMP P Tracking Table'!$AR200)+SQRT((3630*'BMP P Tracking Table'!$AP200+20.691*'BMP P Tracking Table'!$AU200-216.711*'BMP P Tracking Table'!$AT200-83.853*'BMP P Tracking Table'!$AS200-42.834*'BMP P Tracking Table'!$AR200)^2-(4*(149.919*'BMP P Tracking Table'!$AR200+236.676*'BMP P Tracking Table'!$AS200+726*'BMP P Tracking Table'!$AT200+996.798*'BMP P Tracking Table'!$AU200)*-'BMP P Tracking Table'!$AX200)))/(2*(149.919*'BMP P Tracking Table'!$AR200+236.676*'BMP P Tracking Table'!$AS200+726*'BMP P Tracking Table'!$AT200+996.798*'BMP P Tracking Table'!$AU200))))),MIN(2,IF('BMP P Tracking Table'!$AQ200="Total Pervious",(-(3630*'BMP P Tracking Table'!$V200+20.691*'BMP P Tracking Table'!$AB200)+SQRT((3630*'BMP P Tracking Table'!$V200+20.691*'BMP P Tracking Table'!$AB200)^2-(4*(996.798*'BMP P Tracking Table'!$AB200)*-'BMP P Tracking Table'!$AX200)))/(2*(996.798*'BMP P Tracking Table'!$AB200)),IF(SUM('BMP P Tracking Table'!$X200:$AA200)=0,'BMP P Tracking Table'!$AX200/(-3630*'BMP P Tracking Table'!$V200),(-(3630*'BMP P Tracking Table'!$V200+20.691*'BMP P Tracking Table'!$AA200-216.711*'BMP P Tracking Table'!$Z200-83.853*'BMP P Tracking Table'!$Y200-42.834*'BMP P Tracking Table'!$X200)+SQRT((3630*'BMP P Tracking Table'!$V200+20.691*'BMP P Tracking Table'!$AA200-216.711*'BMP P Tracking Table'!$Z200-83.853*'BMP P Tracking Table'!$Y200-42.834*'BMP P Tracking Table'!$X200)^2-(4*(149.919*'BMP P Tracking Table'!$X200+236.676*'BMP P Tracking Table'!$Y200+726*'BMP P Tracking Table'!$Z200+996.798*'BMP P Tracking Table'!$AA200)*-'BMP P Tracking Table'!$AX200)))/(2*(149.919*'BMP P Tracking Table'!$X200+236.676*'BMP P Tracking Table'!$Y200+726*'BMP P Tracking Table'!$Z200+996.798*'BMP P Tracking Table'!$AA200)))))),"")</f>
        <v/>
      </c>
      <c r="BB200" s="102" t="str">
        <f>IFERROR((VLOOKUP(CONCATENATE('BMP P Tracking Table'!$AW200," ",'BMP P Tracking Table'!$AY200),'Performance Curves'!$C$1:$L$46,_xlfn.SINGLE(MATCH('BMP P Tracking Table'!$BA200,'Performance Curves'!$D$1:$L$1,1))+2,FALSE)-VLOOKUP(CONCATENATE('BMP P Tracking Table'!$AW200," ",'BMP P Tracking Table'!$AY200),'Performance Curves'!$C$1:$L$46,_xlfn.SINGLE(MATCH('BMP P Tracking Table'!$BA200,'Performance Curves'!$D$1:$L$1,1))+1,FALSE)),"")</f>
        <v/>
      </c>
      <c r="BC200" s="102" t="str">
        <f>IFERROR(('BMP P Tracking Table'!$BA200-INDEX('Performance Curves'!$D$1:$L$1,1,MATCH('BMP P Tracking Table'!$BA200,'Performance Curves'!$D$1:$L$1,1)))/(INDEX('Performance Curves'!$D$1:$L$1,1,MATCH('BMP P Tracking Table'!$BA200,'Performance Curves'!$D$1:$L$1,1)+1)-INDEX('Performance Curves'!$D$1:$L$1,1,MATCH('BMP P Tracking Table'!$BA200,'Performance Curves'!$D$1:$L$1,1))),"")</f>
        <v/>
      </c>
      <c r="BD200" s="103" t="str" cm="1">
        <f t="array" ref="BD200">IFERROR(IF('BMP P Tracking Table'!$BA200=2,VLOOKUP(CONCATENATE('BMP P Tracking Table'!$AW200," ",'BMP P Tracking Table'!$AY200),'Performance Curves'!$C$1:$L$44,_xlfn.SINGLE(MATCH('BMP P Tracking Table'!$BA200,'Performance Curves'!$D$1:$L$1,1))+1,FALSE),'BMP P Tracking Table'!$BB200*'BMP P Tracking Table'!$BC200+VLOOKUP(CONCATENATE('BMP P Tracking Table'!$AW200," ",'BMP P Tracking Table'!$AY200),'Performance Curves'!$C$1:$L$44,_xlfn.SINGLE(MATCH('BMP P Tracking Table'!$BA200,'Performance Curves'!$D$1:$L$1,1))+1,FALSE)),"")</f>
        <v/>
      </c>
      <c r="BE200" s="104" t="str">
        <f>IFERROR('BMP P Tracking Table'!$BD200*'BMP P Tracking Table'!$AZ200,"")</f>
        <v/>
      </c>
      <c r="BF200" s="98"/>
      <c r="BG200" s="37">
        <f t="shared" si="34"/>
        <v>0</v>
      </c>
    </row>
    <row r="201" spans="2:59" s="36" customFormat="1">
      <c r="B201" s="65"/>
      <c r="C201" s="65"/>
      <c r="D201" s="65"/>
      <c r="E201" s="65"/>
      <c r="F201" s="94"/>
      <c r="G201" s="94"/>
      <c r="H201" s="65"/>
      <c r="I201" s="65"/>
      <c r="J201" s="65"/>
      <c r="K201" s="95"/>
      <c r="L201" s="65"/>
      <c r="M201" s="65"/>
      <c r="N201" s="65"/>
      <c r="O201" s="65"/>
      <c r="P201" s="65"/>
      <c r="Q201" s="65"/>
      <c r="R201" s="65" t="str">
        <f>IFERROR(VLOOKUP('BMP P Tracking Table'!$Q201,Dropdowns!$C$2:$E$15,3,FALSE),"")</f>
        <v/>
      </c>
      <c r="S201" s="65" t="str">
        <f>IFERROR(VLOOKUP('BMP P Tracking Table'!$R201,Dropdowns!$Q$3:$R$23,2,FALSE),"")</f>
        <v/>
      </c>
      <c r="T201" s="65"/>
      <c r="U201" s="65"/>
      <c r="V201" s="65"/>
      <c r="W201" s="65"/>
      <c r="X201" s="65"/>
      <c r="Y201" s="65"/>
      <c r="Z201" s="65"/>
      <c r="AA201" s="65"/>
      <c r="AB201" s="65"/>
      <c r="AC201" s="97"/>
      <c r="AD201" s="65"/>
      <c r="AE201" s="104" t="str">
        <f>IFERROR('BMP P Tracking Table'!$V201*VLOOKUP('BMP P Tracking Table'!$R201,'Loading Rates'!$B$1:$L$24,4,FALSE)+IF('BMP P Tracking Table'!$W201="By HSG",'BMP P Tracking Table'!$X201*VLOOKUP('BMP P Tracking Table'!$R201,'Loading Rates'!$B$1:$L$24,6,FALSE)+'BMP P Tracking Table'!$Y201*VLOOKUP('BMP P Tracking Table'!$R201,'Loading Rates'!$B$1:$L$24,7,FALSE)+'BMP P Tracking Table'!$Z201*VLOOKUP('BMP P Tracking Table'!$R201,'Loading Rates'!$B$1:$L$24,8,FALSE)+'BMP P Tracking Table'!$AA201*VLOOKUP('BMP P Tracking Table'!$R201,'Loading Rates'!$B$1:$L$24,9,FALSE),'BMP P Tracking Table'!$AB201*VLOOKUP('BMP P Tracking Table'!$R201,'Loading Rates'!$B$1:$L$24,10,FALSE)),"")</f>
        <v/>
      </c>
      <c r="AF201" s="104" t="str">
        <f>IFERROR(MIN(2,IF('BMP P Tracking Table'!$W201="Total Pervious",(-(3630*'BMP P Tracking Table'!$V201+20.691*'BMP P Tracking Table'!$AB201)+SQRT((3630*'BMP P Tracking Table'!$V201+20.691*'BMP P Tracking Table'!$AB201)^2-(4*(996.798*'BMP P Tracking Table'!$AB201)*-'BMP P Tracking Table'!$AC201)))/(2*(996.798*'BMP P Tracking Table'!$AB201)),IF(SUM('BMP P Tracking Table'!$X201:$AA201)=0,'BMP P Tracking Table'!$AC201/(-3630*'BMP P Tracking Table'!$V201),(-(3630*'BMP P Tracking Table'!$V201+20.691*'BMP P Tracking Table'!$AA201-216.711*'BMP P Tracking Table'!$Z201-83.853*'BMP P Tracking Table'!$Y201-42.834*'BMP P Tracking Table'!$X201)+SQRT((3630*'BMP P Tracking Table'!$V201+20.691*'BMP P Tracking Table'!$AA201-216.711*'BMP P Tracking Table'!$Z201-83.853*'BMP P Tracking Table'!$Y201-42.834*'BMP P Tracking Table'!$X201)^2-(4*(149.919*'BMP P Tracking Table'!$X201+236.676*'BMP P Tracking Table'!$Y201+726*'BMP P Tracking Table'!$Z201+996.798*'BMP P Tracking Table'!$AA201)*-'BMP P Tracking Table'!$AC201)))/(2*(149.919*'BMP P Tracking Table'!$X201+236.676*'BMP P Tracking Table'!$Y201+726*'BMP P Tracking Table'!$Z201+996.798*'BMP P Tracking Table'!$AA201))))),"")</f>
        <v/>
      </c>
      <c r="AG201" s="104" t="str">
        <f>IFERROR((VLOOKUP(CONCATENATE('BMP P Tracking Table'!$U201," ",'BMP P Tracking Table'!$AD201),'Performance Curves'!$C$1:$L$46,_xlfn.SINGLE(MATCH('BMP P Tracking Table'!$AF201,'Performance Curves'!$D$1:$L$1,1))+2,FALSE)-VLOOKUP(CONCATENATE('BMP P Tracking Table'!$U201," ",'BMP P Tracking Table'!$AD201),'Performance Curves'!$C$1:$L$46,_xlfn.SINGLE(MATCH('BMP P Tracking Table'!$AF201,'Performance Curves'!$D$1:$L$1,1))+1,FALSE)),"")</f>
        <v/>
      </c>
      <c r="AH201" s="104" t="str">
        <f>IFERROR(('BMP P Tracking Table'!$AF201-INDEX('Performance Curves'!$D$1:$L$1,1,MATCH('BMP P Tracking Table'!$AF201,'Performance Curves'!$D$1:$L$1,1)))/(INDEX('Performance Curves'!$D$1:$L$1,1,MATCH('BMP P Tracking Table'!$AF201,'Performance Curves'!$D$1:$L$1,1)+1)-INDEX('Performance Curves'!$D$1:$L$1,1,MATCH('BMP P Tracking Table'!$AF201,'Performance Curves'!$D$1:$L$1,1))),"")</f>
        <v/>
      </c>
      <c r="AI201" s="103" t="str">
        <f>IFERROR(IF('BMP P Tracking Table'!$AF201=2,VLOOKUP(CONCATENATE('BMP P Tracking Table'!$U201," ",'BMP P Tracking Table'!$AD201),'Performance Curves'!$C$1:$L$46,_xlfn.SINGLE(MATCH('BMP P Tracking Table'!$AF201,'Performance Curves'!$D$1:$L$1,1))+1,FALSE),'BMP P Tracking Table'!$AG201*'BMP P Tracking Table'!$AH201+VLOOKUP(CONCATENATE('BMP P Tracking Table'!$U201," ",'BMP P Tracking Table'!$AD201),'Performance Curves'!$C$1:$L$46,_xlfn.SINGLE(MATCH('BMP P Tracking Table'!$AF201,'Performance Curves'!$D$1:$L$1,1))+1,FALSE)),"")</f>
        <v/>
      </c>
      <c r="AJ201" s="104" t="str">
        <f>IFERROR('BMP P Tracking Table'!$AI201*'BMP P Tracking Table'!$AE201,"")</f>
        <v/>
      </c>
      <c r="AK201" s="65"/>
      <c r="AL201" s="98"/>
      <c r="AM201" s="98"/>
      <c r="AN201" s="64">
        <v>1</v>
      </c>
      <c r="AO201" s="102" t="str">
        <f t="shared" si="33"/>
        <v/>
      </c>
      <c r="AP201" s="98"/>
      <c r="AQ201" s="98"/>
      <c r="AR201" s="98"/>
      <c r="AS201" s="98"/>
      <c r="AT201" s="98"/>
      <c r="AU201" s="98"/>
      <c r="AV201" s="98"/>
      <c r="AW201" s="65"/>
      <c r="AX201" s="99"/>
      <c r="AY201" s="99"/>
      <c r="AZ201" s="104" t="str">
        <f>IF('BMP P Tracking Table'!$AL201="Yes",IF('BMP P Tracking Table'!$AM201="No",'BMP P Tracking Table'!$V201*VLOOKUP('BMP P Tracking Table'!$R201,'Loading Rates'!$B$1:$L$24,4,FALSE)+IF('BMP P Tracking Table'!$W201="By HSG",'BMP P Tracking Table'!$X201*VLOOKUP('BMP P Tracking Table'!$R201,'Loading Rates'!$B$1:$L$24,6,FALSE)+'BMP P Tracking Table'!$Y201*VLOOKUP('BMP P Tracking Table'!$R201,'Loading Rates'!$B$1:$L$24,7,FALSE)+'BMP P Tracking Table'!$Z201*VLOOKUP('BMP P Tracking Table'!$R201,'Loading Rates'!$B$1:$L$24,8,FALSE)+'BMP P Tracking Table'!$AA201*VLOOKUP('BMP P Tracking Table'!$R201,'Loading Rates'!$B$1:$L$24,9,FALSE),'BMP P Tracking Table'!$AB201*VLOOKUP('BMP P Tracking Table'!$R201,'Loading Rates'!$B$1:$L$24,10,FALSE)),'BMP P Tracking Table'!$AP201*VLOOKUP('BMP P Tracking Table'!$R201,'Loading Rates'!$B$1:$L$24,4,FALSE)+IF('BMP P Tracking Table'!$AQ201="By HSG",'BMP P Tracking Table'!$AR201*VLOOKUP('BMP P Tracking Table'!$R201,'Loading Rates'!$B$1:$L$24,6,FALSE)+'BMP P Tracking Table'!$AS201*VLOOKUP('BMP P Tracking Table'!$R201,'Loading Rates'!$B$1:$L$24,7,FALSE)+'BMP P Tracking Table'!$AT201*VLOOKUP('BMP P Tracking Table'!$R201,'Loading Rates'!$B$1:$L$24,8,FALSE)+'BMP P Tracking Table'!$AU201*VLOOKUP('BMP P Tracking Table'!$R201,'Loading Rates'!$B$1:$L$24,9,FALSE),'BMP P Tracking Table'!$AV201*VLOOKUP('BMP P Tracking Table'!$R201,'Loading Rates'!$B$1:$L$24,10,FALSE))),"")</f>
        <v/>
      </c>
      <c r="BA201" s="104" t="str">
        <f>IFERROR(IF('BMP P Tracking Table'!$AM201="Yes",MIN(2,IF('BMP P Tracking Table'!$AQ201="Total Pervious",(-(3630*'BMP P Tracking Table'!$AP201+20.691*'BMP P Tracking Table'!$AV201)+SQRT((3630*'BMP P Tracking Table'!$AP201+20.691*'BMP P Tracking Table'!$AV201)^2-(4*(996.798*'BMP P Tracking Table'!$AV201)*-'BMP P Tracking Table'!$AX201)))/(2*(996.798*'BMP P Tracking Table'!$AV201)),IF(SUM('BMP P Tracking Table'!$AR201:$AU201)=0,'BMP P Tracking Table'!$AV201/(-3630*'BMP P Tracking Table'!$AP201),(-(3630*'BMP P Tracking Table'!$AP201+20.691*'BMP P Tracking Table'!$AU201-216.711*'BMP P Tracking Table'!$AT201-83.853*'BMP P Tracking Table'!$AS201-42.834*'BMP P Tracking Table'!$AR201)+SQRT((3630*'BMP P Tracking Table'!$AP201+20.691*'BMP P Tracking Table'!$AU201-216.711*'BMP P Tracking Table'!$AT201-83.853*'BMP P Tracking Table'!$AS201-42.834*'BMP P Tracking Table'!$AR201)^2-(4*(149.919*'BMP P Tracking Table'!$AR201+236.676*'BMP P Tracking Table'!$AS201+726*'BMP P Tracking Table'!$AT201+996.798*'BMP P Tracking Table'!$AU201)*-'BMP P Tracking Table'!$AX201)))/(2*(149.919*'BMP P Tracking Table'!$AR201+236.676*'BMP P Tracking Table'!$AS201+726*'BMP P Tracking Table'!$AT201+996.798*'BMP P Tracking Table'!$AU201))))),MIN(2,IF('BMP P Tracking Table'!$AQ201="Total Pervious",(-(3630*'BMP P Tracking Table'!$V201+20.691*'BMP P Tracking Table'!$AB201)+SQRT((3630*'BMP P Tracking Table'!$V201+20.691*'BMP P Tracking Table'!$AB201)^2-(4*(996.798*'BMP P Tracking Table'!$AB201)*-'BMP P Tracking Table'!$AX201)))/(2*(996.798*'BMP P Tracking Table'!$AB201)),IF(SUM('BMP P Tracking Table'!$X201:$AA201)=0,'BMP P Tracking Table'!$AX201/(-3630*'BMP P Tracking Table'!$V201),(-(3630*'BMP P Tracking Table'!$V201+20.691*'BMP P Tracking Table'!$AA201-216.711*'BMP P Tracking Table'!$Z201-83.853*'BMP P Tracking Table'!$Y201-42.834*'BMP P Tracking Table'!$X201)+SQRT((3630*'BMP P Tracking Table'!$V201+20.691*'BMP P Tracking Table'!$AA201-216.711*'BMP P Tracking Table'!$Z201-83.853*'BMP P Tracking Table'!$Y201-42.834*'BMP P Tracking Table'!$X201)^2-(4*(149.919*'BMP P Tracking Table'!$X201+236.676*'BMP P Tracking Table'!$Y201+726*'BMP P Tracking Table'!$Z201+996.798*'BMP P Tracking Table'!$AA201)*-'BMP P Tracking Table'!$AX201)))/(2*(149.919*'BMP P Tracking Table'!$X201+236.676*'BMP P Tracking Table'!$Y201+726*'BMP P Tracking Table'!$Z201+996.798*'BMP P Tracking Table'!$AA201)))))),"")</f>
        <v/>
      </c>
      <c r="BB201" s="102" t="str">
        <f>IFERROR((VLOOKUP(CONCATENATE('BMP P Tracking Table'!$AW201," ",'BMP P Tracking Table'!$AY201),'Performance Curves'!$C$1:$L$46,_xlfn.SINGLE(MATCH('BMP P Tracking Table'!$BA201,'Performance Curves'!$D$1:$L$1,1))+2,FALSE)-VLOOKUP(CONCATENATE('BMP P Tracking Table'!$AW201," ",'BMP P Tracking Table'!$AY201),'Performance Curves'!$C$1:$L$46,_xlfn.SINGLE(MATCH('BMP P Tracking Table'!$BA201,'Performance Curves'!$D$1:$L$1,1))+1,FALSE)),"")</f>
        <v/>
      </c>
      <c r="BC201" s="102" t="str">
        <f>IFERROR(('BMP P Tracking Table'!$BA201-INDEX('Performance Curves'!$D$1:$L$1,1,MATCH('BMP P Tracking Table'!$BA201,'Performance Curves'!$D$1:$L$1,1)))/(INDEX('Performance Curves'!$D$1:$L$1,1,MATCH('BMP P Tracking Table'!$BA201,'Performance Curves'!$D$1:$L$1,1)+1)-INDEX('Performance Curves'!$D$1:$L$1,1,MATCH('BMP P Tracking Table'!$BA201,'Performance Curves'!$D$1:$L$1,1))),"")</f>
        <v/>
      </c>
      <c r="BD201" s="103" t="str" cm="1">
        <f t="array" ref="BD201">IFERROR(IF('BMP P Tracking Table'!$BA201=2,VLOOKUP(CONCATENATE('BMP P Tracking Table'!$AW201," ",'BMP P Tracking Table'!$AY201),'Performance Curves'!$C$1:$L$44,_xlfn.SINGLE(MATCH('BMP P Tracking Table'!$BA201,'Performance Curves'!$D$1:$L$1,1))+1,FALSE),'BMP P Tracking Table'!$BB201*'BMP P Tracking Table'!$BC201+VLOOKUP(CONCATENATE('BMP P Tracking Table'!$AW201," ",'BMP P Tracking Table'!$AY201),'Performance Curves'!$C$1:$L$44,_xlfn.SINGLE(MATCH('BMP P Tracking Table'!$BA201,'Performance Curves'!$D$1:$L$1,1))+1,FALSE)),"")</f>
        <v/>
      </c>
      <c r="BE201" s="104" t="str">
        <f>IFERROR('BMP P Tracking Table'!$BD201*'BMP P Tracking Table'!$AZ201,"")</f>
        <v/>
      </c>
      <c r="BF201" s="98"/>
      <c r="BG201" s="37">
        <f t="shared" si="34"/>
        <v>0</v>
      </c>
    </row>
    <row r="202" spans="2:59" s="36" customFormat="1">
      <c r="B202" s="65"/>
      <c r="C202" s="65"/>
      <c r="D202" s="65"/>
      <c r="E202" s="65"/>
      <c r="F202" s="94"/>
      <c r="G202" s="94"/>
      <c r="H202" s="65"/>
      <c r="I202" s="65"/>
      <c r="J202" s="65"/>
      <c r="K202" s="95"/>
      <c r="L202" s="65"/>
      <c r="M202" s="65"/>
      <c r="N202" s="65"/>
      <c r="O202" s="65"/>
      <c r="P202" s="65"/>
      <c r="Q202" s="65"/>
      <c r="R202" s="65" t="str">
        <f>IFERROR(VLOOKUP('BMP P Tracking Table'!$Q202,Dropdowns!$C$2:$E$15,3,FALSE),"")</f>
        <v/>
      </c>
      <c r="S202" s="65" t="str">
        <f>IFERROR(VLOOKUP('BMP P Tracking Table'!$R202,Dropdowns!$Q$3:$R$23,2,FALSE),"")</f>
        <v/>
      </c>
      <c r="T202" s="65"/>
      <c r="U202" s="65"/>
      <c r="V202" s="65"/>
      <c r="W202" s="65"/>
      <c r="X202" s="65"/>
      <c r="Y202" s="65"/>
      <c r="Z202" s="65"/>
      <c r="AA202" s="65"/>
      <c r="AB202" s="65"/>
      <c r="AC202" s="97"/>
      <c r="AD202" s="65"/>
      <c r="AE202" s="104" t="str">
        <f>IFERROR('BMP P Tracking Table'!$V202*VLOOKUP('BMP P Tracking Table'!$R202,'Loading Rates'!$B$1:$L$24,4,FALSE)+IF('BMP P Tracking Table'!$W202="By HSG",'BMP P Tracking Table'!$X202*VLOOKUP('BMP P Tracking Table'!$R202,'Loading Rates'!$B$1:$L$24,6,FALSE)+'BMP P Tracking Table'!$Y202*VLOOKUP('BMP P Tracking Table'!$R202,'Loading Rates'!$B$1:$L$24,7,FALSE)+'BMP P Tracking Table'!$Z202*VLOOKUP('BMP P Tracking Table'!$R202,'Loading Rates'!$B$1:$L$24,8,FALSE)+'BMP P Tracking Table'!$AA202*VLOOKUP('BMP P Tracking Table'!$R202,'Loading Rates'!$B$1:$L$24,9,FALSE),'BMP P Tracking Table'!$AB202*VLOOKUP('BMP P Tracking Table'!$R202,'Loading Rates'!$B$1:$L$24,10,FALSE)),"")</f>
        <v/>
      </c>
      <c r="AF202" s="104" t="str">
        <f>IFERROR(MIN(2,IF('BMP P Tracking Table'!$W202="Total Pervious",(-(3630*'BMP P Tracking Table'!$V202+20.691*'BMP P Tracking Table'!$AB202)+SQRT((3630*'BMP P Tracking Table'!$V202+20.691*'BMP P Tracking Table'!$AB202)^2-(4*(996.798*'BMP P Tracking Table'!$AB202)*-'BMP P Tracking Table'!$AC202)))/(2*(996.798*'BMP P Tracking Table'!$AB202)),IF(SUM('BMP P Tracking Table'!$X202:$AA202)=0,'BMP P Tracking Table'!$AC202/(-3630*'BMP P Tracking Table'!$V202),(-(3630*'BMP P Tracking Table'!$V202+20.691*'BMP P Tracking Table'!$AA202-216.711*'BMP P Tracking Table'!$Z202-83.853*'BMP P Tracking Table'!$Y202-42.834*'BMP P Tracking Table'!$X202)+SQRT((3630*'BMP P Tracking Table'!$V202+20.691*'BMP P Tracking Table'!$AA202-216.711*'BMP P Tracking Table'!$Z202-83.853*'BMP P Tracking Table'!$Y202-42.834*'BMP P Tracking Table'!$X202)^2-(4*(149.919*'BMP P Tracking Table'!$X202+236.676*'BMP P Tracking Table'!$Y202+726*'BMP P Tracking Table'!$Z202+996.798*'BMP P Tracking Table'!$AA202)*-'BMP P Tracking Table'!$AC202)))/(2*(149.919*'BMP P Tracking Table'!$X202+236.676*'BMP P Tracking Table'!$Y202+726*'BMP P Tracking Table'!$Z202+996.798*'BMP P Tracking Table'!$AA202))))),"")</f>
        <v/>
      </c>
      <c r="AG202" s="104" t="str">
        <f>IFERROR((VLOOKUP(CONCATENATE('BMP P Tracking Table'!$U202," ",'BMP P Tracking Table'!$AD202),'Performance Curves'!$C$1:$L$46,_xlfn.SINGLE(MATCH('BMP P Tracking Table'!$AF202,'Performance Curves'!$D$1:$L$1,1))+2,FALSE)-VLOOKUP(CONCATENATE('BMP P Tracking Table'!$U202," ",'BMP P Tracking Table'!$AD202),'Performance Curves'!$C$1:$L$46,_xlfn.SINGLE(MATCH('BMP P Tracking Table'!$AF202,'Performance Curves'!$D$1:$L$1,1))+1,FALSE)),"")</f>
        <v/>
      </c>
      <c r="AH202" s="104" t="str">
        <f>IFERROR(('BMP P Tracking Table'!$AF202-INDEX('Performance Curves'!$D$1:$L$1,1,MATCH('BMP P Tracking Table'!$AF202,'Performance Curves'!$D$1:$L$1,1)))/(INDEX('Performance Curves'!$D$1:$L$1,1,MATCH('BMP P Tracking Table'!$AF202,'Performance Curves'!$D$1:$L$1,1)+1)-INDEX('Performance Curves'!$D$1:$L$1,1,MATCH('BMP P Tracking Table'!$AF202,'Performance Curves'!$D$1:$L$1,1))),"")</f>
        <v/>
      </c>
      <c r="AI202" s="103" t="str">
        <f>IFERROR(IF('BMP P Tracking Table'!$AF202=2,VLOOKUP(CONCATENATE('BMP P Tracking Table'!$U202," ",'BMP P Tracking Table'!$AD202),'Performance Curves'!$C$1:$L$46,_xlfn.SINGLE(MATCH('BMP P Tracking Table'!$AF202,'Performance Curves'!$D$1:$L$1,1))+1,FALSE),'BMP P Tracking Table'!$AG202*'BMP P Tracking Table'!$AH202+VLOOKUP(CONCATENATE('BMP P Tracking Table'!$U202," ",'BMP P Tracking Table'!$AD202),'Performance Curves'!$C$1:$L$46,_xlfn.SINGLE(MATCH('BMP P Tracking Table'!$AF202,'Performance Curves'!$D$1:$L$1,1))+1,FALSE)),"")</f>
        <v/>
      </c>
      <c r="AJ202" s="104" t="str">
        <f>IFERROR('BMP P Tracking Table'!$AI202*'BMP P Tracking Table'!$AE202,"")</f>
        <v/>
      </c>
      <c r="AK202" s="65"/>
      <c r="AL202" s="98"/>
      <c r="AM202" s="98"/>
      <c r="AN202" s="64">
        <v>1</v>
      </c>
      <c r="AO202" s="102" t="str">
        <f t="shared" si="33"/>
        <v/>
      </c>
      <c r="AP202" s="98"/>
      <c r="AQ202" s="98"/>
      <c r="AR202" s="98"/>
      <c r="AS202" s="98"/>
      <c r="AT202" s="98"/>
      <c r="AU202" s="98"/>
      <c r="AV202" s="98"/>
      <c r="AW202" s="65"/>
      <c r="AX202" s="99"/>
      <c r="AY202" s="99"/>
      <c r="AZ202" s="104" t="str">
        <f>IF('BMP P Tracking Table'!$AL202="Yes",IF('BMP P Tracking Table'!$AM202="No",'BMP P Tracking Table'!$V202*VLOOKUP('BMP P Tracking Table'!$R202,'Loading Rates'!$B$1:$L$24,4,FALSE)+IF('BMP P Tracking Table'!$W202="By HSG",'BMP P Tracking Table'!$X202*VLOOKUP('BMP P Tracking Table'!$R202,'Loading Rates'!$B$1:$L$24,6,FALSE)+'BMP P Tracking Table'!$Y202*VLOOKUP('BMP P Tracking Table'!$R202,'Loading Rates'!$B$1:$L$24,7,FALSE)+'BMP P Tracking Table'!$Z202*VLOOKUP('BMP P Tracking Table'!$R202,'Loading Rates'!$B$1:$L$24,8,FALSE)+'BMP P Tracking Table'!$AA202*VLOOKUP('BMP P Tracking Table'!$R202,'Loading Rates'!$B$1:$L$24,9,FALSE),'BMP P Tracking Table'!$AB202*VLOOKUP('BMP P Tracking Table'!$R202,'Loading Rates'!$B$1:$L$24,10,FALSE)),'BMP P Tracking Table'!$AP202*VLOOKUP('BMP P Tracking Table'!$R202,'Loading Rates'!$B$1:$L$24,4,FALSE)+IF('BMP P Tracking Table'!$AQ202="By HSG",'BMP P Tracking Table'!$AR202*VLOOKUP('BMP P Tracking Table'!$R202,'Loading Rates'!$B$1:$L$24,6,FALSE)+'BMP P Tracking Table'!$AS202*VLOOKUP('BMP P Tracking Table'!$R202,'Loading Rates'!$B$1:$L$24,7,FALSE)+'BMP P Tracking Table'!$AT202*VLOOKUP('BMP P Tracking Table'!$R202,'Loading Rates'!$B$1:$L$24,8,FALSE)+'BMP P Tracking Table'!$AU202*VLOOKUP('BMP P Tracking Table'!$R202,'Loading Rates'!$B$1:$L$24,9,FALSE),'BMP P Tracking Table'!$AV202*VLOOKUP('BMP P Tracking Table'!$R202,'Loading Rates'!$B$1:$L$24,10,FALSE))),"")</f>
        <v/>
      </c>
      <c r="BA202" s="104" t="str">
        <f>IFERROR(IF('BMP P Tracking Table'!$AM202="Yes",MIN(2,IF('BMP P Tracking Table'!$AQ202="Total Pervious",(-(3630*'BMP P Tracking Table'!$AP202+20.691*'BMP P Tracking Table'!$AV202)+SQRT((3630*'BMP P Tracking Table'!$AP202+20.691*'BMP P Tracking Table'!$AV202)^2-(4*(996.798*'BMP P Tracking Table'!$AV202)*-'BMP P Tracking Table'!$AX202)))/(2*(996.798*'BMP P Tracking Table'!$AV202)),IF(SUM('BMP P Tracking Table'!$AR202:$AU202)=0,'BMP P Tracking Table'!$AV202/(-3630*'BMP P Tracking Table'!$AP202),(-(3630*'BMP P Tracking Table'!$AP202+20.691*'BMP P Tracking Table'!$AU202-216.711*'BMP P Tracking Table'!$AT202-83.853*'BMP P Tracking Table'!$AS202-42.834*'BMP P Tracking Table'!$AR202)+SQRT((3630*'BMP P Tracking Table'!$AP202+20.691*'BMP P Tracking Table'!$AU202-216.711*'BMP P Tracking Table'!$AT202-83.853*'BMP P Tracking Table'!$AS202-42.834*'BMP P Tracking Table'!$AR202)^2-(4*(149.919*'BMP P Tracking Table'!$AR202+236.676*'BMP P Tracking Table'!$AS202+726*'BMP P Tracking Table'!$AT202+996.798*'BMP P Tracking Table'!$AU202)*-'BMP P Tracking Table'!$AX202)))/(2*(149.919*'BMP P Tracking Table'!$AR202+236.676*'BMP P Tracking Table'!$AS202+726*'BMP P Tracking Table'!$AT202+996.798*'BMP P Tracking Table'!$AU202))))),MIN(2,IF('BMP P Tracking Table'!$AQ202="Total Pervious",(-(3630*'BMP P Tracking Table'!$V202+20.691*'BMP P Tracking Table'!$AB202)+SQRT((3630*'BMP P Tracking Table'!$V202+20.691*'BMP P Tracking Table'!$AB202)^2-(4*(996.798*'BMP P Tracking Table'!$AB202)*-'BMP P Tracking Table'!$AX202)))/(2*(996.798*'BMP P Tracking Table'!$AB202)),IF(SUM('BMP P Tracking Table'!$X202:$AA202)=0,'BMP P Tracking Table'!$AX202/(-3630*'BMP P Tracking Table'!$V202),(-(3630*'BMP P Tracking Table'!$V202+20.691*'BMP P Tracking Table'!$AA202-216.711*'BMP P Tracking Table'!$Z202-83.853*'BMP P Tracking Table'!$Y202-42.834*'BMP P Tracking Table'!$X202)+SQRT((3630*'BMP P Tracking Table'!$V202+20.691*'BMP P Tracking Table'!$AA202-216.711*'BMP P Tracking Table'!$Z202-83.853*'BMP P Tracking Table'!$Y202-42.834*'BMP P Tracking Table'!$X202)^2-(4*(149.919*'BMP P Tracking Table'!$X202+236.676*'BMP P Tracking Table'!$Y202+726*'BMP P Tracking Table'!$Z202+996.798*'BMP P Tracking Table'!$AA202)*-'BMP P Tracking Table'!$AX202)))/(2*(149.919*'BMP P Tracking Table'!$X202+236.676*'BMP P Tracking Table'!$Y202+726*'BMP P Tracking Table'!$Z202+996.798*'BMP P Tracking Table'!$AA202)))))),"")</f>
        <v/>
      </c>
      <c r="BB202" s="102" t="str">
        <f>IFERROR((VLOOKUP(CONCATENATE('BMP P Tracking Table'!$AW202," ",'BMP P Tracking Table'!$AY202),'Performance Curves'!$C$1:$L$46,_xlfn.SINGLE(MATCH('BMP P Tracking Table'!$BA202,'Performance Curves'!$D$1:$L$1,1))+2,FALSE)-VLOOKUP(CONCATENATE('BMP P Tracking Table'!$AW202," ",'BMP P Tracking Table'!$AY202),'Performance Curves'!$C$1:$L$46,_xlfn.SINGLE(MATCH('BMP P Tracking Table'!$BA202,'Performance Curves'!$D$1:$L$1,1))+1,FALSE)),"")</f>
        <v/>
      </c>
      <c r="BC202" s="102" t="str">
        <f>IFERROR(('BMP P Tracking Table'!$BA202-INDEX('Performance Curves'!$D$1:$L$1,1,MATCH('BMP P Tracking Table'!$BA202,'Performance Curves'!$D$1:$L$1,1)))/(INDEX('Performance Curves'!$D$1:$L$1,1,MATCH('BMP P Tracking Table'!$BA202,'Performance Curves'!$D$1:$L$1,1)+1)-INDEX('Performance Curves'!$D$1:$L$1,1,MATCH('BMP P Tracking Table'!$BA202,'Performance Curves'!$D$1:$L$1,1))),"")</f>
        <v/>
      </c>
      <c r="BD202" s="103" t="str" cm="1">
        <f t="array" ref="BD202">IFERROR(IF('BMP P Tracking Table'!$BA202=2,VLOOKUP(CONCATENATE('BMP P Tracking Table'!$AW202," ",'BMP P Tracking Table'!$AY202),'Performance Curves'!$C$1:$L$44,_xlfn.SINGLE(MATCH('BMP P Tracking Table'!$BA202,'Performance Curves'!$D$1:$L$1,1))+1,FALSE),'BMP P Tracking Table'!$BB202*'BMP P Tracking Table'!$BC202+VLOOKUP(CONCATENATE('BMP P Tracking Table'!$AW202," ",'BMP P Tracking Table'!$AY202),'Performance Curves'!$C$1:$L$44,_xlfn.SINGLE(MATCH('BMP P Tracking Table'!$BA202,'Performance Curves'!$D$1:$L$1,1))+1,FALSE)),"")</f>
        <v/>
      </c>
      <c r="BE202" s="104" t="str">
        <f>IFERROR('BMP P Tracking Table'!$BD202*'BMP P Tracking Table'!$AZ202,"")</f>
        <v/>
      </c>
      <c r="BF202" s="98"/>
      <c r="BG202" s="37">
        <f t="shared" si="34"/>
        <v>0</v>
      </c>
    </row>
    <row r="203" spans="2:59" s="36" customFormat="1">
      <c r="B203" s="65"/>
      <c r="C203" s="65"/>
      <c r="D203" s="65"/>
      <c r="E203" s="65"/>
      <c r="F203" s="94"/>
      <c r="G203" s="94"/>
      <c r="H203" s="65"/>
      <c r="I203" s="65"/>
      <c r="J203" s="65"/>
      <c r="K203" s="95"/>
      <c r="L203" s="65"/>
      <c r="M203" s="65"/>
      <c r="N203" s="65"/>
      <c r="O203" s="65"/>
      <c r="P203" s="65"/>
      <c r="Q203" s="65"/>
      <c r="R203" s="65" t="str">
        <f>IFERROR(VLOOKUP('BMP P Tracking Table'!$Q203,Dropdowns!$C$2:$E$15,3,FALSE),"")</f>
        <v/>
      </c>
      <c r="S203" s="65" t="str">
        <f>IFERROR(VLOOKUP('BMP P Tracking Table'!$R203,Dropdowns!$Q$3:$R$23,2,FALSE),"")</f>
        <v/>
      </c>
      <c r="T203" s="65"/>
      <c r="U203" s="65"/>
      <c r="V203" s="65"/>
      <c r="W203" s="65"/>
      <c r="X203" s="65"/>
      <c r="Y203" s="65"/>
      <c r="Z203" s="65"/>
      <c r="AA203" s="65"/>
      <c r="AB203" s="65"/>
      <c r="AC203" s="97"/>
      <c r="AD203" s="65"/>
      <c r="AE203" s="104" t="str">
        <f>IFERROR('BMP P Tracking Table'!$V203*VLOOKUP('BMP P Tracking Table'!$R203,'Loading Rates'!$B$1:$L$24,4,FALSE)+IF('BMP P Tracking Table'!$W203="By HSG",'BMP P Tracking Table'!$X203*VLOOKUP('BMP P Tracking Table'!$R203,'Loading Rates'!$B$1:$L$24,6,FALSE)+'BMP P Tracking Table'!$Y203*VLOOKUP('BMP P Tracking Table'!$R203,'Loading Rates'!$B$1:$L$24,7,FALSE)+'BMP P Tracking Table'!$Z203*VLOOKUP('BMP P Tracking Table'!$R203,'Loading Rates'!$B$1:$L$24,8,FALSE)+'BMP P Tracking Table'!$AA203*VLOOKUP('BMP P Tracking Table'!$R203,'Loading Rates'!$B$1:$L$24,9,FALSE),'BMP P Tracking Table'!$AB203*VLOOKUP('BMP P Tracking Table'!$R203,'Loading Rates'!$B$1:$L$24,10,FALSE)),"")</f>
        <v/>
      </c>
      <c r="AF203" s="104" t="str">
        <f>IFERROR(MIN(2,IF('BMP P Tracking Table'!$W203="Total Pervious",(-(3630*'BMP P Tracking Table'!$V203+20.691*'BMP P Tracking Table'!$AB203)+SQRT((3630*'BMP P Tracking Table'!$V203+20.691*'BMP P Tracking Table'!$AB203)^2-(4*(996.798*'BMP P Tracking Table'!$AB203)*-'BMP P Tracking Table'!$AC203)))/(2*(996.798*'BMP P Tracking Table'!$AB203)),IF(SUM('BMP P Tracking Table'!$X203:$AA203)=0,'BMP P Tracking Table'!$AC203/(-3630*'BMP P Tracking Table'!$V203),(-(3630*'BMP P Tracking Table'!$V203+20.691*'BMP P Tracking Table'!$AA203-216.711*'BMP P Tracking Table'!$Z203-83.853*'BMP P Tracking Table'!$Y203-42.834*'BMP P Tracking Table'!$X203)+SQRT((3630*'BMP P Tracking Table'!$V203+20.691*'BMP P Tracking Table'!$AA203-216.711*'BMP P Tracking Table'!$Z203-83.853*'BMP P Tracking Table'!$Y203-42.834*'BMP P Tracking Table'!$X203)^2-(4*(149.919*'BMP P Tracking Table'!$X203+236.676*'BMP P Tracking Table'!$Y203+726*'BMP P Tracking Table'!$Z203+996.798*'BMP P Tracking Table'!$AA203)*-'BMP P Tracking Table'!$AC203)))/(2*(149.919*'BMP P Tracking Table'!$X203+236.676*'BMP P Tracking Table'!$Y203+726*'BMP P Tracking Table'!$Z203+996.798*'BMP P Tracking Table'!$AA203))))),"")</f>
        <v/>
      </c>
      <c r="AG203" s="104" t="str">
        <f>IFERROR((VLOOKUP(CONCATENATE('BMP P Tracking Table'!$U203," ",'BMP P Tracking Table'!$AD203),'Performance Curves'!$C$1:$L$46,_xlfn.SINGLE(MATCH('BMP P Tracking Table'!$AF203,'Performance Curves'!$D$1:$L$1,1))+2,FALSE)-VLOOKUP(CONCATENATE('BMP P Tracking Table'!$U203," ",'BMP P Tracking Table'!$AD203),'Performance Curves'!$C$1:$L$46,_xlfn.SINGLE(MATCH('BMP P Tracking Table'!$AF203,'Performance Curves'!$D$1:$L$1,1))+1,FALSE)),"")</f>
        <v/>
      </c>
      <c r="AH203" s="104" t="str">
        <f>IFERROR(('BMP P Tracking Table'!$AF203-INDEX('Performance Curves'!$D$1:$L$1,1,MATCH('BMP P Tracking Table'!$AF203,'Performance Curves'!$D$1:$L$1,1)))/(INDEX('Performance Curves'!$D$1:$L$1,1,MATCH('BMP P Tracking Table'!$AF203,'Performance Curves'!$D$1:$L$1,1)+1)-INDEX('Performance Curves'!$D$1:$L$1,1,MATCH('BMP P Tracking Table'!$AF203,'Performance Curves'!$D$1:$L$1,1))),"")</f>
        <v/>
      </c>
      <c r="AI203" s="103" t="str">
        <f>IFERROR(IF('BMP P Tracking Table'!$AF203=2,VLOOKUP(CONCATENATE('BMP P Tracking Table'!$U203," ",'BMP P Tracking Table'!$AD203),'Performance Curves'!$C$1:$L$46,_xlfn.SINGLE(MATCH('BMP P Tracking Table'!$AF203,'Performance Curves'!$D$1:$L$1,1))+1,FALSE),'BMP P Tracking Table'!$AG203*'BMP P Tracking Table'!$AH203+VLOOKUP(CONCATENATE('BMP P Tracking Table'!$U203," ",'BMP P Tracking Table'!$AD203),'Performance Curves'!$C$1:$L$46,_xlfn.SINGLE(MATCH('BMP P Tracking Table'!$AF203,'Performance Curves'!$D$1:$L$1,1))+1,FALSE)),"")</f>
        <v/>
      </c>
      <c r="AJ203" s="104" t="str">
        <f>IFERROR('BMP P Tracking Table'!$AI203*'BMP P Tracking Table'!$AE203,"")</f>
        <v/>
      </c>
      <c r="AK203" s="65"/>
      <c r="AL203" s="98"/>
      <c r="AM203" s="98"/>
      <c r="AN203" s="64">
        <v>1</v>
      </c>
      <c r="AO203" s="102" t="str">
        <f t="shared" si="33"/>
        <v/>
      </c>
      <c r="AP203" s="98"/>
      <c r="AQ203" s="98"/>
      <c r="AR203" s="98"/>
      <c r="AS203" s="98"/>
      <c r="AT203" s="98"/>
      <c r="AU203" s="98"/>
      <c r="AV203" s="98"/>
      <c r="AW203" s="65"/>
      <c r="AX203" s="99"/>
      <c r="AY203" s="99"/>
      <c r="AZ203" s="104" t="str">
        <f>IF('BMP P Tracking Table'!$AL203="Yes",IF('BMP P Tracking Table'!$AM203="No",'BMP P Tracking Table'!$V203*VLOOKUP('BMP P Tracking Table'!$R203,'Loading Rates'!$B$1:$L$24,4,FALSE)+IF('BMP P Tracking Table'!$W203="By HSG",'BMP P Tracking Table'!$X203*VLOOKUP('BMP P Tracking Table'!$R203,'Loading Rates'!$B$1:$L$24,6,FALSE)+'BMP P Tracking Table'!$Y203*VLOOKUP('BMP P Tracking Table'!$R203,'Loading Rates'!$B$1:$L$24,7,FALSE)+'BMP P Tracking Table'!$Z203*VLOOKUP('BMP P Tracking Table'!$R203,'Loading Rates'!$B$1:$L$24,8,FALSE)+'BMP P Tracking Table'!$AA203*VLOOKUP('BMP P Tracking Table'!$R203,'Loading Rates'!$B$1:$L$24,9,FALSE),'BMP P Tracking Table'!$AB203*VLOOKUP('BMP P Tracking Table'!$R203,'Loading Rates'!$B$1:$L$24,10,FALSE)),'BMP P Tracking Table'!$AP203*VLOOKUP('BMP P Tracking Table'!$R203,'Loading Rates'!$B$1:$L$24,4,FALSE)+IF('BMP P Tracking Table'!$AQ203="By HSG",'BMP P Tracking Table'!$AR203*VLOOKUP('BMP P Tracking Table'!$R203,'Loading Rates'!$B$1:$L$24,6,FALSE)+'BMP P Tracking Table'!$AS203*VLOOKUP('BMP P Tracking Table'!$R203,'Loading Rates'!$B$1:$L$24,7,FALSE)+'BMP P Tracking Table'!$AT203*VLOOKUP('BMP P Tracking Table'!$R203,'Loading Rates'!$B$1:$L$24,8,FALSE)+'BMP P Tracking Table'!$AU203*VLOOKUP('BMP P Tracking Table'!$R203,'Loading Rates'!$B$1:$L$24,9,FALSE),'BMP P Tracking Table'!$AV203*VLOOKUP('BMP P Tracking Table'!$R203,'Loading Rates'!$B$1:$L$24,10,FALSE))),"")</f>
        <v/>
      </c>
      <c r="BA203" s="104" t="str">
        <f>IFERROR(IF('BMP P Tracking Table'!$AM203="Yes",MIN(2,IF('BMP P Tracking Table'!$AQ203="Total Pervious",(-(3630*'BMP P Tracking Table'!$AP203+20.691*'BMP P Tracking Table'!$AV203)+SQRT((3630*'BMP P Tracking Table'!$AP203+20.691*'BMP P Tracking Table'!$AV203)^2-(4*(996.798*'BMP P Tracking Table'!$AV203)*-'BMP P Tracking Table'!$AX203)))/(2*(996.798*'BMP P Tracking Table'!$AV203)),IF(SUM('BMP P Tracking Table'!$AR203:$AU203)=0,'BMP P Tracking Table'!$AV203/(-3630*'BMP P Tracking Table'!$AP203),(-(3630*'BMP P Tracking Table'!$AP203+20.691*'BMP P Tracking Table'!$AU203-216.711*'BMP P Tracking Table'!$AT203-83.853*'BMP P Tracking Table'!$AS203-42.834*'BMP P Tracking Table'!$AR203)+SQRT((3630*'BMP P Tracking Table'!$AP203+20.691*'BMP P Tracking Table'!$AU203-216.711*'BMP P Tracking Table'!$AT203-83.853*'BMP P Tracking Table'!$AS203-42.834*'BMP P Tracking Table'!$AR203)^2-(4*(149.919*'BMP P Tracking Table'!$AR203+236.676*'BMP P Tracking Table'!$AS203+726*'BMP P Tracking Table'!$AT203+996.798*'BMP P Tracking Table'!$AU203)*-'BMP P Tracking Table'!$AX203)))/(2*(149.919*'BMP P Tracking Table'!$AR203+236.676*'BMP P Tracking Table'!$AS203+726*'BMP P Tracking Table'!$AT203+996.798*'BMP P Tracking Table'!$AU203))))),MIN(2,IF('BMP P Tracking Table'!$AQ203="Total Pervious",(-(3630*'BMP P Tracking Table'!$V203+20.691*'BMP P Tracking Table'!$AB203)+SQRT((3630*'BMP P Tracking Table'!$V203+20.691*'BMP P Tracking Table'!$AB203)^2-(4*(996.798*'BMP P Tracking Table'!$AB203)*-'BMP P Tracking Table'!$AX203)))/(2*(996.798*'BMP P Tracking Table'!$AB203)),IF(SUM('BMP P Tracking Table'!$X203:$AA203)=0,'BMP P Tracking Table'!$AX203/(-3630*'BMP P Tracking Table'!$V203),(-(3630*'BMP P Tracking Table'!$V203+20.691*'BMP P Tracking Table'!$AA203-216.711*'BMP P Tracking Table'!$Z203-83.853*'BMP P Tracking Table'!$Y203-42.834*'BMP P Tracking Table'!$X203)+SQRT((3630*'BMP P Tracking Table'!$V203+20.691*'BMP P Tracking Table'!$AA203-216.711*'BMP P Tracking Table'!$Z203-83.853*'BMP P Tracking Table'!$Y203-42.834*'BMP P Tracking Table'!$X203)^2-(4*(149.919*'BMP P Tracking Table'!$X203+236.676*'BMP P Tracking Table'!$Y203+726*'BMP P Tracking Table'!$Z203+996.798*'BMP P Tracking Table'!$AA203)*-'BMP P Tracking Table'!$AX203)))/(2*(149.919*'BMP P Tracking Table'!$X203+236.676*'BMP P Tracking Table'!$Y203+726*'BMP P Tracking Table'!$Z203+996.798*'BMP P Tracking Table'!$AA203)))))),"")</f>
        <v/>
      </c>
      <c r="BB203" s="102" t="str">
        <f>IFERROR((VLOOKUP(CONCATENATE('BMP P Tracking Table'!$AW203," ",'BMP P Tracking Table'!$AY203),'Performance Curves'!$C$1:$L$46,_xlfn.SINGLE(MATCH('BMP P Tracking Table'!$BA203,'Performance Curves'!$D$1:$L$1,1))+2,FALSE)-VLOOKUP(CONCATENATE('BMP P Tracking Table'!$AW203," ",'BMP P Tracking Table'!$AY203),'Performance Curves'!$C$1:$L$46,_xlfn.SINGLE(MATCH('BMP P Tracking Table'!$BA203,'Performance Curves'!$D$1:$L$1,1))+1,FALSE)),"")</f>
        <v/>
      </c>
      <c r="BC203" s="102" t="str">
        <f>IFERROR(('BMP P Tracking Table'!$BA203-INDEX('Performance Curves'!$D$1:$L$1,1,MATCH('BMP P Tracking Table'!$BA203,'Performance Curves'!$D$1:$L$1,1)))/(INDEX('Performance Curves'!$D$1:$L$1,1,MATCH('BMP P Tracking Table'!$BA203,'Performance Curves'!$D$1:$L$1,1)+1)-INDEX('Performance Curves'!$D$1:$L$1,1,MATCH('BMP P Tracking Table'!$BA203,'Performance Curves'!$D$1:$L$1,1))),"")</f>
        <v/>
      </c>
      <c r="BD203" s="103" t="str" cm="1">
        <f t="array" ref="BD203">IFERROR(IF('BMP P Tracking Table'!$BA203=2,VLOOKUP(CONCATENATE('BMP P Tracking Table'!$AW203," ",'BMP P Tracking Table'!$AY203),'Performance Curves'!$C$1:$L$44,_xlfn.SINGLE(MATCH('BMP P Tracking Table'!$BA203,'Performance Curves'!$D$1:$L$1,1))+1,FALSE),'BMP P Tracking Table'!$BB203*'BMP P Tracking Table'!$BC203+VLOOKUP(CONCATENATE('BMP P Tracking Table'!$AW203," ",'BMP P Tracking Table'!$AY203),'Performance Curves'!$C$1:$L$44,_xlfn.SINGLE(MATCH('BMP P Tracking Table'!$BA203,'Performance Curves'!$D$1:$L$1,1))+1,FALSE)),"")</f>
        <v/>
      </c>
      <c r="BE203" s="104" t="str">
        <f>IFERROR('BMP P Tracking Table'!$BD203*'BMP P Tracking Table'!$AZ203,"")</f>
        <v/>
      </c>
      <c r="BF203" s="92"/>
      <c r="BG203" s="37">
        <f t="shared" si="34"/>
        <v>0</v>
      </c>
    </row>
    <row r="204" spans="2:59" s="36" customFormat="1">
      <c r="B204" s="65"/>
      <c r="C204" s="65"/>
      <c r="D204" s="65"/>
      <c r="E204" s="65"/>
      <c r="F204" s="94"/>
      <c r="G204" s="94"/>
      <c r="H204" s="65"/>
      <c r="I204" s="65"/>
      <c r="J204" s="65"/>
      <c r="K204" s="95"/>
      <c r="L204" s="65"/>
      <c r="M204" s="65"/>
      <c r="N204" s="65"/>
      <c r="O204" s="65"/>
      <c r="P204" s="65"/>
      <c r="Q204" s="65"/>
      <c r="R204" s="65" t="str">
        <f>IFERROR(VLOOKUP('BMP P Tracking Table'!$Q204,Dropdowns!$C$2:$E$15,3,FALSE),"")</f>
        <v/>
      </c>
      <c r="S204" s="65" t="str">
        <f>IFERROR(VLOOKUP('BMP P Tracking Table'!$R204,Dropdowns!$Q$3:$R$23,2,FALSE),"")</f>
        <v/>
      </c>
      <c r="T204" s="65"/>
      <c r="U204" s="65"/>
      <c r="V204" s="65"/>
      <c r="W204" s="65"/>
      <c r="X204" s="65"/>
      <c r="Y204" s="65"/>
      <c r="Z204" s="65"/>
      <c r="AA204" s="65"/>
      <c r="AB204" s="65"/>
      <c r="AC204" s="97"/>
      <c r="AD204" s="65"/>
      <c r="AE204" s="104" t="str">
        <f>IFERROR('BMP P Tracking Table'!$V204*VLOOKUP('BMP P Tracking Table'!$R204,'Loading Rates'!$B$1:$L$24,4,FALSE)+IF('BMP P Tracking Table'!$W204="By HSG",'BMP P Tracking Table'!$X204*VLOOKUP('BMP P Tracking Table'!$R204,'Loading Rates'!$B$1:$L$24,6,FALSE)+'BMP P Tracking Table'!$Y204*VLOOKUP('BMP P Tracking Table'!$R204,'Loading Rates'!$B$1:$L$24,7,FALSE)+'BMP P Tracking Table'!$Z204*VLOOKUP('BMP P Tracking Table'!$R204,'Loading Rates'!$B$1:$L$24,8,FALSE)+'BMP P Tracking Table'!$AA204*VLOOKUP('BMP P Tracking Table'!$R204,'Loading Rates'!$B$1:$L$24,9,FALSE),'BMP P Tracking Table'!$AB204*VLOOKUP('BMP P Tracking Table'!$R204,'Loading Rates'!$B$1:$L$24,10,FALSE)),"")</f>
        <v/>
      </c>
      <c r="AF204" s="104" t="str">
        <f>IFERROR(MIN(2,IF('BMP P Tracking Table'!$W204="Total Pervious",(-(3630*'BMP P Tracking Table'!$V204+20.691*'BMP P Tracking Table'!$AB204)+SQRT((3630*'BMP P Tracking Table'!$V204+20.691*'BMP P Tracking Table'!$AB204)^2-(4*(996.798*'BMP P Tracking Table'!$AB204)*-'BMP P Tracking Table'!$AC204)))/(2*(996.798*'BMP P Tracking Table'!$AB204)),IF(SUM('BMP P Tracking Table'!$X204:$AA204)=0,'BMP P Tracking Table'!$AC204/(-3630*'BMP P Tracking Table'!$V204),(-(3630*'BMP P Tracking Table'!$V204+20.691*'BMP P Tracking Table'!$AA204-216.711*'BMP P Tracking Table'!$Z204-83.853*'BMP P Tracking Table'!$Y204-42.834*'BMP P Tracking Table'!$X204)+SQRT((3630*'BMP P Tracking Table'!$V204+20.691*'BMP P Tracking Table'!$AA204-216.711*'BMP P Tracking Table'!$Z204-83.853*'BMP P Tracking Table'!$Y204-42.834*'BMP P Tracking Table'!$X204)^2-(4*(149.919*'BMP P Tracking Table'!$X204+236.676*'BMP P Tracking Table'!$Y204+726*'BMP P Tracking Table'!$Z204+996.798*'BMP P Tracking Table'!$AA204)*-'BMP P Tracking Table'!$AC204)))/(2*(149.919*'BMP P Tracking Table'!$X204+236.676*'BMP P Tracking Table'!$Y204+726*'BMP P Tracking Table'!$Z204+996.798*'BMP P Tracking Table'!$AA204))))),"")</f>
        <v/>
      </c>
      <c r="AG204" s="104" t="str">
        <f>IFERROR((VLOOKUP(CONCATENATE('BMP P Tracking Table'!$U204," ",'BMP P Tracking Table'!$AD204),'Performance Curves'!$C$1:$L$46,_xlfn.SINGLE(MATCH('BMP P Tracking Table'!$AF204,'Performance Curves'!$D$1:$L$1,1))+2,FALSE)-VLOOKUP(CONCATENATE('BMP P Tracking Table'!$U204," ",'BMP P Tracking Table'!$AD204),'Performance Curves'!$C$1:$L$46,_xlfn.SINGLE(MATCH('BMP P Tracking Table'!$AF204,'Performance Curves'!$D$1:$L$1,1))+1,FALSE)),"")</f>
        <v/>
      </c>
      <c r="AH204" s="104" t="str">
        <f>IFERROR(('BMP P Tracking Table'!$AF204-INDEX('Performance Curves'!$D$1:$L$1,1,MATCH('BMP P Tracking Table'!$AF204,'Performance Curves'!$D$1:$L$1,1)))/(INDEX('Performance Curves'!$D$1:$L$1,1,MATCH('BMP P Tracking Table'!$AF204,'Performance Curves'!$D$1:$L$1,1)+1)-INDEX('Performance Curves'!$D$1:$L$1,1,MATCH('BMP P Tracking Table'!$AF204,'Performance Curves'!$D$1:$L$1,1))),"")</f>
        <v/>
      </c>
      <c r="AI204" s="103" t="str">
        <f>IFERROR(IF('BMP P Tracking Table'!$AF204=2,VLOOKUP(CONCATENATE('BMP P Tracking Table'!$U204," ",'BMP P Tracking Table'!$AD204),'Performance Curves'!$C$1:$L$46,_xlfn.SINGLE(MATCH('BMP P Tracking Table'!$AF204,'Performance Curves'!$D$1:$L$1,1))+1,FALSE),'BMP P Tracking Table'!$AG204*'BMP P Tracking Table'!$AH204+VLOOKUP(CONCATENATE('BMP P Tracking Table'!$U204," ",'BMP P Tracking Table'!$AD204),'Performance Curves'!$C$1:$L$46,_xlfn.SINGLE(MATCH('BMP P Tracking Table'!$AF204,'Performance Curves'!$D$1:$L$1,1))+1,FALSE)),"")</f>
        <v/>
      </c>
      <c r="AJ204" s="104" t="str">
        <f>IFERROR('BMP P Tracking Table'!$AI204*'BMP P Tracking Table'!$AE204,"")</f>
        <v/>
      </c>
      <c r="AK204" s="65"/>
      <c r="AL204" s="98"/>
      <c r="AM204" s="98"/>
      <c r="AN204" s="64">
        <v>1</v>
      </c>
      <c r="AO204" s="102" t="str">
        <f t="shared" si="33"/>
        <v/>
      </c>
      <c r="AP204" s="98"/>
      <c r="AQ204" s="98"/>
      <c r="AR204" s="98"/>
      <c r="AS204" s="98"/>
      <c r="AT204" s="98"/>
      <c r="AU204" s="98"/>
      <c r="AV204" s="98"/>
      <c r="AW204" s="65"/>
      <c r="AX204" s="99"/>
      <c r="AY204" s="99"/>
      <c r="AZ204" s="104" t="str">
        <f>IF('BMP P Tracking Table'!$AL204="Yes",IF('BMP P Tracking Table'!$AM204="No",'BMP P Tracking Table'!$V204*VLOOKUP('BMP P Tracking Table'!$R204,'Loading Rates'!$B$1:$L$24,4,FALSE)+IF('BMP P Tracking Table'!$W204="By HSG",'BMP P Tracking Table'!$X204*VLOOKUP('BMP P Tracking Table'!$R204,'Loading Rates'!$B$1:$L$24,6,FALSE)+'BMP P Tracking Table'!$Y204*VLOOKUP('BMP P Tracking Table'!$R204,'Loading Rates'!$B$1:$L$24,7,FALSE)+'BMP P Tracking Table'!$Z204*VLOOKUP('BMP P Tracking Table'!$R204,'Loading Rates'!$B$1:$L$24,8,FALSE)+'BMP P Tracking Table'!$AA204*VLOOKUP('BMP P Tracking Table'!$R204,'Loading Rates'!$B$1:$L$24,9,FALSE),'BMP P Tracking Table'!$AB204*VLOOKUP('BMP P Tracking Table'!$R204,'Loading Rates'!$B$1:$L$24,10,FALSE)),'BMP P Tracking Table'!$AP204*VLOOKUP('BMP P Tracking Table'!$R204,'Loading Rates'!$B$1:$L$24,4,FALSE)+IF('BMP P Tracking Table'!$AQ204="By HSG",'BMP P Tracking Table'!$AR204*VLOOKUP('BMP P Tracking Table'!$R204,'Loading Rates'!$B$1:$L$24,6,FALSE)+'BMP P Tracking Table'!$AS204*VLOOKUP('BMP P Tracking Table'!$R204,'Loading Rates'!$B$1:$L$24,7,FALSE)+'BMP P Tracking Table'!$AT204*VLOOKUP('BMP P Tracking Table'!$R204,'Loading Rates'!$B$1:$L$24,8,FALSE)+'BMP P Tracking Table'!$AU204*VLOOKUP('BMP P Tracking Table'!$R204,'Loading Rates'!$B$1:$L$24,9,FALSE),'BMP P Tracking Table'!$AV204*VLOOKUP('BMP P Tracking Table'!$R204,'Loading Rates'!$B$1:$L$24,10,FALSE))),"")</f>
        <v/>
      </c>
      <c r="BA204" s="104" t="str">
        <f>IFERROR(IF('BMP P Tracking Table'!$AM204="Yes",MIN(2,IF('BMP P Tracking Table'!$AQ204="Total Pervious",(-(3630*'BMP P Tracking Table'!$AP204+20.691*'BMP P Tracking Table'!$AV204)+SQRT((3630*'BMP P Tracking Table'!$AP204+20.691*'BMP P Tracking Table'!$AV204)^2-(4*(996.798*'BMP P Tracking Table'!$AV204)*-'BMP P Tracking Table'!$AX204)))/(2*(996.798*'BMP P Tracking Table'!$AV204)),IF(SUM('BMP P Tracking Table'!$AR204:$AU204)=0,'BMP P Tracking Table'!$AV204/(-3630*'BMP P Tracking Table'!$AP204),(-(3630*'BMP P Tracking Table'!$AP204+20.691*'BMP P Tracking Table'!$AU204-216.711*'BMP P Tracking Table'!$AT204-83.853*'BMP P Tracking Table'!$AS204-42.834*'BMP P Tracking Table'!$AR204)+SQRT((3630*'BMP P Tracking Table'!$AP204+20.691*'BMP P Tracking Table'!$AU204-216.711*'BMP P Tracking Table'!$AT204-83.853*'BMP P Tracking Table'!$AS204-42.834*'BMP P Tracking Table'!$AR204)^2-(4*(149.919*'BMP P Tracking Table'!$AR204+236.676*'BMP P Tracking Table'!$AS204+726*'BMP P Tracking Table'!$AT204+996.798*'BMP P Tracking Table'!$AU204)*-'BMP P Tracking Table'!$AX204)))/(2*(149.919*'BMP P Tracking Table'!$AR204+236.676*'BMP P Tracking Table'!$AS204+726*'BMP P Tracking Table'!$AT204+996.798*'BMP P Tracking Table'!$AU204))))),MIN(2,IF('BMP P Tracking Table'!$AQ204="Total Pervious",(-(3630*'BMP P Tracking Table'!$V204+20.691*'BMP P Tracking Table'!$AB204)+SQRT((3630*'BMP P Tracking Table'!$V204+20.691*'BMP P Tracking Table'!$AB204)^2-(4*(996.798*'BMP P Tracking Table'!$AB204)*-'BMP P Tracking Table'!$AX204)))/(2*(996.798*'BMP P Tracking Table'!$AB204)),IF(SUM('BMP P Tracking Table'!$X204:$AA204)=0,'BMP P Tracking Table'!$AX204/(-3630*'BMP P Tracking Table'!$V204),(-(3630*'BMP P Tracking Table'!$V204+20.691*'BMP P Tracking Table'!$AA204-216.711*'BMP P Tracking Table'!$Z204-83.853*'BMP P Tracking Table'!$Y204-42.834*'BMP P Tracking Table'!$X204)+SQRT((3630*'BMP P Tracking Table'!$V204+20.691*'BMP P Tracking Table'!$AA204-216.711*'BMP P Tracking Table'!$Z204-83.853*'BMP P Tracking Table'!$Y204-42.834*'BMP P Tracking Table'!$X204)^2-(4*(149.919*'BMP P Tracking Table'!$X204+236.676*'BMP P Tracking Table'!$Y204+726*'BMP P Tracking Table'!$Z204+996.798*'BMP P Tracking Table'!$AA204)*-'BMP P Tracking Table'!$AX204)))/(2*(149.919*'BMP P Tracking Table'!$X204+236.676*'BMP P Tracking Table'!$Y204+726*'BMP P Tracking Table'!$Z204+996.798*'BMP P Tracking Table'!$AA204)))))),"")</f>
        <v/>
      </c>
      <c r="BB204" s="102" t="str">
        <f>IFERROR((VLOOKUP(CONCATENATE('BMP P Tracking Table'!$AW204," ",'BMP P Tracking Table'!$AY204),'Performance Curves'!$C$1:$L$46,_xlfn.SINGLE(MATCH('BMP P Tracking Table'!$BA204,'Performance Curves'!$D$1:$L$1,1))+2,FALSE)-VLOOKUP(CONCATENATE('BMP P Tracking Table'!$AW204," ",'BMP P Tracking Table'!$AY204),'Performance Curves'!$C$1:$L$46,_xlfn.SINGLE(MATCH('BMP P Tracking Table'!$BA204,'Performance Curves'!$D$1:$L$1,1))+1,FALSE)),"")</f>
        <v/>
      </c>
      <c r="BC204" s="102" t="str">
        <f>IFERROR(('BMP P Tracking Table'!$BA204-INDEX('Performance Curves'!$D$1:$L$1,1,MATCH('BMP P Tracking Table'!$BA204,'Performance Curves'!$D$1:$L$1,1)))/(INDEX('Performance Curves'!$D$1:$L$1,1,MATCH('BMP P Tracking Table'!$BA204,'Performance Curves'!$D$1:$L$1,1)+1)-INDEX('Performance Curves'!$D$1:$L$1,1,MATCH('BMP P Tracking Table'!$BA204,'Performance Curves'!$D$1:$L$1,1))),"")</f>
        <v/>
      </c>
      <c r="BD204" s="103" t="str" cm="1">
        <f t="array" ref="BD204">IFERROR(IF('BMP P Tracking Table'!$BA204=2,VLOOKUP(CONCATENATE('BMP P Tracking Table'!$AW204," ",'BMP P Tracking Table'!$AY204),'Performance Curves'!$C$1:$L$44,_xlfn.SINGLE(MATCH('BMP P Tracking Table'!$BA204,'Performance Curves'!$D$1:$L$1,1))+1,FALSE),'BMP P Tracking Table'!$BB204*'BMP P Tracking Table'!$BC204+VLOOKUP(CONCATENATE('BMP P Tracking Table'!$AW204," ",'BMP P Tracking Table'!$AY204),'Performance Curves'!$C$1:$L$44,_xlfn.SINGLE(MATCH('BMP P Tracking Table'!$BA204,'Performance Curves'!$D$1:$L$1,1))+1,FALSE)),"")</f>
        <v/>
      </c>
      <c r="BE204" s="104" t="str">
        <f>IFERROR('BMP P Tracking Table'!$BD204*'BMP P Tracking Table'!$AZ204,"")</f>
        <v/>
      </c>
      <c r="BF204" s="98"/>
      <c r="BG204" s="37">
        <f t="shared" si="34"/>
        <v>0</v>
      </c>
    </row>
    <row r="205" spans="2:59" s="36" customFormat="1">
      <c r="B205" s="65"/>
      <c r="C205" s="65"/>
      <c r="D205" s="65"/>
      <c r="E205" s="65"/>
      <c r="F205" s="94"/>
      <c r="G205" s="94"/>
      <c r="H205" s="65"/>
      <c r="I205" s="65"/>
      <c r="J205" s="65"/>
      <c r="K205" s="95"/>
      <c r="L205" s="65"/>
      <c r="M205" s="65"/>
      <c r="N205" s="65"/>
      <c r="O205" s="65"/>
      <c r="P205" s="65"/>
      <c r="Q205" s="65"/>
      <c r="R205" s="65" t="str">
        <f>IFERROR(VLOOKUP('BMP P Tracking Table'!$Q205,Dropdowns!$C$2:$E$15,3,FALSE),"")</f>
        <v/>
      </c>
      <c r="S205" s="65" t="str">
        <f>IFERROR(VLOOKUP('BMP P Tracking Table'!$R205,Dropdowns!$Q$3:$R$23,2,FALSE),"")</f>
        <v/>
      </c>
      <c r="T205" s="65"/>
      <c r="U205" s="65"/>
      <c r="V205" s="65"/>
      <c r="W205" s="65"/>
      <c r="X205" s="65"/>
      <c r="Y205" s="65"/>
      <c r="Z205" s="65"/>
      <c r="AA205" s="65"/>
      <c r="AB205" s="65"/>
      <c r="AC205" s="97"/>
      <c r="AD205" s="65"/>
      <c r="AE205" s="104" t="str">
        <f>IFERROR('BMP P Tracking Table'!$V205*VLOOKUP('BMP P Tracking Table'!$R205,'Loading Rates'!$B$1:$L$24,4,FALSE)+IF('BMP P Tracking Table'!$W205="By HSG",'BMP P Tracking Table'!$X205*VLOOKUP('BMP P Tracking Table'!$R205,'Loading Rates'!$B$1:$L$24,6,FALSE)+'BMP P Tracking Table'!$Y205*VLOOKUP('BMP P Tracking Table'!$R205,'Loading Rates'!$B$1:$L$24,7,FALSE)+'BMP P Tracking Table'!$Z205*VLOOKUP('BMP P Tracking Table'!$R205,'Loading Rates'!$B$1:$L$24,8,FALSE)+'BMP P Tracking Table'!$AA205*VLOOKUP('BMP P Tracking Table'!$R205,'Loading Rates'!$B$1:$L$24,9,FALSE),'BMP P Tracking Table'!$AB205*VLOOKUP('BMP P Tracking Table'!$R205,'Loading Rates'!$B$1:$L$24,10,FALSE)),"")</f>
        <v/>
      </c>
      <c r="AF205" s="104" t="str">
        <f>IFERROR(MIN(2,IF('BMP P Tracking Table'!$W205="Total Pervious",(-(3630*'BMP P Tracking Table'!$V205+20.691*'BMP P Tracking Table'!$AB205)+SQRT((3630*'BMP P Tracking Table'!$V205+20.691*'BMP P Tracking Table'!$AB205)^2-(4*(996.798*'BMP P Tracking Table'!$AB205)*-'BMP P Tracking Table'!$AC205)))/(2*(996.798*'BMP P Tracking Table'!$AB205)),IF(SUM('BMP P Tracking Table'!$X205:$AA205)=0,'BMP P Tracking Table'!$AC205/(-3630*'BMP P Tracking Table'!$V205),(-(3630*'BMP P Tracking Table'!$V205+20.691*'BMP P Tracking Table'!$AA205-216.711*'BMP P Tracking Table'!$Z205-83.853*'BMP P Tracking Table'!$Y205-42.834*'BMP P Tracking Table'!$X205)+SQRT((3630*'BMP P Tracking Table'!$V205+20.691*'BMP P Tracking Table'!$AA205-216.711*'BMP P Tracking Table'!$Z205-83.853*'BMP P Tracking Table'!$Y205-42.834*'BMP P Tracking Table'!$X205)^2-(4*(149.919*'BMP P Tracking Table'!$X205+236.676*'BMP P Tracking Table'!$Y205+726*'BMP P Tracking Table'!$Z205+996.798*'BMP P Tracking Table'!$AA205)*-'BMP P Tracking Table'!$AC205)))/(2*(149.919*'BMP P Tracking Table'!$X205+236.676*'BMP P Tracking Table'!$Y205+726*'BMP P Tracking Table'!$Z205+996.798*'BMP P Tracking Table'!$AA205))))),"")</f>
        <v/>
      </c>
      <c r="AG205" s="104" t="str">
        <f>IFERROR((VLOOKUP(CONCATENATE('BMP P Tracking Table'!$U205," ",'BMP P Tracking Table'!$AD205),'Performance Curves'!$C$1:$L$46,_xlfn.SINGLE(MATCH('BMP P Tracking Table'!$AF205,'Performance Curves'!$D$1:$L$1,1))+2,FALSE)-VLOOKUP(CONCATENATE('BMP P Tracking Table'!$U205," ",'BMP P Tracking Table'!$AD205),'Performance Curves'!$C$1:$L$46,_xlfn.SINGLE(MATCH('BMP P Tracking Table'!$AF205,'Performance Curves'!$D$1:$L$1,1))+1,FALSE)),"")</f>
        <v/>
      </c>
      <c r="AH205" s="104" t="str">
        <f>IFERROR(('BMP P Tracking Table'!$AF205-INDEX('Performance Curves'!$D$1:$L$1,1,MATCH('BMP P Tracking Table'!$AF205,'Performance Curves'!$D$1:$L$1,1)))/(INDEX('Performance Curves'!$D$1:$L$1,1,MATCH('BMP P Tracking Table'!$AF205,'Performance Curves'!$D$1:$L$1,1)+1)-INDEX('Performance Curves'!$D$1:$L$1,1,MATCH('BMP P Tracking Table'!$AF205,'Performance Curves'!$D$1:$L$1,1))),"")</f>
        <v/>
      </c>
      <c r="AI205" s="103" t="str">
        <f>IFERROR(IF('BMP P Tracking Table'!$AF205=2,VLOOKUP(CONCATENATE('BMP P Tracking Table'!$U205," ",'BMP P Tracking Table'!$AD205),'Performance Curves'!$C$1:$L$46,_xlfn.SINGLE(MATCH('BMP P Tracking Table'!$AF205,'Performance Curves'!$D$1:$L$1,1))+1,FALSE),'BMP P Tracking Table'!$AG205*'BMP P Tracking Table'!$AH205+VLOOKUP(CONCATENATE('BMP P Tracking Table'!$U205," ",'BMP P Tracking Table'!$AD205),'Performance Curves'!$C$1:$L$46,_xlfn.SINGLE(MATCH('BMP P Tracking Table'!$AF205,'Performance Curves'!$D$1:$L$1,1))+1,FALSE)),"")</f>
        <v/>
      </c>
      <c r="AJ205" s="104" t="str">
        <f>IFERROR('BMP P Tracking Table'!$AI205*'BMP P Tracking Table'!$AE205,"")</f>
        <v/>
      </c>
      <c r="AK205" s="65"/>
      <c r="AL205" s="98"/>
      <c r="AM205" s="98"/>
      <c r="AN205" s="64">
        <v>1</v>
      </c>
      <c r="AO205" s="102" t="str">
        <f t="shared" si="33"/>
        <v/>
      </c>
      <c r="AP205" s="98"/>
      <c r="AQ205" s="98"/>
      <c r="AR205" s="98"/>
      <c r="AS205" s="98"/>
      <c r="AT205" s="98"/>
      <c r="AU205" s="98"/>
      <c r="AV205" s="98"/>
      <c r="AW205" s="65"/>
      <c r="AX205" s="99"/>
      <c r="AY205" s="99"/>
      <c r="AZ205" s="104" t="str">
        <f>IF('BMP P Tracking Table'!$AL205="Yes",IF('BMP P Tracking Table'!$AM205="No",'BMP P Tracking Table'!$V205*VLOOKUP('BMP P Tracking Table'!$R205,'Loading Rates'!$B$1:$L$24,4,FALSE)+IF('BMP P Tracking Table'!$W205="By HSG",'BMP P Tracking Table'!$X205*VLOOKUP('BMP P Tracking Table'!$R205,'Loading Rates'!$B$1:$L$24,6,FALSE)+'BMP P Tracking Table'!$Y205*VLOOKUP('BMP P Tracking Table'!$R205,'Loading Rates'!$B$1:$L$24,7,FALSE)+'BMP P Tracking Table'!$Z205*VLOOKUP('BMP P Tracking Table'!$R205,'Loading Rates'!$B$1:$L$24,8,FALSE)+'BMP P Tracking Table'!$AA205*VLOOKUP('BMP P Tracking Table'!$R205,'Loading Rates'!$B$1:$L$24,9,FALSE),'BMP P Tracking Table'!$AB205*VLOOKUP('BMP P Tracking Table'!$R205,'Loading Rates'!$B$1:$L$24,10,FALSE)),'BMP P Tracking Table'!$AP205*VLOOKUP('BMP P Tracking Table'!$R205,'Loading Rates'!$B$1:$L$24,4,FALSE)+IF('BMP P Tracking Table'!$AQ205="By HSG",'BMP P Tracking Table'!$AR205*VLOOKUP('BMP P Tracking Table'!$R205,'Loading Rates'!$B$1:$L$24,6,FALSE)+'BMP P Tracking Table'!$AS205*VLOOKUP('BMP P Tracking Table'!$R205,'Loading Rates'!$B$1:$L$24,7,FALSE)+'BMP P Tracking Table'!$AT205*VLOOKUP('BMP P Tracking Table'!$R205,'Loading Rates'!$B$1:$L$24,8,FALSE)+'BMP P Tracking Table'!$AU205*VLOOKUP('BMP P Tracking Table'!$R205,'Loading Rates'!$B$1:$L$24,9,FALSE),'BMP P Tracking Table'!$AV205*VLOOKUP('BMP P Tracking Table'!$R205,'Loading Rates'!$B$1:$L$24,10,FALSE))),"")</f>
        <v/>
      </c>
      <c r="BA205" s="104" t="str">
        <f>IFERROR(IF('BMP P Tracking Table'!$AM205="Yes",MIN(2,IF('BMP P Tracking Table'!$AQ205="Total Pervious",(-(3630*'BMP P Tracking Table'!$AP205+20.691*'BMP P Tracking Table'!$AV205)+SQRT((3630*'BMP P Tracking Table'!$AP205+20.691*'BMP P Tracking Table'!$AV205)^2-(4*(996.798*'BMP P Tracking Table'!$AV205)*-'BMP P Tracking Table'!$AX205)))/(2*(996.798*'BMP P Tracking Table'!$AV205)),IF(SUM('BMP P Tracking Table'!$AR205:$AU205)=0,'BMP P Tracking Table'!$AV205/(-3630*'BMP P Tracking Table'!$AP205),(-(3630*'BMP P Tracking Table'!$AP205+20.691*'BMP P Tracking Table'!$AU205-216.711*'BMP P Tracking Table'!$AT205-83.853*'BMP P Tracking Table'!$AS205-42.834*'BMP P Tracking Table'!$AR205)+SQRT((3630*'BMP P Tracking Table'!$AP205+20.691*'BMP P Tracking Table'!$AU205-216.711*'BMP P Tracking Table'!$AT205-83.853*'BMP P Tracking Table'!$AS205-42.834*'BMP P Tracking Table'!$AR205)^2-(4*(149.919*'BMP P Tracking Table'!$AR205+236.676*'BMP P Tracking Table'!$AS205+726*'BMP P Tracking Table'!$AT205+996.798*'BMP P Tracking Table'!$AU205)*-'BMP P Tracking Table'!$AX205)))/(2*(149.919*'BMP P Tracking Table'!$AR205+236.676*'BMP P Tracking Table'!$AS205+726*'BMP P Tracking Table'!$AT205+996.798*'BMP P Tracking Table'!$AU205))))),MIN(2,IF('BMP P Tracking Table'!$AQ205="Total Pervious",(-(3630*'BMP P Tracking Table'!$V205+20.691*'BMP P Tracking Table'!$AB205)+SQRT((3630*'BMP P Tracking Table'!$V205+20.691*'BMP P Tracking Table'!$AB205)^2-(4*(996.798*'BMP P Tracking Table'!$AB205)*-'BMP P Tracking Table'!$AX205)))/(2*(996.798*'BMP P Tracking Table'!$AB205)),IF(SUM('BMP P Tracking Table'!$X205:$AA205)=0,'BMP P Tracking Table'!$AX205/(-3630*'BMP P Tracking Table'!$V205),(-(3630*'BMP P Tracking Table'!$V205+20.691*'BMP P Tracking Table'!$AA205-216.711*'BMP P Tracking Table'!$Z205-83.853*'BMP P Tracking Table'!$Y205-42.834*'BMP P Tracking Table'!$X205)+SQRT((3630*'BMP P Tracking Table'!$V205+20.691*'BMP P Tracking Table'!$AA205-216.711*'BMP P Tracking Table'!$Z205-83.853*'BMP P Tracking Table'!$Y205-42.834*'BMP P Tracking Table'!$X205)^2-(4*(149.919*'BMP P Tracking Table'!$X205+236.676*'BMP P Tracking Table'!$Y205+726*'BMP P Tracking Table'!$Z205+996.798*'BMP P Tracking Table'!$AA205)*-'BMP P Tracking Table'!$AX205)))/(2*(149.919*'BMP P Tracking Table'!$X205+236.676*'BMP P Tracking Table'!$Y205+726*'BMP P Tracking Table'!$Z205+996.798*'BMP P Tracking Table'!$AA205)))))),"")</f>
        <v/>
      </c>
      <c r="BB205" s="102" t="str">
        <f>IFERROR((VLOOKUP(CONCATENATE('BMP P Tracking Table'!$AW205," ",'BMP P Tracking Table'!$AY205),'Performance Curves'!$C$1:$L$46,_xlfn.SINGLE(MATCH('BMP P Tracking Table'!$BA205,'Performance Curves'!$D$1:$L$1,1))+2,FALSE)-VLOOKUP(CONCATENATE('BMP P Tracking Table'!$AW205," ",'BMP P Tracking Table'!$AY205),'Performance Curves'!$C$1:$L$46,_xlfn.SINGLE(MATCH('BMP P Tracking Table'!$BA205,'Performance Curves'!$D$1:$L$1,1))+1,FALSE)),"")</f>
        <v/>
      </c>
      <c r="BC205" s="102" t="str">
        <f>IFERROR(('BMP P Tracking Table'!$BA205-INDEX('Performance Curves'!$D$1:$L$1,1,MATCH('BMP P Tracking Table'!$BA205,'Performance Curves'!$D$1:$L$1,1)))/(INDEX('Performance Curves'!$D$1:$L$1,1,MATCH('BMP P Tracking Table'!$BA205,'Performance Curves'!$D$1:$L$1,1)+1)-INDEX('Performance Curves'!$D$1:$L$1,1,MATCH('BMP P Tracking Table'!$BA205,'Performance Curves'!$D$1:$L$1,1))),"")</f>
        <v/>
      </c>
      <c r="BD205" s="103" t="str" cm="1">
        <f t="array" ref="BD205">IFERROR(IF('BMP P Tracking Table'!$BA205=2,VLOOKUP(CONCATENATE('BMP P Tracking Table'!$AW205," ",'BMP P Tracking Table'!$AY205),'Performance Curves'!$C$1:$L$44,_xlfn.SINGLE(MATCH('BMP P Tracking Table'!$BA205,'Performance Curves'!$D$1:$L$1,1))+1,FALSE),'BMP P Tracking Table'!$BB205*'BMP P Tracking Table'!$BC205+VLOOKUP(CONCATENATE('BMP P Tracking Table'!$AW205," ",'BMP P Tracking Table'!$AY205),'Performance Curves'!$C$1:$L$44,_xlfn.SINGLE(MATCH('BMP P Tracking Table'!$BA205,'Performance Curves'!$D$1:$L$1,1))+1,FALSE)),"")</f>
        <v/>
      </c>
      <c r="BE205" s="104" t="str">
        <f>IFERROR('BMP P Tracking Table'!$BD205*'BMP P Tracking Table'!$AZ205,"")</f>
        <v/>
      </c>
      <c r="BF205" s="98"/>
      <c r="BG205" s="37">
        <f t="shared" si="34"/>
        <v>0</v>
      </c>
    </row>
    <row r="206" spans="2:59" s="36" customFormat="1">
      <c r="B206" s="65"/>
      <c r="C206" s="65"/>
      <c r="D206" s="65"/>
      <c r="E206" s="65"/>
      <c r="F206" s="94"/>
      <c r="G206" s="94"/>
      <c r="H206" s="65"/>
      <c r="I206" s="65"/>
      <c r="J206" s="65"/>
      <c r="K206" s="95"/>
      <c r="L206" s="65"/>
      <c r="M206" s="65"/>
      <c r="N206" s="65"/>
      <c r="O206" s="65"/>
      <c r="P206" s="65"/>
      <c r="Q206" s="65"/>
      <c r="R206" s="65" t="str">
        <f>IFERROR(VLOOKUP('BMP P Tracking Table'!$Q206,Dropdowns!$C$2:$E$15,3,FALSE),"")</f>
        <v/>
      </c>
      <c r="S206" s="65" t="str">
        <f>IFERROR(VLOOKUP('BMP P Tracking Table'!$R206,Dropdowns!$Q$3:$R$23,2,FALSE),"")</f>
        <v/>
      </c>
      <c r="T206" s="65"/>
      <c r="U206" s="65"/>
      <c r="V206" s="65"/>
      <c r="W206" s="65"/>
      <c r="X206" s="65"/>
      <c r="Y206" s="65"/>
      <c r="Z206" s="65"/>
      <c r="AA206" s="65"/>
      <c r="AB206" s="65"/>
      <c r="AC206" s="97"/>
      <c r="AD206" s="65"/>
      <c r="AE206" s="104" t="str">
        <f>IFERROR('BMP P Tracking Table'!$V206*VLOOKUP('BMP P Tracking Table'!$R206,'Loading Rates'!$B$1:$L$24,4,FALSE)+IF('BMP P Tracking Table'!$W206="By HSG",'BMP P Tracking Table'!$X206*VLOOKUP('BMP P Tracking Table'!$R206,'Loading Rates'!$B$1:$L$24,6,FALSE)+'BMP P Tracking Table'!$Y206*VLOOKUP('BMP P Tracking Table'!$R206,'Loading Rates'!$B$1:$L$24,7,FALSE)+'BMP P Tracking Table'!$Z206*VLOOKUP('BMP P Tracking Table'!$R206,'Loading Rates'!$B$1:$L$24,8,FALSE)+'BMP P Tracking Table'!$AA206*VLOOKUP('BMP P Tracking Table'!$R206,'Loading Rates'!$B$1:$L$24,9,FALSE),'BMP P Tracking Table'!$AB206*VLOOKUP('BMP P Tracking Table'!$R206,'Loading Rates'!$B$1:$L$24,10,FALSE)),"")</f>
        <v/>
      </c>
      <c r="AF206" s="104" t="str">
        <f>IFERROR(MIN(2,IF('BMP P Tracking Table'!$W206="Total Pervious",(-(3630*'BMP P Tracking Table'!$V206+20.691*'BMP P Tracking Table'!$AB206)+SQRT((3630*'BMP P Tracking Table'!$V206+20.691*'BMP P Tracking Table'!$AB206)^2-(4*(996.798*'BMP P Tracking Table'!$AB206)*-'BMP P Tracking Table'!$AC206)))/(2*(996.798*'BMP P Tracking Table'!$AB206)),IF(SUM('BMP P Tracking Table'!$X206:$AA206)=0,'BMP P Tracking Table'!$AC206/(-3630*'BMP P Tracking Table'!$V206),(-(3630*'BMP P Tracking Table'!$V206+20.691*'BMP P Tracking Table'!$AA206-216.711*'BMP P Tracking Table'!$Z206-83.853*'BMP P Tracking Table'!$Y206-42.834*'BMP P Tracking Table'!$X206)+SQRT((3630*'BMP P Tracking Table'!$V206+20.691*'BMP P Tracking Table'!$AA206-216.711*'BMP P Tracking Table'!$Z206-83.853*'BMP P Tracking Table'!$Y206-42.834*'BMP P Tracking Table'!$X206)^2-(4*(149.919*'BMP P Tracking Table'!$X206+236.676*'BMP P Tracking Table'!$Y206+726*'BMP P Tracking Table'!$Z206+996.798*'BMP P Tracking Table'!$AA206)*-'BMP P Tracking Table'!$AC206)))/(2*(149.919*'BMP P Tracking Table'!$X206+236.676*'BMP P Tracking Table'!$Y206+726*'BMP P Tracking Table'!$Z206+996.798*'BMP P Tracking Table'!$AA206))))),"")</f>
        <v/>
      </c>
      <c r="AG206" s="104" t="str">
        <f>IFERROR((VLOOKUP(CONCATENATE('BMP P Tracking Table'!$U206," ",'BMP P Tracking Table'!$AD206),'Performance Curves'!$C$1:$L$46,_xlfn.SINGLE(MATCH('BMP P Tracking Table'!$AF206,'Performance Curves'!$D$1:$L$1,1))+2,FALSE)-VLOOKUP(CONCATENATE('BMP P Tracking Table'!$U206," ",'BMP P Tracking Table'!$AD206),'Performance Curves'!$C$1:$L$46,_xlfn.SINGLE(MATCH('BMP P Tracking Table'!$AF206,'Performance Curves'!$D$1:$L$1,1))+1,FALSE)),"")</f>
        <v/>
      </c>
      <c r="AH206" s="104" t="str">
        <f>IFERROR(('BMP P Tracking Table'!$AF206-INDEX('Performance Curves'!$D$1:$L$1,1,MATCH('BMP P Tracking Table'!$AF206,'Performance Curves'!$D$1:$L$1,1)))/(INDEX('Performance Curves'!$D$1:$L$1,1,MATCH('BMP P Tracking Table'!$AF206,'Performance Curves'!$D$1:$L$1,1)+1)-INDEX('Performance Curves'!$D$1:$L$1,1,MATCH('BMP P Tracking Table'!$AF206,'Performance Curves'!$D$1:$L$1,1))),"")</f>
        <v/>
      </c>
      <c r="AI206" s="103" t="str">
        <f>IFERROR(IF('BMP P Tracking Table'!$AF206=2,VLOOKUP(CONCATENATE('BMP P Tracking Table'!$U206," ",'BMP P Tracking Table'!$AD206),'Performance Curves'!$C$1:$L$46,_xlfn.SINGLE(MATCH('BMP P Tracking Table'!$AF206,'Performance Curves'!$D$1:$L$1,1))+1,FALSE),'BMP P Tracking Table'!$AG206*'BMP P Tracking Table'!$AH206+VLOOKUP(CONCATENATE('BMP P Tracking Table'!$U206," ",'BMP P Tracking Table'!$AD206),'Performance Curves'!$C$1:$L$46,_xlfn.SINGLE(MATCH('BMP P Tracking Table'!$AF206,'Performance Curves'!$D$1:$L$1,1))+1,FALSE)),"")</f>
        <v/>
      </c>
      <c r="AJ206" s="104" t="str">
        <f>IFERROR('BMP P Tracking Table'!$AI206*'BMP P Tracking Table'!$AE206,"")</f>
        <v/>
      </c>
      <c r="AK206" s="65"/>
      <c r="AL206" s="98"/>
      <c r="AM206" s="98"/>
      <c r="AN206" s="64">
        <v>1</v>
      </c>
      <c r="AO206" s="102" t="str">
        <f t="shared" si="33"/>
        <v/>
      </c>
      <c r="AP206" s="98"/>
      <c r="AQ206" s="98"/>
      <c r="AR206" s="98"/>
      <c r="AS206" s="98"/>
      <c r="AT206" s="98"/>
      <c r="AU206" s="98"/>
      <c r="AV206" s="98"/>
      <c r="AW206" s="65"/>
      <c r="AX206" s="99"/>
      <c r="AY206" s="99"/>
      <c r="AZ206" s="104" t="str">
        <f>IF('BMP P Tracking Table'!$AL206="Yes",IF('BMP P Tracking Table'!$AM206="No",'BMP P Tracking Table'!$V206*VLOOKUP('BMP P Tracking Table'!$R206,'Loading Rates'!$B$1:$L$24,4,FALSE)+IF('BMP P Tracking Table'!$W206="By HSG",'BMP P Tracking Table'!$X206*VLOOKUP('BMP P Tracking Table'!$R206,'Loading Rates'!$B$1:$L$24,6,FALSE)+'BMP P Tracking Table'!$Y206*VLOOKUP('BMP P Tracking Table'!$R206,'Loading Rates'!$B$1:$L$24,7,FALSE)+'BMP P Tracking Table'!$Z206*VLOOKUP('BMP P Tracking Table'!$R206,'Loading Rates'!$B$1:$L$24,8,FALSE)+'BMP P Tracking Table'!$AA206*VLOOKUP('BMP P Tracking Table'!$R206,'Loading Rates'!$B$1:$L$24,9,FALSE),'BMP P Tracking Table'!$AB206*VLOOKUP('BMP P Tracking Table'!$R206,'Loading Rates'!$B$1:$L$24,10,FALSE)),'BMP P Tracking Table'!$AP206*VLOOKUP('BMP P Tracking Table'!$R206,'Loading Rates'!$B$1:$L$24,4,FALSE)+IF('BMP P Tracking Table'!$AQ206="By HSG",'BMP P Tracking Table'!$AR206*VLOOKUP('BMP P Tracking Table'!$R206,'Loading Rates'!$B$1:$L$24,6,FALSE)+'BMP P Tracking Table'!$AS206*VLOOKUP('BMP P Tracking Table'!$R206,'Loading Rates'!$B$1:$L$24,7,FALSE)+'BMP P Tracking Table'!$AT206*VLOOKUP('BMP P Tracking Table'!$R206,'Loading Rates'!$B$1:$L$24,8,FALSE)+'BMP P Tracking Table'!$AU206*VLOOKUP('BMP P Tracking Table'!$R206,'Loading Rates'!$B$1:$L$24,9,FALSE),'BMP P Tracking Table'!$AV206*VLOOKUP('BMP P Tracking Table'!$R206,'Loading Rates'!$B$1:$L$24,10,FALSE))),"")</f>
        <v/>
      </c>
      <c r="BA206" s="104" t="str">
        <f>IFERROR(IF('BMP P Tracking Table'!$AM206="Yes",MIN(2,IF('BMP P Tracking Table'!$AQ206="Total Pervious",(-(3630*'BMP P Tracking Table'!$AP206+20.691*'BMP P Tracking Table'!$AV206)+SQRT((3630*'BMP P Tracking Table'!$AP206+20.691*'BMP P Tracking Table'!$AV206)^2-(4*(996.798*'BMP P Tracking Table'!$AV206)*-'BMP P Tracking Table'!$AX206)))/(2*(996.798*'BMP P Tracking Table'!$AV206)),IF(SUM('BMP P Tracking Table'!$AR206:$AU206)=0,'BMP P Tracking Table'!$AV206/(-3630*'BMP P Tracking Table'!$AP206),(-(3630*'BMP P Tracking Table'!$AP206+20.691*'BMP P Tracking Table'!$AU206-216.711*'BMP P Tracking Table'!$AT206-83.853*'BMP P Tracking Table'!$AS206-42.834*'BMP P Tracking Table'!$AR206)+SQRT((3630*'BMP P Tracking Table'!$AP206+20.691*'BMP P Tracking Table'!$AU206-216.711*'BMP P Tracking Table'!$AT206-83.853*'BMP P Tracking Table'!$AS206-42.834*'BMP P Tracking Table'!$AR206)^2-(4*(149.919*'BMP P Tracking Table'!$AR206+236.676*'BMP P Tracking Table'!$AS206+726*'BMP P Tracking Table'!$AT206+996.798*'BMP P Tracking Table'!$AU206)*-'BMP P Tracking Table'!$AX206)))/(2*(149.919*'BMP P Tracking Table'!$AR206+236.676*'BMP P Tracking Table'!$AS206+726*'BMP P Tracking Table'!$AT206+996.798*'BMP P Tracking Table'!$AU206))))),MIN(2,IF('BMP P Tracking Table'!$AQ206="Total Pervious",(-(3630*'BMP P Tracking Table'!$V206+20.691*'BMP P Tracking Table'!$AB206)+SQRT((3630*'BMP P Tracking Table'!$V206+20.691*'BMP P Tracking Table'!$AB206)^2-(4*(996.798*'BMP P Tracking Table'!$AB206)*-'BMP P Tracking Table'!$AX206)))/(2*(996.798*'BMP P Tracking Table'!$AB206)),IF(SUM('BMP P Tracking Table'!$X206:$AA206)=0,'BMP P Tracking Table'!$AX206/(-3630*'BMP P Tracking Table'!$V206),(-(3630*'BMP P Tracking Table'!$V206+20.691*'BMP P Tracking Table'!$AA206-216.711*'BMP P Tracking Table'!$Z206-83.853*'BMP P Tracking Table'!$Y206-42.834*'BMP P Tracking Table'!$X206)+SQRT((3630*'BMP P Tracking Table'!$V206+20.691*'BMP P Tracking Table'!$AA206-216.711*'BMP P Tracking Table'!$Z206-83.853*'BMP P Tracking Table'!$Y206-42.834*'BMP P Tracking Table'!$X206)^2-(4*(149.919*'BMP P Tracking Table'!$X206+236.676*'BMP P Tracking Table'!$Y206+726*'BMP P Tracking Table'!$Z206+996.798*'BMP P Tracking Table'!$AA206)*-'BMP P Tracking Table'!$AX206)))/(2*(149.919*'BMP P Tracking Table'!$X206+236.676*'BMP P Tracking Table'!$Y206+726*'BMP P Tracking Table'!$Z206+996.798*'BMP P Tracking Table'!$AA206)))))),"")</f>
        <v/>
      </c>
      <c r="BB206" s="102" t="str">
        <f>IFERROR((VLOOKUP(CONCATENATE('BMP P Tracking Table'!$AW206," ",'BMP P Tracking Table'!$AY206),'Performance Curves'!$C$1:$L$46,_xlfn.SINGLE(MATCH('BMP P Tracking Table'!$BA206,'Performance Curves'!$D$1:$L$1,1))+2,FALSE)-VLOOKUP(CONCATENATE('BMP P Tracking Table'!$AW206," ",'BMP P Tracking Table'!$AY206),'Performance Curves'!$C$1:$L$46,_xlfn.SINGLE(MATCH('BMP P Tracking Table'!$BA206,'Performance Curves'!$D$1:$L$1,1))+1,FALSE)),"")</f>
        <v/>
      </c>
      <c r="BC206" s="102" t="str">
        <f>IFERROR(('BMP P Tracking Table'!$BA206-INDEX('Performance Curves'!$D$1:$L$1,1,MATCH('BMP P Tracking Table'!$BA206,'Performance Curves'!$D$1:$L$1,1)))/(INDEX('Performance Curves'!$D$1:$L$1,1,MATCH('BMP P Tracking Table'!$BA206,'Performance Curves'!$D$1:$L$1,1)+1)-INDEX('Performance Curves'!$D$1:$L$1,1,MATCH('BMP P Tracking Table'!$BA206,'Performance Curves'!$D$1:$L$1,1))),"")</f>
        <v/>
      </c>
      <c r="BD206" s="103" t="str" cm="1">
        <f t="array" ref="BD206">IFERROR(IF('BMP P Tracking Table'!$BA206=2,VLOOKUP(CONCATENATE('BMP P Tracking Table'!$AW206," ",'BMP P Tracking Table'!$AY206),'Performance Curves'!$C$1:$L$44,_xlfn.SINGLE(MATCH('BMP P Tracking Table'!$BA206,'Performance Curves'!$D$1:$L$1,1))+1,FALSE),'BMP P Tracking Table'!$BB206*'BMP P Tracking Table'!$BC206+VLOOKUP(CONCATENATE('BMP P Tracking Table'!$AW206," ",'BMP P Tracking Table'!$AY206),'Performance Curves'!$C$1:$L$44,_xlfn.SINGLE(MATCH('BMP P Tracking Table'!$BA206,'Performance Curves'!$D$1:$L$1,1))+1,FALSE)),"")</f>
        <v/>
      </c>
      <c r="BE206" s="104" t="str">
        <f>IFERROR('BMP P Tracking Table'!$BD206*'BMP P Tracking Table'!$AZ206,"")</f>
        <v/>
      </c>
      <c r="BF206" s="98"/>
      <c r="BG206" s="37">
        <f t="shared" si="34"/>
        <v>0</v>
      </c>
    </row>
    <row r="207" spans="2:59" s="36" customFormat="1">
      <c r="B207" s="65"/>
      <c r="C207" s="65"/>
      <c r="D207" s="65"/>
      <c r="E207" s="65"/>
      <c r="F207" s="94"/>
      <c r="G207" s="94"/>
      <c r="H207" s="65"/>
      <c r="I207" s="65"/>
      <c r="J207" s="65"/>
      <c r="K207" s="95"/>
      <c r="L207" s="65"/>
      <c r="M207" s="65"/>
      <c r="N207" s="65"/>
      <c r="O207" s="65"/>
      <c r="P207" s="65"/>
      <c r="Q207" s="65"/>
      <c r="R207" s="65" t="str">
        <f>IFERROR(VLOOKUP('BMP P Tracking Table'!$Q207,Dropdowns!$C$2:$E$15,3,FALSE),"")</f>
        <v/>
      </c>
      <c r="S207" s="65" t="str">
        <f>IFERROR(VLOOKUP('BMP P Tracking Table'!$R207,Dropdowns!$Q$3:$R$23,2,FALSE),"")</f>
        <v/>
      </c>
      <c r="T207" s="65"/>
      <c r="U207" s="65"/>
      <c r="V207" s="65"/>
      <c r="W207" s="65"/>
      <c r="X207" s="65"/>
      <c r="Y207" s="65"/>
      <c r="Z207" s="65"/>
      <c r="AA207" s="65"/>
      <c r="AB207" s="65"/>
      <c r="AC207" s="97"/>
      <c r="AD207" s="65"/>
      <c r="AE207" s="104" t="str">
        <f>IFERROR('BMP P Tracking Table'!$V207*VLOOKUP('BMP P Tracking Table'!$R207,'Loading Rates'!$B$1:$L$24,4,FALSE)+IF('BMP P Tracking Table'!$W207="By HSG",'BMP P Tracking Table'!$X207*VLOOKUP('BMP P Tracking Table'!$R207,'Loading Rates'!$B$1:$L$24,6,FALSE)+'BMP P Tracking Table'!$Y207*VLOOKUP('BMP P Tracking Table'!$R207,'Loading Rates'!$B$1:$L$24,7,FALSE)+'BMP P Tracking Table'!$Z207*VLOOKUP('BMP P Tracking Table'!$R207,'Loading Rates'!$B$1:$L$24,8,FALSE)+'BMP P Tracking Table'!$AA207*VLOOKUP('BMP P Tracking Table'!$R207,'Loading Rates'!$B$1:$L$24,9,FALSE),'BMP P Tracking Table'!$AB207*VLOOKUP('BMP P Tracking Table'!$R207,'Loading Rates'!$B$1:$L$24,10,FALSE)),"")</f>
        <v/>
      </c>
      <c r="AF207" s="104" t="str">
        <f>IFERROR(MIN(2,IF('BMP P Tracking Table'!$W207="Total Pervious",(-(3630*'BMP P Tracking Table'!$V207+20.691*'BMP P Tracking Table'!$AB207)+SQRT((3630*'BMP P Tracking Table'!$V207+20.691*'BMP P Tracking Table'!$AB207)^2-(4*(996.798*'BMP P Tracking Table'!$AB207)*-'BMP P Tracking Table'!$AC207)))/(2*(996.798*'BMP P Tracking Table'!$AB207)),IF(SUM('BMP P Tracking Table'!$X207:$AA207)=0,'BMP P Tracking Table'!$AC207/(-3630*'BMP P Tracking Table'!$V207),(-(3630*'BMP P Tracking Table'!$V207+20.691*'BMP P Tracking Table'!$AA207-216.711*'BMP P Tracking Table'!$Z207-83.853*'BMP P Tracking Table'!$Y207-42.834*'BMP P Tracking Table'!$X207)+SQRT((3630*'BMP P Tracking Table'!$V207+20.691*'BMP P Tracking Table'!$AA207-216.711*'BMP P Tracking Table'!$Z207-83.853*'BMP P Tracking Table'!$Y207-42.834*'BMP P Tracking Table'!$X207)^2-(4*(149.919*'BMP P Tracking Table'!$X207+236.676*'BMP P Tracking Table'!$Y207+726*'BMP P Tracking Table'!$Z207+996.798*'BMP P Tracking Table'!$AA207)*-'BMP P Tracking Table'!$AC207)))/(2*(149.919*'BMP P Tracking Table'!$X207+236.676*'BMP P Tracking Table'!$Y207+726*'BMP P Tracking Table'!$Z207+996.798*'BMP P Tracking Table'!$AA207))))),"")</f>
        <v/>
      </c>
      <c r="AG207" s="104" t="str">
        <f>IFERROR((VLOOKUP(CONCATENATE('BMP P Tracking Table'!$U207," ",'BMP P Tracking Table'!$AD207),'Performance Curves'!$C$1:$L$46,_xlfn.SINGLE(MATCH('BMP P Tracking Table'!$AF207,'Performance Curves'!$D$1:$L$1,1))+2,FALSE)-VLOOKUP(CONCATENATE('BMP P Tracking Table'!$U207," ",'BMP P Tracking Table'!$AD207),'Performance Curves'!$C$1:$L$46,_xlfn.SINGLE(MATCH('BMP P Tracking Table'!$AF207,'Performance Curves'!$D$1:$L$1,1))+1,FALSE)),"")</f>
        <v/>
      </c>
      <c r="AH207" s="104" t="str">
        <f>IFERROR(('BMP P Tracking Table'!$AF207-INDEX('Performance Curves'!$D$1:$L$1,1,MATCH('BMP P Tracking Table'!$AF207,'Performance Curves'!$D$1:$L$1,1)))/(INDEX('Performance Curves'!$D$1:$L$1,1,MATCH('BMP P Tracking Table'!$AF207,'Performance Curves'!$D$1:$L$1,1)+1)-INDEX('Performance Curves'!$D$1:$L$1,1,MATCH('BMP P Tracking Table'!$AF207,'Performance Curves'!$D$1:$L$1,1))),"")</f>
        <v/>
      </c>
      <c r="AI207" s="103" t="str">
        <f>IFERROR(IF('BMP P Tracking Table'!$AF207=2,VLOOKUP(CONCATENATE('BMP P Tracking Table'!$U207," ",'BMP P Tracking Table'!$AD207),'Performance Curves'!$C$1:$L$46,_xlfn.SINGLE(MATCH('BMP P Tracking Table'!$AF207,'Performance Curves'!$D$1:$L$1,1))+1,FALSE),'BMP P Tracking Table'!$AG207*'BMP P Tracking Table'!$AH207+VLOOKUP(CONCATENATE('BMP P Tracking Table'!$U207," ",'BMP P Tracking Table'!$AD207),'Performance Curves'!$C$1:$L$46,_xlfn.SINGLE(MATCH('BMP P Tracking Table'!$AF207,'Performance Curves'!$D$1:$L$1,1))+1,FALSE)),"")</f>
        <v/>
      </c>
      <c r="AJ207" s="104" t="str">
        <f>IFERROR('BMP P Tracking Table'!$AI207*'BMP P Tracking Table'!$AE207,"")</f>
        <v/>
      </c>
      <c r="AK207" s="65"/>
      <c r="AL207" s="98"/>
      <c r="AM207" s="98"/>
      <c r="AN207" s="64">
        <v>1</v>
      </c>
      <c r="AO207" s="102" t="str">
        <f t="shared" si="33"/>
        <v/>
      </c>
      <c r="AP207" s="98"/>
      <c r="AQ207" s="98"/>
      <c r="AR207" s="98"/>
      <c r="AS207" s="98"/>
      <c r="AT207" s="98"/>
      <c r="AU207" s="98"/>
      <c r="AV207" s="98"/>
      <c r="AW207" s="65"/>
      <c r="AX207" s="99"/>
      <c r="AY207" s="99"/>
      <c r="AZ207" s="104" t="str">
        <f>IF('BMP P Tracking Table'!$AL207="Yes",IF('BMP P Tracking Table'!$AM207="No",'BMP P Tracking Table'!$V207*VLOOKUP('BMP P Tracking Table'!$R207,'Loading Rates'!$B$1:$L$24,4,FALSE)+IF('BMP P Tracking Table'!$W207="By HSG",'BMP P Tracking Table'!$X207*VLOOKUP('BMP P Tracking Table'!$R207,'Loading Rates'!$B$1:$L$24,6,FALSE)+'BMP P Tracking Table'!$Y207*VLOOKUP('BMP P Tracking Table'!$R207,'Loading Rates'!$B$1:$L$24,7,FALSE)+'BMP P Tracking Table'!$Z207*VLOOKUP('BMP P Tracking Table'!$R207,'Loading Rates'!$B$1:$L$24,8,FALSE)+'BMP P Tracking Table'!$AA207*VLOOKUP('BMP P Tracking Table'!$R207,'Loading Rates'!$B$1:$L$24,9,FALSE),'BMP P Tracking Table'!$AB207*VLOOKUP('BMP P Tracking Table'!$R207,'Loading Rates'!$B$1:$L$24,10,FALSE)),'BMP P Tracking Table'!$AP207*VLOOKUP('BMP P Tracking Table'!$R207,'Loading Rates'!$B$1:$L$24,4,FALSE)+IF('BMP P Tracking Table'!$AQ207="By HSG",'BMP P Tracking Table'!$AR207*VLOOKUP('BMP P Tracking Table'!$R207,'Loading Rates'!$B$1:$L$24,6,FALSE)+'BMP P Tracking Table'!$AS207*VLOOKUP('BMP P Tracking Table'!$R207,'Loading Rates'!$B$1:$L$24,7,FALSE)+'BMP P Tracking Table'!$AT207*VLOOKUP('BMP P Tracking Table'!$R207,'Loading Rates'!$B$1:$L$24,8,FALSE)+'BMP P Tracking Table'!$AU207*VLOOKUP('BMP P Tracking Table'!$R207,'Loading Rates'!$B$1:$L$24,9,FALSE),'BMP P Tracking Table'!$AV207*VLOOKUP('BMP P Tracking Table'!$R207,'Loading Rates'!$B$1:$L$24,10,FALSE))),"")</f>
        <v/>
      </c>
      <c r="BA207" s="104" t="str">
        <f>IFERROR(IF('BMP P Tracking Table'!$AM207="Yes",MIN(2,IF('BMP P Tracking Table'!$AQ207="Total Pervious",(-(3630*'BMP P Tracking Table'!$AP207+20.691*'BMP P Tracking Table'!$AV207)+SQRT((3630*'BMP P Tracking Table'!$AP207+20.691*'BMP P Tracking Table'!$AV207)^2-(4*(996.798*'BMP P Tracking Table'!$AV207)*-'BMP P Tracking Table'!$AX207)))/(2*(996.798*'BMP P Tracking Table'!$AV207)),IF(SUM('BMP P Tracking Table'!$AR207:$AU207)=0,'BMP P Tracking Table'!$AV207/(-3630*'BMP P Tracking Table'!$AP207),(-(3630*'BMP P Tracking Table'!$AP207+20.691*'BMP P Tracking Table'!$AU207-216.711*'BMP P Tracking Table'!$AT207-83.853*'BMP P Tracking Table'!$AS207-42.834*'BMP P Tracking Table'!$AR207)+SQRT((3630*'BMP P Tracking Table'!$AP207+20.691*'BMP P Tracking Table'!$AU207-216.711*'BMP P Tracking Table'!$AT207-83.853*'BMP P Tracking Table'!$AS207-42.834*'BMP P Tracking Table'!$AR207)^2-(4*(149.919*'BMP P Tracking Table'!$AR207+236.676*'BMP P Tracking Table'!$AS207+726*'BMP P Tracking Table'!$AT207+996.798*'BMP P Tracking Table'!$AU207)*-'BMP P Tracking Table'!$AX207)))/(2*(149.919*'BMP P Tracking Table'!$AR207+236.676*'BMP P Tracking Table'!$AS207+726*'BMP P Tracking Table'!$AT207+996.798*'BMP P Tracking Table'!$AU207))))),MIN(2,IF('BMP P Tracking Table'!$AQ207="Total Pervious",(-(3630*'BMP P Tracking Table'!$V207+20.691*'BMP P Tracking Table'!$AB207)+SQRT((3630*'BMP P Tracking Table'!$V207+20.691*'BMP P Tracking Table'!$AB207)^2-(4*(996.798*'BMP P Tracking Table'!$AB207)*-'BMP P Tracking Table'!$AX207)))/(2*(996.798*'BMP P Tracking Table'!$AB207)),IF(SUM('BMP P Tracking Table'!$X207:$AA207)=0,'BMP P Tracking Table'!$AX207/(-3630*'BMP P Tracking Table'!$V207),(-(3630*'BMP P Tracking Table'!$V207+20.691*'BMP P Tracking Table'!$AA207-216.711*'BMP P Tracking Table'!$Z207-83.853*'BMP P Tracking Table'!$Y207-42.834*'BMP P Tracking Table'!$X207)+SQRT((3630*'BMP P Tracking Table'!$V207+20.691*'BMP P Tracking Table'!$AA207-216.711*'BMP P Tracking Table'!$Z207-83.853*'BMP P Tracking Table'!$Y207-42.834*'BMP P Tracking Table'!$X207)^2-(4*(149.919*'BMP P Tracking Table'!$X207+236.676*'BMP P Tracking Table'!$Y207+726*'BMP P Tracking Table'!$Z207+996.798*'BMP P Tracking Table'!$AA207)*-'BMP P Tracking Table'!$AX207)))/(2*(149.919*'BMP P Tracking Table'!$X207+236.676*'BMP P Tracking Table'!$Y207+726*'BMP P Tracking Table'!$Z207+996.798*'BMP P Tracking Table'!$AA207)))))),"")</f>
        <v/>
      </c>
      <c r="BB207" s="102" t="str">
        <f>IFERROR((VLOOKUP(CONCATENATE('BMP P Tracking Table'!$AW207," ",'BMP P Tracking Table'!$AY207),'Performance Curves'!$C$1:$L$46,_xlfn.SINGLE(MATCH('BMP P Tracking Table'!$BA207,'Performance Curves'!$D$1:$L$1,1))+2,FALSE)-VLOOKUP(CONCATENATE('BMP P Tracking Table'!$AW207," ",'BMP P Tracking Table'!$AY207),'Performance Curves'!$C$1:$L$46,_xlfn.SINGLE(MATCH('BMP P Tracking Table'!$BA207,'Performance Curves'!$D$1:$L$1,1))+1,FALSE)),"")</f>
        <v/>
      </c>
      <c r="BC207" s="102" t="str">
        <f>IFERROR(('BMP P Tracking Table'!$BA207-INDEX('Performance Curves'!$D$1:$L$1,1,MATCH('BMP P Tracking Table'!$BA207,'Performance Curves'!$D$1:$L$1,1)))/(INDEX('Performance Curves'!$D$1:$L$1,1,MATCH('BMP P Tracking Table'!$BA207,'Performance Curves'!$D$1:$L$1,1)+1)-INDEX('Performance Curves'!$D$1:$L$1,1,MATCH('BMP P Tracking Table'!$BA207,'Performance Curves'!$D$1:$L$1,1))),"")</f>
        <v/>
      </c>
      <c r="BD207" s="103" t="str" cm="1">
        <f t="array" ref="BD207">IFERROR(IF('BMP P Tracking Table'!$BA207=2,VLOOKUP(CONCATENATE('BMP P Tracking Table'!$AW207," ",'BMP P Tracking Table'!$AY207),'Performance Curves'!$C$1:$L$44,_xlfn.SINGLE(MATCH('BMP P Tracking Table'!$BA207,'Performance Curves'!$D$1:$L$1,1))+1,FALSE),'BMP P Tracking Table'!$BB207*'BMP P Tracking Table'!$BC207+VLOOKUP(CONCATENATE('BMP P Tracking Table'!$AW207," ",'BMP P Tracking Table'!$AY207),'Performance Curves'!$C$1:$L$44,_xlfn.SINGLE(MATCH('BMP P Tracking Table'!$BA207,'Performance Curves'!$D$1:$L$1,1))+1,FALSE)),"")</f>
        <v/>
      </c>
      <c r="BE207" s="104" t="str">
        <f>IFERROR('BMP P Tracking Table'!$BD207*'BMP P Tracking Table'!$AZ207,"")</f>
        <v/>
      </c>
      <c r="BF207" s="98"/>
      <c r="BG207" s="37">
        <f t="shared" si="34"/>
        <v>0</v>
      </c>
    </row>
    <row r="208" spans="2:59" s="36" customFormat="1">
      <c r="B208" s="65"/>
      <c r="C208" s="65"/>
      <c r="D208" s="65"/>
      <c r="E208" s="65"/>
      <c r="F208" s="94"/>
      <c r="G208" s="94"/>
      <c r="H208" s="65"/>
      <c r="I208" s="65"/>
      <c r="J208" s="65"/>
      <c r="K208" s="95"/>
      <c r="L208" s="65"/>
      <c r="M208" s="65"/>
      <c r="N208" s="65"/>
      <c r="O208" s="65"/>
      <c r="P208" s="65"/>
      <c r="Q208" s="65"/>
      <c r="R208" s="65" t="str">
        <f>IFERROR(VLOOKUP('BMP P Tracking Table'!$Q208,Dropdowns!$C$2:$E$15,3,FALSE),"")</f>
        <v/>
      </c>
      <c r="S208" s="65" t="str">
        <f>IFERROR(VLOOKUP('BMP P Tracking Table'!$R208,Dropdowns!$Q$3:$R$23,2,FALSE),"")</f>
        <v/>
      </c>
      <c r="T208" s="65"/>
      <c r="U208" s="65"/>
      <c r="V208" s="65"/>
      <c r="W208" s="65"/>
      <c r="X208" s="65"/>
      <c r="Y208" s="65"/>
      <c r="Z208" s="65"/>
      <c r="AA208" s="65"/>
      <c r="AB208" s="65"/>
      <c r="AC208" s="97"/>
      <c r="AD208" s="65"/>
      <c r="AE208" s="104" t="str">
        <f>IFERROR('BMP P Tracking Table'!$V208*VLOOKUP('BMP P Tracking Table'!$R208,'Loading Rates'!$B$1:$L$24,4,FALSE)+IF('BMP P Tracking Table'!$W208="By HSG",'BMP P Tracking Table'!$X208*VLOOKUP('BMP P Tracking Table'!$R208,'Loading Rates'!$B$1:$L$24,6,FALSE)+'BMP P Tracking Table'!$Y208*VLOOKUP('BMP P Tracking Table'!$R208,'Loading Rates'!$B$1:$L$24,7,FALSE)+'BMP P Tracking Table'!$Z208*VLOOKUP('BMP P Tracking Table'!$R208,'Loading Rates'!$B$1:$L$24,8,FALSE)+'BMP P Tracking Table'!$AA208*VLOOKUP('BMP P Tracking Table'!$R208,'Loading Rates'!$B$1:$L$24,9,FALSE),'BMP P Tracking Table'!$AB208*VLOOKUP('BMP P Tracking Table'!$R208,'Loading Rates'!$B$1:$L$24,10,FALSE)),"")</f>
        <v/>
      </c>
      <c r="AF208" s="104" t="str">
        <f>IFERROR(MIN(2,IF('BMP P Tracking Table'!$W208="Total Pervious",(-(3630*'BMP P Tracking Table'!$V208+20.691*'BMP P Tracking Table'!$AB208)+SQRT((3630*'BMP P Tracking Table'!$V208+20.691*'BMP P Tracking Table'!$AB208)^2-(4*(996.798*'BMP P Tracking Table'!$AB208)*-'BMP P Tracking Table'!$AC208)))/(2*(996.798*'BMP P Tracking Table'!$AB208)),IF(SUM('BMP P Tracking Table'!$X208:$AA208)=0,'BMP P Tracking Table'!$AC208/(-3630*'BMP P Tracking Table'!$V208),(-(3630*'BMP P Tracking Table'!$V208+20.691*'BMP P Tracking Table'!$AA208-216.711*'BMP P Tracking Table'!$Z208-83.853*'BMP P Tracking Table'!$Y208-42.834*'BMP P Tracking Table'!$X208)+SQRT((3630*'BMP P Tracking Table'!$V208+20.691*'BMP P Tracking Table'!$AA208-216.711*'BMP P Tracking Table'!$Z208-83.853*'BMP P Tracking Table'!$Y208-42.834*'BMP P Tracking Table'!$X208)^2-(4*(149.919*'BMP P Tracking Table'!$X208+236.676*'BMP P Tracking Table'!$Y208+726*'BMP P Tracking Table'!$Z208+996.798*'BMP P Tracking Table'!$AA208)*-'BMP P Tracking Table'!$AC208)))/(2*(149.919*'BMP P Tracking Table'!$X208+236.676*'BMP P Tracking Table'!$Y208+726*'BMP P Tracking Table'!$Z208+996.798*'BMP P Tracking Table'!$AA208))))),"")</f>
        <v/>
      </c>
      <c r="AG208" s="104" t="str">
        <f>IFERROR((VLOOKUP(CONCATENATE('BMP P Tracking Table'!$U208," ",'BMP P Tracking Table'!$AD208),'Performance Curves'!$C$1:$L$46,_xlfn.SINGLE(MATCH('BMP P Tracking Table'!$AF208,'Performance Curves'!$D$1:$L$1,1))+2,FALSE)-VLOOKUP(CONCATENATE('BMP P Tracking Table'!$U208," ",'BMP P Tracking Table'!$AD208),'Performance Curves'!$C$1:$L$46,_xlfn.SINGLE(MATCH('BMP P Tracking Table'!$AF208,'Performance Curves'!$D$1:$L$1,1))+1,FALSE)),"")</f>
        <v/>
      </c>
      <c r="AH208" s="104" t="str">
        <f>IFERROR(('BMP P Tracking Table'!$AF208-INDEX('Performance Curves'!$D$1:$L$1,1,MATCH('BMP P Tracking Table'!$AF208,'Performance Curves'!$D$1:$L$1,1)))/(INDEX('Performance Curves'!$D$1:$L$1,1,MATCH('BMP P Tracking Table'!$AF208,'Performance Curves'!$D$1:$L$1,1)+1)-INDEX('Performance Curves'!$D$1:$L$1,1,MATCH('BMP P Tracking Table'!$AF208,'Performance Curves'!$D$1:$L$1,1))),"")</f>
        <v/>
      </c>
      <c r="AI208" s="103" t="str">
        <f>IFERROR(IF('BMP P Tracking Table'!$AF208=2,VLOOKUP(CONCATENATE('BMP P Tracking Table'!$U208," ",'BMP P Tracking Table'!$AD208),'Performance Curves'!$C$1:$L$46,_xlfn.SINGLE(MATCH('BMP P Tracking Table'!$AF208,'Performance Curves'!$D$1:$L$1,1))+1,FALSE),'BMP P Tracking Table'!$AG208*'BMP P Tracking Table'!$AH208+VLOOKUP(CONCATENATE('BMP P Tracking Table'!$U208," ",'BMP P Tracking Table'!$AD208),'Performance Curves'!$C$1:$L$46,_xlfn.SINGLE(MATCH('BMP P Tracking Table'!$AF208,'Performance Curves'!$D$1:$L$1,1))+1,FALSE)),"")</f>
        <v/>
      </c>
      <c r="AJ208" s="104" t="str">
        <f>IFERROR('BMP P Tracking Table'!$AI208*'BMP P Tracking Table'!$AE208,"")</f>
        <v/>
      </c>
      <c r="AK208" s="65"/>
      <c r="AL208" s="98"/>
      <c r="AM208" s="98"/>
      <c r="AN208" s="64">
        <v>1</v>
      </c>
      <c r="AO208" s="102" t="str">
        <f t="shared" si="33"/>
        <v/>
      </c>
      <c r="AP208" s="98"/>
      <c r="AQ208" s="98"/>
      <c r="AR208" s="98"/>
      <c r="AS208" s="98"/>
      <c r="AT208" s="98"/>
      <c r="AU208" s="98"/>
      <c r="AV208" s="98"/>
      <c r="AW208" s="65"/>
      <c r="AX208" s="99"/>
      <c r="AY208" s="99"/>
      <c r="AZ208" s="104" t="str">
        <f>IF('BMP P Tracking Table'!$AL208="Yes",IF('BMP P Tracking Table'!$AM208="No",'BMP P Tracking Table'!$V208*VLOOKUP('BMP P Tracking Table'!$R208,'Loading Rates'!$B$1:$L$24,4,FALSE)+IF('BMP P Tracking Table'!$W208="By HSG",'BMP P Tracking Table'!$X208*VLOOKUP('BMP P Tracking Table'!$R208,'Loading Rates'!$B$1:$L$24,6,FALSE)+'BMP P Tracking Table'!$Y208*VLOOKUP('BMP P Tracking Table'!$R208,'Loading Rates'!$B$1:$L$24,7,FALSE)+'BMP P Tracking Table'!$Z208*VLOOKUP('BMP P Tracking Table'!$R208,'Loading Rates'!$B$1:$L$24,8,FALSE)+'BMP P Tracking Table'!$AA208*VLOOKUP('BMP P Tracking Table'!$R208,'Loading Rates'!$B$1:$L$24,9,FALSE),'BMP P Tracking Table'!$AB208*VLOOKUP('BMP P Tracking Table'!$R208,'Loading Rates'!$B$1:$L$24,10,FALSE)),'BMP P Tracking Table'!$AP208*VLOOKUP('BMP P Tracking Table'!$R208,'Loading Rates'!$B$1:$L$24,4,FALSE)+IF('BMP P Tracking Table'!$AQ208="By HSG",'BMP P Tracking Table'!$AR208*VLOOKUP('BMP P Tracking Table'!$R208,'Loading Rates'!$B$1:$L$24,6,FALSE)+'BMP P Tracking Table'!$AS208*VLOOKUP('BMP P Tracking Table'!$R208,'Loading Rates'!$B$1:$L$24,7,FALSE)+'BMP P Tracking Table'!$AT208*VLOOKUP('BMP P Tracking Table'!$R208,'Loading Rates'!$B$1:$L$24,8,FALSE)+'BMP P Tracking Table'!$AU208*VLOOKUP('BMP P Tracking Table'!$R208,'Loading Rates'!$B$1:$L$24,9,FALSE),'BMP P Tracking Table'!$AV208*VLOOKUP('BMP P Tracking Table'!$R208,'Loading Rates'!$B$1:$L$24,10,FALSE))),"")</f>
        <v/>
      </c>
      <c r="BA208" s="104" t="str">
        <f>IFERROR(IF('BMP P Tracking Table'!$AM208="Yes",MIN(2,IF('BMP P Tracking Table'!$AQ208="Total Pervious",(-(3630*'BMP P Tracking Table'!$AP208+20.691*'BMP P Tracking Table'!$AV208)+SQRT((3630*'BMP P Tracking Table'!$AP208+20.691*'BMP P Tracking Table'!$AV208)^2-(4*(996.798*'BMP P Tracking Table'!$AV208)*-'BMP P Tracking Table'!$AX208)))/(2*(996.798*'BMP P Tracking Table'!$AV208)),IF(SUM('BMP P Tracking Table'!$AR208:$AU208)=0,'BMP P Tracking Table'!$AV208/(-3630*'BMP P Tracking Table'!$AP208),(-(3630*'BMP P Tracking Table'!$AP208+20.691*'BMP P Tracking Table'!$AU208-216.711*'BMP P Tracking Table'!$AT208-83.853*'BMP P Tracking Table'!$AS208-42.834*'BMP P Tracking Table'!$AR208)+SQRT((3630*'BMP P Tracking Table'!$AP208+20.691*'BMP P Tracking Table'!$AU208-216.711*'BMP P Tracking Table'!$AT208-83.853*'BMP P Tracking Table'!$AS208-42.834*'BMP P Tracking Table'!$AR208)^2-(4*(149.919*'BMP P Tracking Table'!$AR208+236.676*'BMP P Tracking Table'!$AS208+726*'BMP P Tracking Table'!$AT208+996.798*'BMP P Tracking Table'!$AU208)*-'BMP P Tracking Table'!$AX208)))/(2*(149.919*'BMP P Tracking Table'!$AR208+236.676*'BMP P Tracking Table'!$AS208+726*'BMP P Tracking Table'!$AT208+996.798*'BMP P Tracking Table'!$AU208))))),MIN(2,IF('BMP P Tracking Table'!$AQ208="Total Pervious",(-(3630*'BMP P Tracking Table'!$V208+20.691*'BMP P Tracking Table'!$AB208)+SQRT((3630*'BMP P Tracking Table'!$V208+20.691*'BMP P Tracking Table'!$AB208)^2-(4*(996.798*'BMP P Tracking Table'!$AB208)*-'BMP P Tracking Table'!$AX208)))/(2*(996.798*'BMP P Tracking Table'!$AB208)),IF(SUM('BMP P Tracking Table'!$X208:$AA208)=0,'BMP P Tracking Table'!$AX208/(-3630*'BMP P Tracking Table'!$V208),(-(3630*'BMP P Tracking Table'!$V208+20.691*'BMP P Tracking Table'!$AA208-216.711*'BMP P Tracking Table'!$Z208-83.853*'BMP P Tracking Table'!$Y208-42.834*'BMP P Tracking Table'!$X208)+SQRT((3630*'BMP P Tracking Table'!$V208+20.691*'BMP P Tracking Table'!$AA208-216.711*'BMP P Tracking Table'!$Z208-83.853*'BMP P Tracking Table'!$Y208-42.834*'BMP P Tracking Table'!$X208)^2-(4*(149.919*'BMP P Tracking Table'!$X208+236.676*'BMP P Tracking Table'!$Y208+726*'BMP P Tracking Table'!$Z208+996.798*'BMP P Tracking Table'!$AA208)*-'BMP P Tracking Table'!$AX208)))/(2*(149.919*'BMP P Tracking Table'!$X208+236.676*'BMP P Tracking Table'!$Y208+726*'BMP P Tracking Table'!$Z208+996.798*'BMP P Tracking Table'!$AA208)))))),"")</f>
        <v/>
      </c>
      <c r="BB208" s="102" t="str">
        <f>IFERROR((VLOOKUP(CONCATENATE('BMP P Tracking Table'!$AW208," ",'BMP P Tracking Table'!$AY208),'Performance Curves'!$C$1:$L$46,_xlfn.SINGLE(MATCH('BMP P Tracking Table'!$BA208,'Performance Curves'!$D$1:$L$1,1))+2,FALSE)-VLOOKUP(CONCATENATE('BMP P Tracking Table'!$AW208," ",'BMP P Tracking Table'!$AY208),'Performance Curves'!$C$1:$L$46,_xlfn.SINGLE(MATCH('BMP P Tracking Table'!$BA208,'Performance Curves'!$D$1:$L$1,1))+1,FALSE)),"")</f>
        <v/>
      </c>
      <c r="BC208" s="102" t="str">
        <f>IFERROR(('BMP P Tracking Table'!$BA208-INDEX('Performance Curves'!$D$1:$L$1,1,MATCH('BMP P Tracking Table'!$BA208,'Performance Curves'!$D$1:$L$1,1)))/(INDEX('Performance Curves'!$D$1:$L$1,1,MATCH('BMP P Tracking Table'!$BA208,'Performance Curves'!$D$1:$L$1,1)+1)-INDEX('Performance Curves'!$D$1:$L$1,1,MATCH('BMP P Tracking Table'!$BA208,'Performance Curves'!$D$1:$L$1,1))),"")</f>
        <v/>
      </c>
      <c r="BD208" s="103" t="str" cm="1">
        <f t="array" ref="BD208">IFERROR(IF('BMP P Tracking Table'!$BA208=2,VLOOKUP(CONCATENATE('BMP P Tracking Table'!$AW208," ",'BMP P Tracking Table'!$AY208),'Performance Curves'!$C$1:$L$44,_xlfn.SINGLE(MATCH('BMP P Tracking Table'!$BA208,'Performance Curves'!$D$1:$L$1,1))+1,FALSE),'BMP P Tracking Table'!$BB208*'BMP P Tracking Table'!$BC208+VLOOKUP(CONCATENATE('BMP P Tracking Table'!$AW208," ",'BMP P Tracking Table'!$AY208),'Performance Curves'!$C$1:$L$44,_xlfn.SINGLE(MATCH('BMP P Tracking Table'!$BA208,'Performance Curves'!$D$1:$L$1,1))+1,FALSE)),"")</f>
        <v/>
      </c>
      <c r="BE208" s="104" t="str">
        <f>IFERROR('BMP P Tracking Table'!$BD208*'BMP P Tracking Table'!$AZ208,"")</f>
        <v/>
      </c>
      <c r="BF208" s="98"/>
      <c r="BG208" s="37">
        <f t="shared" si="34"/>
        <v>0</v>
      </c>
    </row>
    <row r="209" spans="2:59" s="36" customFormat="1">
      <c r="B209" s="65"/>
      <c r="C209" s="65"/>
      <c r="D209" s="65"/>
      <c r="E209" s="65"/>
      <c r="F209" s="94"/>
      <c r="G209" s="94"/>
      <c r="H209" s="65"/>
      <c r="I209" s="65"/>
      <c r="J209" s="65"/>
      <c r="K209" s="95"/>
      <c r="L209" s="65"/>
      <c r="M209" s="65"/>
      <c r="N209" s="65"/>
      <c r="O209" s="65"/>
      <c r="P209" s="65"/>
      <c r="Q209" s="65"/>
      <c r="R209" s="65" t="str">
        <f>IFERROR(VLOOKUP('BMP P Tracking Table'!$Q209,Dropdowns!$C$2:$E$15,3,FALSE),"")</f>
        <v/>
      </c>
      <c r="S209" s="65" t="str">
        <f>IFERROR(VLOOKUP('BMP P Tracking Table'!$R209,Dropdowns!$Q$3:$R$23,2,FALSE),"")</f>
        <v/>
      </c>
      <c r="T209" s="65"/>
      <c r="U209" s="65"/>
      <c r="V209" s="65"/>
      <c r="W209" s="65"/>
      <c r="X209" s="65"/>
      <c r="Y209" s="65"/>
      <c r="Z209" s="65"/>
      <c r="AA209" s="65"/>
      <c r="AB209" s="65"/>
      <c r="AC209" s="97"/>
      <c r="AD209" s="65"/>
      <c r="AE209" s="104" t="str">
        <f>IFERROR('BMP P Tracking Table'!$V209*VLOOKUP('BMP P Tracking Table'!$R209,'Loading Rates'!$B$1:$L$24,4,FALSE)+IF('BMP P Tracking Table'!$W209="By HSG",'BMP P Tracking Table'!$X209*VLOOKUP('BMP P Tracking Table'!$R209,'Loading Rates'!$B$1:$L$24,6,FALSE)+'BMP P Tracking Table'!$Y209*VLOOKUP('BMP P Tracking Table'!$R209,'Loading Rates'!$B$1:$L$24,7,FALSE)+'BMP P Tracking Table'!$Z209*VLOOKUP('BMP P Tracking Table'!$R209,'Loading Rates'!$B$1:$L$24,8,FALSE)+'BMP P Tracking Table'!$AA209*VLOOKUP('BMP P Tracking Table'!$R209,'Loading Rates'!$B$1:$L$24,9,FALSE),'BMP P Tracking Table'!$AB209*VLOOKUP('BMP P Tracking Table'!$R209,'Loading Rates'!$B$1:$L$24,10,FALSE)),"")</f>
        <v/>
      </c>
      <c r="AF209" s="104" t="str">
        <f>IFERROR(MIN(2,IF('BMP P Tracking Table'!$W209="Total Pervious",(-(3630*'BMP P Tracking Table'!$V209+20.691*'BMP P Tracking Table'!$AB209)+SQRT((3630*'BMP P Tracking Table'!$V209+20.691*'BMP P Tracking Table'!$AB209)^2-(4*(996.798*'BMP P Tracking Table'!$AB209)*-'BMP P Tracking Table'!$AC209)))/(2*(996.798*'BMP P Tracking Table'!$AB209)),IF(SUM('BMP P Tracking Table'!$X209:$AA209)=0,'BMP P Tracking Table'!$AC209/(-3630*'BMP P Tracking Table'!$V209),(-(3630*'BMP P Tracking Table'!$V209+20.691*'BMP P Tracking Table'!$AA209-216.711*'BMP P Tracking Table'!$Z209-83.853*'BMP P Tracking Table'!$Y209-42.834*'BMP P Tracking Table'!$X209)+SQRT((3630*'BMP P Tracking Table'!$V209+20.691*'BMP P Tracking Table'!$AA209-216.711*'BMP P Tracking Table'!$Z209-83.853*'BMP P Tracking Table'!$Y209-42.834*'BMP P Tracking Table'!$X209)^2-(4*(149.919*'BMP P Tracking Table'!$X209+236.676*'BMP P Tracking Table'!$Y209+726*'BMP P Tracking Table'!$Z209+996.798*'BMP P Tracking Table'!$AA209)*-'BMP P Tracking Table'!$AC209)))/(2*(149.919*'BMP P Tracking Table'!$X209+236.676*'BMP P Tracking Table'!$Y209+726*'BMP P Tracking Table'!$Z209+996.798*'BMP P Tracking Table'!$AA209))))),"")</f>
        <v/>
      </c>
      <c r="AG209" s="104" t="str">
        <f>IFERROR((VLOOKUP(CONCATENATE('BMP P Tracking Table'!$U209," ",'BMP P Tracking Table'!$AD209),'Performance Curves'!$C$1:$L$46,_xlfn.SINGLE(MATCH('BMP P Tracking Table'!$AF209,'Performance Curves'!$D$1:$L$1,1))+2,FALSE)-VLOOKUP(CONCATENATE('BMP P Tracking Table'!$U209," ",'BMP P Tracking Table'!$AD209),'Performance Curves'!$C$1:$L$46,_xlfn.SINGLE(MATCH('BMP P Tracking Table'!$AF209,'Performance Curves'!$D$1:$L$1,1))+1,FALSE)),"")</f>
        <v/>
      </c>
      <c r="AH209" s="104" t="str">
        <f>IFERROR(('BMP P Tracking Table'!$AF209-INDEX('Performance Curves'!$D$1:$L$1,1,MATCH('BMP P Tracking Table'!$AF209,'Performance Curves'!$D$1:$L$1,1)))/(INDEX('Performance Curves'!$D$1:$L$1,1,MATCH('BMP P Tracking Table'!$AF209,'Performance Curves'!$D$1:$L$1,1)+1)-INDEX('Performance Curves'!$D$1:$L$1,1,MATCH('BMP P Tracking Table'!$AF209,'Performance Curves'!$D$1:$L$1,1))),"")</f>
        <v/>
      </c>
      <c r="AI209" s="103" t="str">
        <f>IFERROR(IF('BMP P Tracking Table'!$AF209=2,VLOOKUP(CONCATENATE('BMP P Tracking Table'!$U209," ",'BMP P Tracking Table'!$AD209),'Performance Curves'!$C$1:$L$46,_xlfn.SINGLE(MATCH('BMP P Tracking Table'!$AF209,'Performance Curves'!$D$1:$L$1,1))+1,FALSE),'BMP P Tracking Table'!$AG209*'BMP P Tracking Table'!$AH209+VLOOKUP(CONCATENATE('BMP P Tracking Table'!$U209," ",'BMP P Tracking Table'!$AD209),'Performance Curves'!$C$1:$L$46,_xlfn.SINGLE(MATCH('BMP P Tracking Table'!$AF209,'Performance Curves'!$D$1:$L$1,1))+1,FALSE)),"")</f>
        <v/>
      </c>
      <c r="AJ209" s="104" t="str">
        <f>IFERROR('BMP P Tracking Table'!$AI209*'BMP P Tracking Table'!$AE209,"")</f>
        <v/>
      </c>
      <c r="AK209" s="65"/>
      <c r="AL209" s="98"/>
      <c r="AM209" s="98"/>
      <c r="AN209" s="64">
        <v>1</v>
      </c>
      <c r="AO209" s="102" t="str">
        <f t="shared" si="33"/>
        <v/>
      </c>
      <c r="AP209" s="98"/>
      <c r="AQ209" s="98"/>
      <c r="AR209" s="98"/>
      <c r="AS209" s="98"/>
      <c r="AT209" s="98"/>
      <c r="AU209" s="98"/>
      <c r="AV209" s="98"/>
      <c r="AW209" s="65"/>
      <c r="AX209" s="99"/>
      <c r="AY209" s="99"/>
      <c r="AZ209" s="104" t="str">
        <f>IF('BMP P Tracking Table'!$AL209="Yes",IF('BMP P Tracking Table'!$AM209="No",'BMP P Tracking Table'!$V209*VLOOKUP('BMP P Tracking Table'!$R209,'Loading Rates'!$B$1:$L$24,4,FALSE)+IF('BMP P Tracking Table'!$W209="By HSG",'BMP P Tracking Table'!$X209*VLOOKUP('BMP P Tracking Table'!$R209,'Loading Rates'!$B$1:$L$24,6,FALSE)+'BMP P Tracking Table'!$Y209*VLOOKUP('BMP P Tracking Table'!$R209,'Loading Rates'!$B$1:$L$24,7,FALSE)+'BMP P Tracking Table'!$Z209*VLOOKUP('BMP P Tracking Table'!$R209,'Loading Rates'!$B$1:$L$24,8,FALSE)+'BMP P Tracking Table'!$AA209*VLOOKUP('BMP P Tracking Table'!$R209,'Loading Rates'!$B$1:$L$24,9,FALSE),'BMP P Tracking Table'!$AB209*VLOOKUP('BMP P Tracking Table'!$R209,'Loading Rates'!$B$1:$L$24,10,FALSE)),'BMP P Tracking Table'!$AP209*VLOOKUP('BMP P Tracking Table'!$R209,'Loading Rates'!$B$1:$L$24,4,FALSE)+IF('BMP P Tracking Table'!$AQ209="By HSG",'BMP P Tracking Table'!$AR209*VLOOKUP('BMP P Tracking Table'!$R209,'Loading Rates'!$B$1:$L$24,6,FALSE)+'BMP P Tracking Table'!$AS209*VLOOKUP('BMP P Tracking Table'!$R209,'Loading Rates'!$B$1:$L$24,7,FALSE)+'BMP P Tracking Table'!$AT209*VLOOKUP('BMP P Tracking Table'!$R209,'Loading Rates'!$B$1:$L$24,8,FALSE)+'BMP P Tracking Table'!$AU209*VLOOKUP('BMP P Tracking Table'!$R209,'Loading Rates'!$B$1:$L$24,9,FALSE),'BMP P Tracking Table'!$AV209*VLOOKUP('BMP P Tracking Table'!$R209,'Loading Rates'!$B$1:$L$24,10,FALSE))),"")</f>
        <v/>
      </c>
      <c r="BA209" s="104" t="str">
        <f>IFERROR(IF('BMP P Tracking Table'!$AM209="Yes",MIN(2,IF('BMP P Tracking Table'!$AQ209="Total Pervious",(-(3630*'BMP P Tracking Table'!$AP209+20.691*'BMP P Tracking Table'!$AV209)+SQRT((3630*'BMP P Tracking Table'!$AP209+20.691*'BMP P Tracking Table'!$AV209)^2-(4*(996.798*'BMP P Tracking Table'!$AV209)*-'BMP P Tracking Table'!$AX209)))/(2*(996.798*'BMP P Tracking Table'!$AV209)),IF(SUM('BMP P Tracking Table'!$AR209:$AU209)=0,'BMP P Tracking Table'!$AV209/(-3630*'BMP P Tracking Table'!$AP209),(-(3630*'BMP P Tracking Table'!$AP209+20.691*'BMP P Tracking Table'!$AU209-216.711*'BMP P Tracking Table'!$AT209-83.853*'BMP P Tracking Table'!$AS209-42.834*'BMP P Tracking Table'!$AR209)+SQRT((3630*'BMP P Tracking Table'!$AP209+20.691*'BMP P Tracking Table'!$AU209-216.711*'BMP P Tracking Table'!$AT209-83.853*'BMP P Tracking Table'!$AS209-42.834*'BMP P Tracking Table'!$AR209)^2-(4*(149.919*'BMP P Tracking Table'!$AR209+236.676*'BMP P Tracking Table'!$AS209+726*'BMP P Tracking Table'!$AT209+996.798*'BMP P Tracking Table'!$AU209)*-'BMP P Tracking Table'!$AX209)))/(2*(149.919*'BMP P Tracking Table'!$AR209+236.676*'BMP P Tracking Table'!$AS209+726*'BMP P Tracking Table'!$AT209+996.798*'BMP P Tracking Table'!$AU209))))),MIN(2,IF('BMP P Tracking Table'!$AQ209="Total Pervious",(-(3630*'BMP P Tracking Table'!$V209+20.691*'BMP P Tracking Table'!$AB209)+SQRT((3630*'BMP P Tracking Table'!$V209+20.691*'BMP P Tracking Table'!$AB209)^2-(4*(996.798*'BMP P Tracking Table'!$AB209)*-'BMP P Tracking Table'!$AX209)))/(2*(996.798*'BMP P Tracking Table'!$AB209)),IF(SUM('BMP P Tracking Table'!$X209:$AA209)=0,'BMP P Tracking Table'!$AX209/(-3630*'BMP P Tracking Table'!$V209),(-(3630*'BMP P Tracking Table'!$V209+20.691*'BMP P Tracking Table'!$AA209-216.711*'BMP P Tracking Table'!$Z209-83.853*'BMP P Tracking Table'!$Y209-42.834*'BMP P Tracking Table'!$X209)+SQRT((3630*'BMP P Tracking Table'!$V209+20.691*'BMP P Tracking Table'!$AA209-216.711*'BMP P Tracking Table'!$Z209-83.853*'BMP P Tracking Table'!$Y209-42.834*'BMP P Tracking Table'!$X209)^2-(4*(149.919*'BMP P Tracking Table'!$X209+236.676*'BMP P Tracking Table'!$Y209+726*'BMP P Tracking Table'!$Z209+996.798*'BMP P Tracking Table'!$AA209)*-'BMP P Tracking Table'!$AX209)))/(2*(149.919*'BMP P Tracking Table'!$X209+236.676*'BMP P Tracking Table'!$Y209+726*'BMP P Tracking Table'!$Z209+996.798*'BMP P Tracking Table'!$AA209)))))),"")</f>
        <v/>
      </c>
      <c r="BB209" s="102" t="str">
        <f>IFERROR((VLOOKUP(CONCATENATE('BMP P Tracking Table'!$AW209," ",'BMP P Tracking Table'!$AY209),'Performance Curves'!$C$1:$L$46,_xlfn.SINGLE(MATCH('BMP P Tracking Table'!$BA209,'Performance Curves'!$D$1:$L$1,1))+2,FALSE)-VLOOKUP(CONCATENATE('BMP P Tracking Table'!$AW209," ",'BMP P Tracking Table'!$AY209),'Performance Curves'!$C$1:$L$46,_xlfn.SINGLE(MATCH('BMP P Tracking Table'!$BA209,'Performance Curves'!$D$1:$L$1,1))+1,FALSE)),"")</f>
        <v/>
      </c>
      <c r="BC209" s="102" t="str">
        <f>IFERROR(('BMP P Tracking Table'!$BA209-INDEX('Performance Curves'!$D$1:$L$1,1,MATCH('BMP P Tracking Table'!$BA209,'Performance Curves'!$D$1:$L$1,1)))/(INDEX('Performance Curves'!$D$1:$L$1,1,MATCH('BMP P Tracking Table'!$BA209,'Performance Curves'!$D$1:$L$1,1)+1)-INDEX('Performance Curves'!$D$1:$L$1,1,MATCH('BMP P Tracking Table'!$BA209,'Performance Curves'!$D$1:$L$1,1))),"")</f>
        <v/>
      </c>
      <c r="BD209" s="103" t="str" cm="1">
        <f t="array" ref="BD209">IFERROR(IF('BMP P Tracking Table'!$BA209=2,VLOOKUP(CONCATENATE('BMP P Tracking Table'!$AW209," ",'BMP P Tracking Table'!$AY209),'Performance Curves'!$C$1:$L$44,_xlfn.SINGLE(MATCH('BMP P Tracking Table'!$BA209,'Performance Curves'!$D$1:$L$1,1))+1,FALSE),'BMP P Tracking Table'!$BB209*'BMP P Tracking Table'!$BC209+VLOOKUP(CONCATENATE('BMP P Tracking Table'!$AW209," ",'BMP P Tracking Table'!$AY209),'Performance Curves'!$C$1:$L$44,_xlfn.SINGLE(MATCH('BMP P Tracking Table'!$BA209,'Performance Curves'!$D$1:$L$1,1))+1,FALSE)),"")</f>
        <v/>
      </c>
      <c r="BE209" s="104" t="str">
        <f>IFERROR('BMP P Tracking Table'!$BD209*'BMP P Tracking Table'!$AZ209,"")</f>
        <v/>
      </c>
      <c r="BF209" s="98"/>
      <c r="BG209" s="37">
        <f t="shared" si="34"/>
        <v>0</v>
      </c>
    </row>
    <row r="210" spans="2:59" s="36" customFormat="1">
      <c r="B210" s="65"/>
      <c r="C210" s="65"/>
      <c r="D210" s="65"/>
      <c r="E210" s="65"/>
      <c r="F210" s="94"/>
      <c r="G210" s="94"/>
      <c r="H210" s="65"/>
      <c r="I210" s="65"/>
      <c r="J210" s="65"/>
      <c r="K210" s="95"/>
      <c r="L210" s="65"/>
      <c r="M210" s="65"/>
      <c r="N210" s="65"/>
      <c r="O210" s="65"/>
      <c r="P210" s="65"/>
      <c r="Q210" s="65"/>
      <c r="R210" s="65" t="str">
        <f>IFERROR(VLOOKUP('BMP P Tracking Table'!$Q210,Dropdowns!$C$2:$E$15,3,FALSE),"")</f>
        <v/>
      </c>
      <c r="S210" s="65" t="str">
        <f>IFERROR(VLOOKUP('BMP P Tracking Table'!$R210,Dropdowns!$Q$3:$R$23,2,FALSE),"")</f>
        <v/>
      </c>
      <c r="T210" s="65"/>
      <c r="U210" s="65"/>
      <c r="V210" s="65"/>
      <c r="W210" s="65"/>
      <c r="X210" s="65"/>
      <c r="Y210" s="65"/>
      <c r="Z210" s="65"/>
      <c r="AA210" s="65"/>
      <c r="AB210" s="65"/>
      <c r="AC210" s="97"/>
      <c r="AD210" s="65"/>
      <c r="AE210" s="104" t="str">
        <f>IFERROR('BMP P Tracking Table'!$V210*VLOOKUP('BMP P Tracking Table'!$R210,'Loading Rates'!$B$1:$L$24,4,FALSE)+IF('BMP P Tracking Table'!$W210="By HSG",'BMP P Tracking Table'!$X210*VLOOKUP('BMP P Tracking Table'!$R210,'Loading Rates'!$B$1:$L$24,6,FALSE)+'BMP P Tracking Table'!$Y210*VLOOKUP('BMP P Tracking Table'!$R210,'Loading Rates'!$B$1:$L$24,7,FALSE)+'BMP P Tracking Table'!$Z210*VLOOKUP('BMP P Tracking Table'!$R210,'Loading Rates'!$B$1:$L$24,8,FALSE)+'BMP P Tracking Table'!$AA210*VLOOKUP('BMP P Tracking Table'!$R210,'Loading Rates'!$B$1:$L$24,9,FALSE),'BMP P Tracking Table'!$AB210*VLOOKUP('BMP P Tracking Table'!$R210,'Loading Rates'!$B$1:$L$24,10,FALSE)),"")</f>
        <v/>
      </c>
      <c r="AF210" s="104" t="str">
        <f>IFERROR(MIN(2,IF('BMP P Tracking Table'!$W210="Total Pervious",(-(3630*'BMP P Tracking Table'!$V210+20.691*'BMP P Tracking Table'!$AB210)+SQRT((3630*'BMP P Tracking Table'!$V210+20.691*'BMP P Tracking Table'!$AB210)^2-(4*(996.798*'BMP P Tracking Table'!$AB210)*-'BMP P Tracking Table'!$AC210)))/(2*(996.798*'BMP P Tracking Table'!$AB210)),IF(SUM('BMP P Tracking Table'!$X210:$AA210)=0,'BMP P Tracking Table'!$AC210/(-3630*'BMP P Tracking Table'!$V210),(-(3630*'BMP P Tracking Table'!$V210+20.691*'BMP P Tracking Table'!$AA210-216.711*'BMP P Tracking Table'!$Z210-83.853*'BMP P Tracking Table'!$Y210-42.834*'BMP P Tracking Table'!$X210)+SQRT((3630*'BMP P Tracking Table'!$V210+20.691*'BMP P Tracking Table'!$AA210-216.711*'BMP P Tracking Table'!$Z210-83.853*'BMP P Tracking Table'!$Y210-42.834*'BMP P Tracking Table'!$X210)^2-(4*(149.919*'BMP P Tracking Table'!$X210+236.676*'BMP P Tracking Table'!$Y210+726*'BMP P Tracking Table'!$Z210+996.798*'BMP P Tracking Table'!$AA210)*-'BMP P Tracking Table'!$AC210)))/(2*(149.919*'BMP P Tracking Table'!$X210+236.676*'BMP P Tracking Table'!$Y210+726*'BMP P Tracking Table'!$Z210+996.798*'BMP P Tracking Table'!$AA210))))),"")</f>
        <v/>
      </c>
      <c r="AG210" s="104" t="str">
        <f>IFERROR((VLOOKUP(CONCATENATE('BMP P Tracking Table'!$U210," ",'BMP P Tracking Table'!$AD210),'Performance Curves'!$C$1:$L$46,_xlfn.SINGLE(MATCH('BMP P Tracking Table'!$AF210,'Performance Curves'!$D$1:$L$1,1))+2,FALSE)-VLOOKUP(CONCATENATE('BMP P Tracking Table'!$U210," ",'BMP P Tracking Table'!$AD210),'Performance Curves'!$C$1:$L$46,_xlfn.SINGLE(MATCH('BMP P Tracking Table'!$AF210,'Performance Curves'!$D$1:$L$1,1))+1,FALSE)),"")</f>
        <v/>
      </c>
      <c r="AH210" s="104" t="str">
        <f>IFERROR(('BMP P Tracking Table'!$AF210-INDEX('Performance Curves'!$D$1:$L$1,1,MATCH('BMP P Tracking Table'!$AF210,'Performance Curves'!$D$1:$L$1,1)))/(INDEX('Performance Curves'!$D$1:$L$1,1,MATCH('BMP P Tracking Table'!$AF210,'Performance Curves'!$D$1:$L$1,1)+1)-INDEX('Performance Curves'!$D$1:$L$1,1,MATCH('BMP P Tracking Table'!$AF210,'Performance Curves'!$D$1:$L$1,1))),"")</f>
        <v/>
      </c>
      <c r="AI210" s="103" t="str">
        <f>IFERROR(IF('BMP P Tracking Table'!$AF210=2,VLOOKUP(CONCATENATE('BMP P Tracking Table'!$U210," ",'BMP P Tracking Table'!$AD210),'Performance Curves'!$C$1:$L$46,_xlfn.SINGLE(MATCH('BMP P Tracking Table'!$AF210,'Performance Curves'!$D$1:$L$1,1))+1,FALSE),'BMP P Tracking Table'!$AG210*'BMP P Tracking Table'!$AH210+VLOOKUP(CONCATENATE('BMP P Tracking Table'!$U210," ",'BMP P Tracking Table'!$AD210),'Performance Curves'!$C$1:$L$46,_xlfn.SINGLE(MATCH('BMP P Tracking Table'!$AF210,'Performance Curves'!$D$1:$L$1,1))+1,FALSE)),"")</f>
        <v/>
      </c>
      <c r="AJ210" s="104" t="str">
        <f>IFERROR('BMP P Tracking Table'!$AI210*'BMP P Tracking Table'!$AE210,"")</f>
        <v/>
      </c>
      <c r="AK210" s="65"/>
      <c r="AL210" s="98"/>
      <c r="AM210" s="98"/>
      <c r="AN210" s="64">
        <v>1</v>
      </c>
      <c r="AO210" s="102" t="str">
        <f t="shared" si="33"/>
        <v/>
      </c>
      <c r="AP210" s="98"/>
      <c r="AQ210" s="98"/>
      <c r="AR210" s="98"/>
      <c r="AS210" s="98"/>
      <c r="AT210" s="98"/>
      <c r="AU210" s="98"/>
      <c r="AV210" s="98"/>
      <c r="AW210" s="65"/>
      <c r="AX210" s="99"/>
      <c r="AY210" s="99"/>
      <c r="AZ210" s="104" t="str">
        <f>IF('BMP P Tracking Table'!$AL210="Yes",IF('BMP P Tracking Table'!$AM210="No",'BMP P Tracking Table'!$V210*VLOOKUP('BMP P Tracking Table'!$R210,'Loading Rates'!$B$1:$L$24,4,FALSE)+IF('BMP P Tracking Table'!$W210="By HSG",'BMP P Tracking Table'!$X210*VLOOKUP('BMP P Tracking Table'!$R210,'Loading Rates'!$B$1:$L$24,6,FALSE)+'BMP P Tracking Table'!$Y210*VLOOKUP('BMP P Tracking Table'!$R210,'Loading Rates'!$B$1:$L$24,7,FALSE)+'BMP P Tracking Table'!$Z210*VLOOKUP('BMP P Tracking Table'!$R210,'Loading Rates'!$B$1:$L$24,8,FALSE)+'BMP P Tracking Table'!$AA210*VLOOKUP('BMP P Tracking Table'!$R210,'Loading Rates'!$B$1:$L$24,9,FALSE),'BMP P Tracking Table'!$AB210*VLOOKUP('BMP P Tracking Table'!$R210,'Loading Rates'!$B$1:$L$24,10,FALSE)),'BMP P Tracking Table'!$AP210*VLOOKUP('BMP P Tracking Table'!$R210,'Loading Rates'!$B$1:$L$24,4,FALSE)+IF('BMP P Tracking Table'!$AQ210="By HSG",'BMP P Tracking Table'!$AR210*VLOOKUP('BMP P Tracking Table'!$R210,'Loading Rates'!$B$1:$L$24,6,FALSE)+'BMP P Tracking Table'!$AS210*VLOOKUP('BMP P Tracking Table'!$R210,'Loading Rates'!$B$1:$L$24,7,FALSE)+'BMP P Tracking Table'!$AT210*VLOOKUP('BMP P Tracking Table'!$R210,'Loading Rates'!$B$1:$L$24,8,FALSE)+'BMP P Tracking Table'!$AU210*VLOOKUP('BMP P Tracking Table'!$R210,'Loading Rates'!$B$1:$L$24,9,FALSE),'BMP P Tracking Table'!$AV210*VLOOKUP('BMP P Tracking Table'!$R210,'Loading Rates'!$B$1:$L$24,10,FALSE))),"")</f>
        <v/>
      </c>
      <c r="BA210" s="104" t="str">
        <f>IFERROR(IF('BMP P Tracking Table'!$AM210="Yes",MIN(2,IF('BMP P Tracking Table'!$AQ210="Total Pervious",(-(3630*'BMP P Tracking Table'!$AP210+20.691*'BMP P Tracking Table'!$AV210)+SQRT((3630*'BMP P Tracking Table'!$AP210+20.691*'BMP P Tracking Table'!$AV210)^2-(4*(996.798*'BMP P Tracking Table'!$AV210)*-'BMP P Tracking Table'!$AX210)))/(2*(996.798*'BMP P Tracking Table'!$AV210)),IF(SUM('BMP P Tracking Table'!$AR210:$AU210)=0,'BMP P Tracking Table'!$AV210/(-3630*'BMP P Tracking Table'!$AP210),(-(3630*'BMP P Tracking Table'!$AP210+20.691*'BMP P Tracking Table'!$AU210-216.711*'BMP P Tracking Table'!$AT210-83.853*'BMP P Tracking Table'!$AS210-42.834*'BMP P Tracking Table'!$AR210)+SQRT((3630*'BMP P Tracking Table'!$AP210+20.691*'BMP P Tracking Table'!$AU210-216.711*'BMP P Tracking Table'!$AT210-83.853*'BMP P Tracking Table'!$AS210-42.834*'BMP P Tracking Table'!$AR210)^2-(4*(149.919*'BMP P Tracking Table'!$AR210+236.676*'BMP P Tracking Table'!$AS210+726*'BMP P Tracking Table'!$AT210+996.798*'BMP P Tracking Table'!$AU210)*-'BMP P Tracking Table'!$AX210)))/(2*(149.919*'BMP P Tracking Table'!$AR210+236.676*'BMP P Tracking Table'!$AS210+726*'BMP P Tracking Table'!$AT210+996.798*'BMP P Tracking Table'!$AU210))))),MIN(2,IF('BMP P Tracking Table'!$AQ210="Total Pervious",(-(3630*'BMP P Tracking Table'!$V210+20.691*'BMP P Tracking Table'!$AB210)+SQRT((3630*'BMP P Tracking Table'!$V210+20.691*'BMP P Tracking Table'!$AB210)^2-(4*(996.798*'BMP P Tracking Table'!$AB210)*-'BMP P Tracking Table'!$AX210)))/(2*(996.798*'BMP P Tracking Table'!$AB210)),IF(SUM('BMP P Tracking Table'!$X210:$AA210)=0,'BMP P Tracking Table'!$AX210/(-3630*'BMP P Tracking Table'!$V210),(-(3630*'BMP P Tracking Table'!$V210+20.691*'BMP P Tracking Table'!$AA210-216.711*'BMP P Tracking Table'!$Z210-83.853*'BMP P Tracking Table'!$Y210-42.834*'BMP P Tracking Table'!$X210)+SQRT((3630*'BMP P Tracking Table'!$V210+20.691*'BMP P Tracking Table'!$AA210-216.711*'BMP P Tracking Table'!$Z210-83.853*'BMP P Tracking Table'!$Y210-42.834*'BMP P Tracking Table'!$X210)^2-(4*(149.919*'BMP P Tracking Table'!$X210+236.676*'BMP P Tracking Table'!$Y210+726*'BMP P Tracking Table'!$Z210+996.798*'BMP P Tracking Table'!$AA210)*-'BMP P Tracking Table'!$AX210)))/(2*(149.919*'BMP P Tracking Table'!$X210+236.676*'BMP P Tracking Table'!$Y210+726*'BMP P Tracking Table'!$Z210+996.798*'BMP P Tracking Table'!$AA210)))))),"")</f>
        <v/>
      </c>
      <c r="BB210" s="102" t="str">
        <f>IFERROR((VLOOKUP(CONCATENATE('BMP P Tracking Table'!$AW210," ",'BMP P Tracking Table'!$AY210),'Performance Curves'!$C$1:$L$46,_xlfn.SINGLE(MATCH('BMP P Tracking Table'!$BA210,'Performance Curves'!$D$1:$L$1,1))+2,FALSE)-VLOOKUP(CONCATENATE('BMP P Tracking Table'!$AW210," ",'BMP P Tracking Table'!$AY210),'Performance Curves'!$C$1:$L$46,_xlfn.SINGLE(MATCH('BMP P Tracking Table'!$BA210,'Performance Curves'!$D$1:$L$1,1))+1,FALSE)),"")</f>
        <v/>
      </c>
      <c r="BC210" s="102" t="str">
        <f>IFERROR(('BMP P Tracking Table'!$BA210-INDEX('Performance Curves'!$D$1:$L$1,1,MATCH('BMP P Tracking Table'!$BA210,'Performance Curves'!$D$1:$L$1,1)))/(INDEX('Performance Curves'!$D$1:$L$1,1,MATCH('BMP P Tracking Table'!$BA210,'Performance Curves'!$D$1:$L$1,1)+1)-INDEX('Performance Curves'!$D$1:$L$1,1,MATCH('BMP P Tracking Table'!$BA210,'Performance Curves'!$D$1:$L$1,1))),"")</f>
        <v/>
      </c>
      <c r="BD210" s="103" t="str" cm="1">
        <f t="array" ref="BD210">IFERROR(IF('BMP P Tracking Table'!$BA210=2,VLOOKUP(CONCATENATE('BMP P Tracking Table'!$AW210," ",'BMP P Tracking Table'!$AY210),'Performance Curves'!$C$1:$L$44,_xlfn.SINGLE(MATCH('BMP P Tracking Table'!$BA210,'Performance Curves'!$D$1:$L$1,1))+1,FALSE),'BMP P Tracking Table'!$BB210*'BMP P Tracking Table'!$BC210+VLOOKUP(CONCATENATE('BMP P Tracking Table'!$AW210," ",'BMP P Tracking Table'!$AY210),'Performance Curves'!$C$1:$L$44,_xlfn.SINGLE(MATCH('BMP P Tracking Table'!$BA210,'Performance Curves'!$D$1:$L$1,1))+1,FALSE)),"")</f>
        <v/>
      </c>
      <c r="BE210" s="104" t="str">
        <f>IFERROR('BMP P Tracking Table'!$BD210*'BMP P Tracking Table'!$AZ210,"")</f>
        <v/>
      </c>
      <c r="BF210" s="98"/>
      <c r="BG210" s="37">
        <f t="shared" si="34"/>
        <v>0</v>
      </c>
    </row>
    <row r="211" spans="2:59" s="36" customFormat="1">
      <c r="B211" s="65"/>
      <c r="C211" s="65"/>
      <c r="D211" s="65"/>
      <c r="E211" s="65"/>
      <c r="F211" s="94"/>
      <c r="G211" s="94"/>
      <c r="H211" s="65"/>
      <c r="I211" s="65"/>
      <c r="J211" s="65"/>
      <c r="K211" s="95"/>
      <c r="L211" s="65"/>
      <c r="M211" s="65"/>
      <c r="N211" s="65"/>
      <c r="O211" s="65"/>
      <c r="P211" s="65"/>
      <c r="Q211" s="65"/>
      <c r="R211" s="65" t="str">
        <f>IFERROR(VLOOKUP('BMP P Tracking Table'!$Q211,Dropdowns!$C$2:$E$15,3,FALSE),"")</f>
        <v/>
      </c>
      <c r="S211" s="65" t="str">
        <f>IFERROR(VLOOKUP('BMP P Tracking Table'!$R211,Dropdowns!$Q$3:$R$23,2,FALSE),"")</f>
        <v/>
      </c>
      <c r="T211" s="65"/>
      <c r="U211" s="65"/>
      <c r="V211" s="65"/>
      <c r="W211" s="65"/>
      <c r="X211" s="65"/>
      <c r="Y211" s="65"/>
      <c r="Z211" s="65"/>
      <c r="AA211" s="65"/>
      <c r="AB211" s="65"/>
      <c r="AC211" s="97"/>
      <c r="AD211" s="65"/>
      <c r="AE211" s="104" t="str">
        <f>IFERROR('BMP P Tracking Table'!$V211*VLOOKUP('BMP P Tracking Table'!$R211,'Loading Rates'!$B$1:$L$24,4,FALSE)+IF('BMP P Tracking Table'!$W211="By HSG",'BMP P Tracking Table'!$X211*VLOOKUP('BMP P Tracking Table'!$R211,'Loading Rates'!$B$1:$L$24,6,FALSE)+'BMP P Tracking Table'!$Y211*VLOOKUP('BMP P Tracking Table'!$R211,'Loading Rates'!$B$1:$L$24,7,FALSE)+'BMP P Tracking Table'!$Z211*VLOOKUP('BMP P Tracking Table'!$R211,'Loading Rates'!$B$1:$L$24,8,FALSE)+'BMP P Tracking Table'!$AA211*VLOOKUP('BMP P Tracking Table'!$R211,'Loading Rates'!$B$1:$L$24,9,FALSE),'BMP P Tracking Table'!$AB211*VLOOKUP('BMP P Tracking Table'!$R211,'Loading Rates'!$B$1:$L$24,10,FALSE)),"")</f>
        <v/>
      </c>
      <c r="AF211" s="104" t="str">
        <f>IFERROR(MIN(2,IF('BMP P Tracking Table'!$W211="Total Pervious",(-(3630*'BMP P Tracking Table'!$V211+20.691*'BMP P Tracking Table'!$AB211)+SQRT((3630*'BMP P Tracking Table'!$V211+20.691*'BMP P Tracking Table'!$AB211)^2-(4*(996.798*'BMP P Tracking Table'!$AB211)*-'BMP P Tracking Table'!$AC211)))/(2*(996.798*'BMP P Tracking Table'!$AB211)),IF(SUM('BMP P Tracking Table'!$X211:$AA211)=0,'BMP P Tracking Table'!$AC211/(-3630*'BMP P Tracking Table'!$V211),(-(3630*'BMP P Tracking Table'!$V211+20.691*'BMP P Tracking Table'!$AA211-216.711*'BMP P Tracking Table'!$Z211-83.853*'BMP P Tracking Table'!$Y211-42.834*'BMP P Tracking Table'!$X211)+SQRT((3630*'BMP P Tracking Table'!$V211+20.691*'BMP P Tracking Table'!$AA211-216.711*'BMP P Tracking Table'!$Z211-83.853*'BMP P Tracking Table'!$Y211-42.834*'BMP P Tracking Table'!$X211)^2-(4*(149.919*'BMP P Tracking Table'!$X211+236.676*'BMP P Tracking Table'!$Y211+726*'BMP P Tracking Table'!$Z211+996.798*'BMP P Tracking Table'!$AA211)*-'BMP P Tracking Table'!$AC211)))/(2*(149.919*'BMP P Tracking Table'!$X211+236.676*'BMP P Tracking Table'!$Y211+726*'BMP P Tracking Table'!$Z211+996.798*'BMP P Tracking Table'!$AA211))))),"")</f>
        <v/>
      </c>
      <c r="AG211" s="104" t="str">
        <f>IFERROR((VLOOKUP(CONCATENATE('BMP P Tracking Table'!$U211," ",'BMP P Tracking Table'!$AD211),'Performance Curves'!$C$1:$L$46,_xlfn.SINGLE(MATCH('BMP P Tracking Table'!$AF211,'Performance Curves'!$D$1:$L$1,1))+2,FALSE)-VLOOKUP(CONCATENATE('BMP P Tracking Table'!$U211," ",'BMP P Tracking Table'!$AD211),'Performance Curves'!$C$1:$L$46,_xlfn.SINGLE(MATCH('BMP P Tracking Table'!$AF211,'Performance Curves'!$D$1:$L$1,1))+1,FALSE)),"")</f>
        <v/>
      </c>
      <c r="AH211" s="104" t="str">
        <f>IFERROR(('BMP P Tracking Table'!$AF211-INDEX('Performance Curves'!$D$1:$L$1,1,MATCH('BMP P Tracking Table'!$AF211,'Performance Curves'!$D$1:$L$1,1)))/(INDEX('Performance Curves'!$D$1:$L$1,1,MATCH('BMP P Tracking Table'!$AF211,'Performance Curves'!$D$1:$L$1,1)+1)-INDEX('Performance Curves'!$D$1:$L$1,1,MATCH('BMP P Tracking Table'!$AF211,'Performance Curves'!$D$1:$L$1,1))),"")</f>
        <v/>
      </c>
      <c r="AI211" s="103" t="str">
        <f>IFERROR(IF('BMP P Tracking Table'!$AF211=2,VLOOKUP(CONCATENATE('BMP P Tracking Table'!$U211," ",'BMP P Tracking Table'!$AD211),'Performance Curves'!$C$1:$L$46,_xlfn.SINGLE(MATCH('BMP P Tracking Table'!$AF211,'Performance Curves'!$D$1:$L$1,1))+1,FALSE),'BMP P Tracking Table'!$AG211*'BMP P Tracking Table'!$AH211+VLOOKUP(CONCATENATE('BMP P Tracking Table'!$U211," ",'BMP P Tracking Table'!$AD211),'Performance Curves'!$C$1:$L$46,_xlfn.SINGLE(MATCH('BMP P Tracking Table'!$AF211,'Performance Curves'!$D$1:$L$1,1))+1,FALSE)),"")</f>
        <v/>
      </c>
      <c r="AJ211" s="104" t="str">
        <f>IFERROR('BMP P Tracking Table'!$AI211*'BMP P Tracking Table'!$AE211,"")</f>
        <v/>
      </c>
      <c r="AK211" s="65"/>
      <c r="AL211" s="98"/>
      <c r="AM211" s="98"/>
      <c r="AN211" s="64">
        <v>1</v>
      </c>
      <c r="AO211" s="102" t="str">
        <f t="shared" si="33"/>
        <v/>
      </c>
      <c r="AP211" s="98"/>
      <c r="AQ211" s="98"/>
      <c r="AR211" s="98"/>
      <c r="AS211" s="98"/>
      <c r="AT211" s="98"/>
      <c r="AU211" s="98"/>
      <c r="AV211" s="98"/>
      <c r="AW211" s="65"/>
      <c r="AX211" s="99"/>
      <c r="AY211" s="99"/>
      <c r="AZ211" s="104" t="str">
        <f>IF('BMP P Tracking Table'!$AL211="Yes",IF('BMP P Tracking Table'!$AM211="No",'BMP P Tracking Table'!$V211*VLOOKUP('BMP P Tracking Table'!$R211,'Loading Rates'!$B$1:$L$24,4,FALSE)+IF('BMP P Tracking Table'!$W211="By HSG",'BMP P Tracking Table'!$X211*VLOOKUP('BMP P Tracking Table'!$R211,'Loading Rates'!$B$1:$L$24,6,FALSE)+'BMP P Tracking Table'!$Y211*VLOOKUP('BMP P Tracking Table'!$R211,'Loading Rates'!$B$1:$L$24,7,FALSE)+'BMP P Tracking Table'!$Z211*VLOOKUP('BMP P Tracking Table'!$R211,'Loading Rates'!$B$1:$L$24,8,FALSE)+'BMP P Tracking Table'!$AA211*VLOOKUP('BMP P Tracking Table'!$R211,'Loading Rates'!$B$1:$L$24,9,FALSE),'BMP P Tracking Table'!$AB211*VLOOKUP('BMP P Tracking Table'!$R211,'Loading Rates'!$B$1:$L$24,10,FALSE)),'BMP P Tracking Table'!$AP211*VLOOKUP('BMP P Tracking Table'!$R211,'Loading Rates'!$B$1:$L$24,4,FALSE)+IF('BMP P Tracking Table'!$AQ211="By HSG",'BMP P Tracking Table'!$AR211*VLOOKUP('BMP P Tracking Table'!$R211,'Loading Rates'!$B$1:$L$24,6,FALSE)+'BMP P Tracking Table'!$AS211*VLOOKUP('BMP P Tracking Table'!$R211,'Loading Rates'!$B$1:$L$24,7,FALSE)+'BMP P Tracking Table'!$AT211*VLOOKUP('BMP P Tracking Table'!$R211,'Loading Rates'!$B$1:$L$24,8,FALSE)+'BMP P Tracking Table'!$AU211*VLOOKUP('BMP P Tracking Table'!$R211,'Loading Rates'!$B$1:$L$24,9,FALSE),'BMP P Tracking Table'!$AV211*VLOOKUP('BMP P Tracking Table'!$R211,'Loading Rates'!$B$1:$L$24,10,FALSE))),"")</f>
        <v/>
      </c>
      <c r="BA211" s="104" t="str">
        <f>IFERROR(IF('BMP P Tracking Table'!$AM211="Yes",MIN(2,IF('BMP P Tracking Table'!$AQ211="Total Pervious",(-(3630*'BMP P Tracking Table'!$AP211+20.691*'BMP P Tracking Table'!$AV211)+SQRT((3630*'BMP P Tracking Table'!$AP211+20.691*'BMP P Tracking Table'!$AV211)^2-(4*(996.798*'BMP P Tracking Table'!$AV211)*-'BMP P Tracking Table'!$AX211)))/(2*(996.798*'BMP P Tracking Table'!$AV211)),IF(SUM('BMP P Tracking Table'!$AR211:$AU211)=0,'BMP P Tracking Table'!$AV211/(-3630*'BMP P Tracking Table'!$AP211),(-(3630*'BMP P Tracking Table'!$AP211+20.691*'BMP P Tracking Table'!$AU211-216.711*'BMP P Tracking Table'!$AT211-83.853*'BMP P Tracking Table'!$AS211-42.834*'BMP P Tracking Table'!$AR211)+SQRT((3630*'BMP P Tracking Table'!$AP211+20.691*'BMP P Tracking Table'!$AU211-216.711*'BMP P Tracking Table'!$AT211-83.853*'BMP P Tracking Table'!$AS211-42.834*'BMP P Tracking Table'!$AR211)^2-(4*(149.919*'BMP P Tracking Table'!$AR211+236.676*'BMP P Tracking Table'!$AS211+726*'BMP P Tracking Table'!$AT211+996.798*'BMP P Tracking Table'!$AU211)*-'BMP P Tracking Table'!$AX211)))/(2*(149.919*'BMP P Tracking Table'!$AR211+236.676*'BMP P Tracking Table'!$AS211+726*'BMP P Tracking Table'!$AT211+996.798*'BMP P Tracking Table'!$AU211))))),MIN(2,IF('BMP P Tracking Table'!$AQ211="Total Pervious",(-(3630*'BMP P Tracking Table'!$V211+20.691*'BMP P Tracking Table'!$AB211)+SQRT((3630*'BMP P Tracking Table'!$V211+20.691*'BMP P Tracking Table'!$AB211)^2-(4*(996.798*'BMP P Tracking Table'!$AB211)*-'BMP P Tracking Table'!$AX211)))/(2*(996.798*'BMP P Tracking Table'!$AB211)),IF(SUM('BMP P Tracking Table'!$X211:$AA211)=0,'BMP P Tracking Table'!$AX211/(-3630*'BMP P Tracking Table'!$V211),(-(3630*'BMP P Tracking Table'!$V211+20.691*'BMP P Tracking Table'!$AA211-216.711*'BMP P Tracking Table'!$Z211-83.853*'BMP P Tracking Table'!$Y211-42.834*'BMP P Tracking Table'!$X211)+SQRT((3630*'BMP P Tracking Table'!$V211+20.691*'BMP P Tracking Table'!$AA211-216.711*'BMP P Tracking Table'!$Z211-83.853*'BMP P Tracking Table'!$Y211-42.834*'BMP P Tracking Table'!$X211)^2-(4*(149.919*'BMP P Tracking Table'!$X211+236.676*'BMP P Tracking Table'!$Y211+726*'BMP P Tracking Table'!$Z211+996.798*'BMP P Tracking Table'!$AA211)*-'BMP P Tracking Table'!$AX211)))/(2*(149.919*'BMP P Tracking Table'!$X211+236.676*'BMP P Tracking Table'!$Y211+726*'BMP P Tracking Table'!$Z211+996.798*'BMP P Tracking Table'!$AA211)))))),"")</f>
        <v/>
      </c>
      <c r="BB211" s="102" t="str">
        <f>IFERROR((VLOOKUP(CONCATENATE('BMP P Tracking Table'!$AW211," ",'BMP P Tracking Table'!$AY211),'Performance Curves'!$C$1:$L$46,_xlfn.SINGLE(MATCH('BMP P Tracking Table'!$BA211,'Performance Curves'!$D$1:$L$1,1))+2,FALSE)-VLOOKUP(CONCATENATE('BMP P Tracking Table'!$AW211," ",'BMP P Tracking Table'!$AY211),'Performance Curves'!$C$1:$L$46,_xlfn.SINGLE(MATCH('BMP P Tracking Table'!$BA211,'Performance Curves'!$D$1:$L$1,1))+1,FALSE)),"")</f>
        <v/>
      </c>
      <c r="BC211" s="102" t="str">
        <f>IFERROR(('BMP P Tracking Table'!$BA211-INDEX('Performance Curves'!$D$1:$L$1,1,MATCH('BMP P Tracking Table'!$BA211,'Performance Curves'!$D$1:$L$1,1)))/(INDEX('Performance Curves'!$D$1:$L$1,1,MATCH('BMP P Tracking Table'!$BA211,'Performance Curves'!$D$1:$L$1,1)+1)-INDEX('Performance Curves'!$D$1:$L$1,1,MATCH('BMP P Tracking Table'!$BA211,'Performance Curves'!$D$1:$L$1,1))),"")</f>
        <v/>
      </c>
      <c r="BD211" s="103" t="str" cm="1">
        <f t="array" ref="BD211">IFERROR(IF('BMP P Tracking Table'!$BA211=2,VLOOKUP(CONCATENATE('BMP P Tracking Table'!$AW211," ",'BMP P Tracking Table'!$AY211),'Performance Curves'!$C$1:$L$44,_xlfn.SINGLE(MATCH('BMP P Tracking Table'!$BA211,'Performance Curves'!$D$1:$L$1,1))+1,FALSE),'BMP P Tracking Table'!$BB211*'BMP P Tracking Table'!$BC211+VLOOKUP(CONCATENATE('BMP P Tracking Table'!$AW211," ",'BMP P Tracking Table'!$AY211),'Performance Curves'!$C$1:$L$44,_xlfn.SINGLE(MATCH('BMP P Tracking Table'!$BA211,'Performance Curves'!$D$1:$L$1,1))+1,FALSE)),"")</f>
        <v/>
      </c>
      <c r="BE211" s="104" t="str">
        <f>IFERROR('BMP P Tracking Table'!$BD211*'BMP P Tracking Table'!$AZ211,"")</f>
        <v/>
      </c>
      <c r="BF211" s="98"/>
      <c r="BG211" s="37">
        <f t="shared" si="34"/>
        <v>0</v>
      </c>
    </row>
    <row r="212" spans="2:59" s="36" customFormat="1">
      <c r="B212" s="65"/>
      <c r="C212" s="65"/>
      <c r="D212" s="65"/>
      <c r="E212" s="65"/>
      <c r="F212" s="94"/>
      <c r="G212" s="94"/>
      <c r="H212" s="65"/>
      <c r="I212" s="65"/>
      <c r="J212" s="65"/>
      <c r="K212" s="95"/>
      <c r="L212" s="65"/>
      <c r="M212" s="65"/>
      <c r="N212" s="65"/>
      <c r="O212" s="65"/>
      <c r="P212" s="65"/>
      <c r="Q212" s="65"/>
      <c r="R212" s="65" t="str">
        <f>IFERROR(VLOOKUP('BMP P Tracking Table'!$Q212,Dropdowns!$C$2:$E$15,3,FALSE),"")</f>
        <v/>
      </c>
      <c r="S212" s="65" t="str">
        <f>IFERROR(VLOOKUP('BMP P Tracking Table'!$R212,Dropdowns!$Q$3:$R$23,2,FALSE),"")</f>
        <v/>
      </c>
      <c r="T212" s="65"/>
      <c r="U212" s="65"/>
      <c r="V212" s="65"/>
      <c r="W212" s="65"/>
      <c r="X212" s="65"/>
      <c r="Y212" s="65"/>
      <c r="Z212" s="65"/>
      <c r="AA212" s="65"/>
      <c r="AB212" s="65"/>
      <c r="AC212" s="97"/>
      <c r="AD212" s="65"/>
      <c r="AE212" s="104" t="str">
        <f>IFERROR('BMP P Tracking Table'!$V212*VLOOKUP('BMP P Tracking Table'!$R212,'Loading Rates'!$B$1:$L$24,4,FALSE)+IF('BMP P Tracking Table'!$W212="By HSG",'BMP P Tracking Table'!$X212*VLOOKUP('BMP P Tracking Table'!$R212,'Loading Rates'!$B$1:$L$24,6,FALSE)+'BMP P Tracking Table'!$Y212*VLOOKUP('BMP P Tracking Table'!$R212,'Loading Rates'!$B$1:$L$24,7,FALSE)+'BMP P Tracking Table'!$Z212*VLOOKUP('BMP P Tracking Table'!$R212,'Loading Rates'!$B$1:$L$24,8,FALSE)+'BMP P Tracking Table'!$AA212*VLOOKUP('BMP P Tracking Table'!$R212,'Loading Rates'!$B$1:$L$24,9,FALSE),'BMP P Tracking Table'!$AB212*VLOOKUP('BMP P Tracking Table'!$R212,'Loading Rates'!$B$1:$L$24,10,FALSE)),"")</f>
        <v/>
      </c>
      <c r="AF212" s="104" t="str">
        <f>IFERROR(MIN(2,IF('BMP P Tracking Table'!$W212="Total Pervious",(-(3630*'BMP P Tracking Table'!$V212+20.691*'BMP P Tracking Table'!$AB212)+SQRT((3630*'BMP P Tracking Table'!$V212+20.691*'BMP P Tracking Table'!$AB212)^2-(4*(996.798*'BMP P Tracking Table'!$AB212)*-'BMP P Tracking Table'!$AC212)))/(2*(996.798*'BMP P Tracking Table'!$AB212)),IF(SUM('BMP P Tracking Table'!$X212:$AA212)=0,'BMP P Tracking Table'!$AC212/(-3630*'BMP P Tracking Table'!$V212),(-(3630*'BMP P Tracking Table'!$V212+20.691*'BMP P Tracking Table'!$AA212-216.711*'BMP P Tracking Table'!$Z212-83.853*'BMP P Tracking Table'!$Y212-42.834*'BMP P Tracking Table'!$X212)+SQRT((3630*'BMP P Tracking Table'!$V212+20.691*'BMP P Tracking Table'!$AA212-216.711*'BMP P Tracking Table'!$Z212-83.853*'BMP P Tracking Table'!$Y212-42.834*'BMP P Tracking Table'!$X212)^2-(4*(149.919*'BMP P Tracking Table'!$X212+236.676*'BMP P Tracking Table'!$Y212+726*'BMP P Tracking Table'!$Z212+996.798*'BMP P Tracking Table'!$AA212)*-'BMP P Tracking Table'!$AC212)))/(2*(149.919*'BMP P Tracking Table'!$X212+236.676*'BMP P Tracking Table'!$Y212+726*'BMP P Tracking Table'!$Z212+996.798*'BMP P Tracking Table'!$AA212))))),"")</f>
        <v/>
      </c>
      <c r="AG212" s="104" t="str">
        <f>IFERROR((VLOOKUP(CONCATENATE('BMP P Tracking Table'!$U212," ",'BMP P Tracking Table'!$AD212),'Performance Curves'!$C$1:$L$46,_xlfn.SINGLE(MATCH('BMP P Tracking Table'!$AF212,'Performance Curves'!$D$1:$L$1,1))+2,FALSE)-VLOOKUP(CONCATENATE('BMP P Tracking Table'!$U212," ",'BMP P Tracking Table'!$AD212),'Performance Curves'!$C$1:$L$46,_xlfn.SINGLE(MATCH('BMP P Tracking Table'!$AF212,'Performance Curves'!$D$1:$L$1,1))+1,FALSE)),"")</f>
        <v/>
      </c>
      <c r="AH212" s="104" t="str">
        <f>IFERROR(('BMP P Tracking Table'!$AF212-INDEX('Performance Curves'!$D$1:$L$1,1,MATCH('BMP P Tracking Table'!$AF212,'Performance Curves'!$D$1:$L$1,1)))/(INDEX('Performance Curves'!$D$1:$L$1,1,MATCH('BMP P Tracking Table'!$AF212,'Performance Curves'!$D$1:$L$1,1)+1)-INDEX('Performance Curves'!$D$1:$L$1,1,MATCH('BMP P Tracking Table'!$AF212,'Performance Curves'!$D$1:$L$1,1))),"")</f>
        <v/>
      </c>
      <c r="AI212" s="103" t="str">
        <f>IFERROR(IF('BMP P Tracking Table'!$AF212=2,VLOOKUP(CONCATENATE('BMP P Tracking Table'!$U212," ",'BMP P Tracking Table'!$AD212),'Performance Curves'!$C$1:$L$46,_xlfn.SINGLE(MATCH('BMP P Tracking Table'!$AF212,'Performance Curves'!$D$1:$L$1,1))+1,FALSE),'BMP P Tracking Table'!$AG212*'BMP P Tracking Table'!$AH212+VLOOKUP(CONCATENATE('BMP P Tracking Table'!$U212," ",'BMP P Tracking Table'!$AD212),'Performance Curves'!$C$1:$L$46,_xlfn.SINGLE(MATCH('BMP P Tracking Table'!$AF212,'Performance Curves'!$D$1:$L$1,1))+1,FALSE)),"")</f>
        <v/>
      </c>
      <c r="AJ212" s="104" t="str">
        <f>IFERROR('BMP P Tracking Table'!$AI212*'BMP P Tracking Table'!$AE212,"")</f>
        <v/>
      </c>
      <c r="AK212" s="65"/>
      <c r="AL212" s="98"/>
      <c r="AM212" s="98"/>
      <c r="AN212" s="64">
        <v>1</v>
      </c>
      <c r="AO212" s="102" t="str">
        <f t="shared" si="33"/>
        <v/>
      </c>
      <c r="AP212" s="98"/>
      <c r="AQ212" s="98"/>
      <c r="AR212" s="98"/>
      <c r="AS212" s="98"/>
      <c r="AT212" s="98"/>
      <c r="AU212" s="98"/>
      <c r="AV212" s="98"/>
      <c r="AW212" s="65"/>
      <c r="AX212" s="99"/>
      <c r="AY212" s="99"/>
      <c r="AZ212" s="104" t="str">
        <f>IF('BMP P Tracking Table'!$AL212="Yes",IF('BMP P Tracking Table'!$AM212="No",'BMP P Tracking Table'!$V212*VLOOKUP('BMP P Tracking Table'!$R212,'Loading Rates'!$B$1:$L$24,4,FALSE)+IF('BMP P Tracking Table'!$W212="By HSG",'BMP P Tracking Table'!$X212*VLOOKUP('BMP P Tracking Table'!$R212,'Loading Rates'!$B$1:$L$24,6,FALSE)+'BMP P Tracking Table'!$Y212*VLOOKUP('BMP P Tracking Table'!$R212,'Loading Rates'!$B$1:$L$24,7,FALSE)+'BMP P Tracking Table'!$Z212*VLOOKUP('BMP P Tracking Table'!$R212,'Loading Rates'!$B$1:$L$24,8,FALSE)+'BMP P Tracking Table'!$AA212*VLOOKUP('BMP P Tracking Table'!$R212,'Loading Rates'!$B$1:$L$24,9,FALSE),'BMP P Tracking Table'!$AB212*VLOOKUP('BMP P Tracking Table'!$R212,'Loading Rates'!$B$1:$L$24,10,FALSE)),'BMP P Tracking Table'!$AP212*VLOOKUP('BMP P Tracking Table'!$R212,'Loading Rates'!$B$1:$L$24,4,FALSE)+IF('BMP P Tracking Table'!$AQ212="By HSG",'BMP P Tracking Table'!$AR212*VLOOKUP('BMP P Tracking Table'!$R212,'Loading Rates'!$B$1:$L$24,6,FALSE)+'BMP P Tracking Table'!$AS212*VLOOKUP('BMP P Tracking Table'!$R212,'Loading Rates'!$B$1:$L$24,7,FALSE)+'BMP P Tracking Table'!$AT212*VLOOKUP('BMP P Tracking Table'!$R212,'Loading Rates'!$B$1:$L$24,8,FALSE)+'BMP P Tracking Table'!$AU212*VLOOKUP('BMP P Tracking Table'!$R212,'Loading Rates'!$B$1:$L$24,9,FALSE),'BMP P Tracking Table'!$AV212*VLOOKUP('BMP P Tracking Table'!$R212,'Loading Rates'!$B$1:$L$24,10,FALSE))),"")</f>
        <v/>
      </c>
      <c r="BA212" s="104" t="str">
        <f>IFERROR(IF('BMP P Tracking Table'!$AM212="Yes",MIN(2,IF('BMP P Tracking Table'!$AQ212="Total Pervious",(-(3630*'BMP P Tracking Table'!$AP212+20.691*'BMP P Tracking Table'!$AV212)+SQRT((3630*'BMP P Tracking Table'!$AP212+20.691*'BMP P Tracking Table'!$AV212)^2-(4*(996.798*'BMP P Tracking Table'!$AV212)*-'BMP P Tracking Table'!$AX212)))/(2*(996.798*'BMP P Tracking Table'!$AV212)),IF(SUM('BMP P Tracking Table'!$AR212:$AU212)=0,'BMP P Tracking Table'!$AV212/(-3630*'BMP P Tracking Table'!$AP212),(-(3630*'BMP P Tracking Table'!$AP212+20.691*'BMP P Tracking Table'!$AU212-216.711*'BMP P Tracking Table'!$AT212-83.853*'BMP P Tracking Table'!$AS212-42.834*'BMP P Tracking Table'!$AR212)+SQRT((3630*'BMP P Tracking Table'!$AP212+20.691*'BMP P Tracking Table'!$AU212-216.711*'BMP P Tracking Table'!$AT212-83.853*'BMP P Tracking Table'!$AS212-42.834*'BMP P Tracking Table'!$AR212)^2-(4*(149.919*'BMP P Tracking Table'!$AR212+236.676*'BMP P Tracking Table'!$AS212+726*'BMP P Tracking Table'!$AT212+996.798*'BMP P Tracking Table'!$AU212)*-'BMP P Tracking Table'!$AX212)))/(2*(149.919*'BMP P Tracking Table'!$AR212+236.676*'BMP P Tracking Table'!$AS212+726*'BMP P Tracking Table'!$AT212+996.798*'BMP P Tracking Table'!$AU212))))),MIN(2,IF('BMP P Tracking Table'!$AQ212="Total Pervious",(-(3630*'BMP P Tracking Table'!$V212+20.691*'BMP P Tracking Table'!$AB212)+SQRT((3630*'BMP P Tracking Table'!$V212+20.691*'BMP P Tracking Table'!$AB212)^2-(4*(996.798*'BMP P Tracking Table'!$AB212)*-'BMP P Tracking Table'!$AX212)))/(2*(996.798*'BMP P Tracking Table'!$AB212)),IF(SUM('BMP P Tracking Table'!$X212:$AA212)=0,'BMP P Tracking Table'!$AX212/(-3630*'BMP P Tracking Table'!$V212),(-(3630*'BMP P Tracking Table'!$V212+20.691*'BMP P Tracking Table'!$AA212-216.711*'BMP P Tracking Table'!$Z212-83.853*'BMP P Tracking Table'!$Y212-42.834*'BMP P Tracking Table'!$X212)+SQRT((3630*'BMP P Tracking Table'!$V212+20.691*'BMP P Tracking Table'!$AA212-216.711*'BMP P Tracking Table'!$Z212-83.853*'BMP P Tracking Table'!$Y212-42.834*'BMP P Tracking Table'!$X212)^2-(4*(149.919*'BMP P Tracking Table'!$X212+236.676*'BMP P Tracking Table'!$Y212+726*'BMP P Tracking Table'!$Z212+996.798*'BMP P Tracking Table'!$AA212)*-'BMP P Tracking Table'!$AX212)))/(2*(149.919*'BMP P Tracking Table'!$X212+236.676*'BMP P Tracking Table'!$Y212+726*'BMP P Tracking Table'!$Z212+996.798*'BMP P Tracking Table'!$AA212)))))),"")</f>
        <v/>
      </c>
      <c r="BB212" s="102" t="str">
        <f>IFERROR((VLOOKUP(CONCATENATE('BMP P Tracking Table'!$AW212," ",'BMP P Tracking Table'!$AY212),'Performance Curves'!$C$1:$L$46,_xlfn.SINGLE(MATCH('BMP P Tracking Table'!$BA212,'Performance Curves'!$D$1:$L$1,1))+2,FALSE)-VLOOKUP(CONCATENATE('BMP P Tracking Table'!$AW212," ",'BMP P Tracking Table'!$AY212),'Performance Curves'!$C$1:$L$46,_xlfn.SINGLE(MATCH('BMP P Tracking Table'!$BA212,'Performance Curves'!$D$1:$L$1,1))+1,FALSE)),"")</f>
        <v/>
      </c>
      <c r="BC212" s="102" t="str">
        <f>IFERROR(('BMP P Tracking Table'!$BA212-INDEX('Performance Curves'!$D$1:$L$1,1,MATCH('BMP P Tracking Table'!$BA212,'Performance Curves'!$D$1:$L$1,1)))/(INDEX('Performance Curves'!$D$1:$L$1,1,MATCH('BMP P Tracking Table'!$BA212,'Performance Curves'!$D$1:$L$1,1)+1)-INDEX('Performance Curves'!$D$1:$L$1,1,MATCH('BMP P Tracking Table'!$BA212,'Performance Curves'!$D$1:$L$1,1))),"")</f>
        <v/>
      </c>
      <c r="BD212" s="103" t="str" cm="1">
        <f t="array" ref="BD212">IFERROR(IF('BMP P Tracking Table'!$BA212=2,VLOOKUP(CONCATENATE('BMP P Tracking Table'!$AW212," ",'BMP P Tracking Table'!$AY212),'Performance Curves'!$C$1:$L$44,_xlfn.SINGLE(MATCH('BMP P Tracking Table'!$BA212,'Performance Curves'!$D$1:$L$1,1))+1,FALSE),'BMP P Tracking Table'!$BB212*'BMP P Tracking Table'!$BC212+VLOOKUP(CONCATENATE('BMP P Tracking Table'!$AW212," ",'BMP P Tracking Table'!$AY212),'Performance Curves'!$C$1:$L$44,_xlfn.SINGLE(MATCH('BMP P Tracking Table'!$BA212,'Performance Curves'!$D$1:$L$1,1))+1,FALSE)),"")</f>
        <v/>
      </c>
      <c r="BE212" s="104" t="str">
        <f>IFERROR('BMP P Tracking Table'!$BD212*'BMP P Tracking Table'!$AZ212,"")</f>
        <v/>
      </c>
      <c r="BF212" s="98"/>
      <c r="BG212" s="37">
        <f t="shared" si="34"/>
        <v>0</v>
      </c>
    </row>
    <row r="213" spans="2:59" s="36" customFormat="1">
      <c r="B213" s="65"/>
      <c r="C213" s="65"/>
      <c r="D213" s="65"/>
      <c r="E213" s="65"/>
      <c r="F213" s="94"/>
      <c r="G213" s="94"/>
      <c r="H213" s="65"/>
      <c r="I213" s="65"/>
      <c r="J213" s="65"/>
      <c r="K213" s="95"/>
      <c r="L213" s="65"/>
      <c r="M213" s="65"/>
      <c r="N213" s="65"/>
      <c r="O213" s="65"/>
      <c r="P213" s="65"/>
      <c r="Q213" s="65"/>
      <c r="R213" s="65" t="str">
        <f>IFERROR(VLOOKUP('BMP P Tracking Table'!$Q213,Dropdowns!$C$2:$E$15,3,FALSE),"")</f>
        <v/>
      </c>
      <c r="S213" s="65" t="str">
        <f>IFERROR(VLOOKUP('BMP P Tracking Table'!$R213,Dropdowns!$Q$3:$R$23,2,FALSE),"")</f>
        <v/>
      </c>
      <c r="T213" s="65"/>
      <c r="U213" s="65"/>
      <c r="V213" s="65"/>
      <c r="W213" s="65"/>
      <c r="X213" s="65"/>
      <c r="Y213" s="65"/>
      <c r="Z213" s="65"/>
      <c r="AA213" s="65"/>
      <c r="AB213" s="65"/>
      <c r="AC213" s="97"/>
      <c r="AD213" s="65"/>
      <c r="AE213" s="104" t="str">
        <f>IFERROR('BMP P Tracking Table'!$V213*VLOOKUP('BMP P Tracking Table'!$R213,'Loading Rates'!$B$1:$L$24,4,FALSE)+IF('BMP P Tracking Table'!$W213="By HSG",'BMP P Tracking Table'!$X213*VLOOKUP('BMP P Tracking Table'!$R213,'Loading Rates'!$B$1:$L$24,6,FALSE)+'BMP P Tracking Table'!$Y213*VLOOKUP('BMP P Tracking Table'!$R213,'Loading Rates'!$B$1:$L$24,7,FALSE)+'BMP P Tracking Table'!$Z213*VLOOKUP('BMP P Tracking Table'!$R213,'Loading Rates'!$B$1:$L$24,8,FALSE)+'BMP P Tracking Table'!$AA213*VLOOKUP('BMP P Tracking Table'!$R213,'Loading Rates'!$B$1:$L$24,9,FALSE),'BMP P Tracking Table'!$AB213*VLOOKUP('BMP P Tracking Table'!$R213,'Loading Rates'!$B$1:$L$24,10,FALSE)),"")</f>
        <v/>
      </c>
      <c r="AF213" s="104" t="str">
        <f>IFERROR(MIN(2,IF('BMP P Tracking Table'!$W213="Total Pervious",(-(3630*'BMP P Tracking Table'!$V213+20.691*'BMP P Tracking Table'!$AB213)+SQRT((3630*'BMP P Tracking Table'!$V213+20.691*'BMP P Tracking Table'!$AB213)^2-(4*(996.798*'BMP P Tracking Table'!$AB213)*-'BMP P Tracking Table'!$AC213)))/(2*(996.798*'BMP P Tracking Table'!$AB213)),IF(SUM('BMP P Tracking Table'!$X213:$AA213)=0,'BMP P Tracking Table'!$AC213/(-3630*'BMP P Tracking Table'!$V213),(-(3630*'BMP P Tracking Table'!$V213+20.691*'BMP P Tracking Table'!$AA213-216.711*'BMP P Tracking Table'!$Z213-83.853*'BMP P Tracking Table'!$Y213-42.834*'BMP P Tracking Table'!$X213)+SQRT((3630*'BMP P Tracking Table'!$V213+20.691*'BMP P Tracking Table'!$AA213-216.711*'BMP P Tracking Table'!$Z213-83.853*'BMP P Tracking Table'!$Y213-42.834*'BMP P Tracking Table'!$X213)^2-(4*(149.919*'BMP P Tracking Table'!$X213+236.676*'BMP P Tracking Table'!$Y213+726*'BMP P Tracking Table'!$Z213+996.798*'BMP P Tracking Table'!$AA213)*-'BMP P Tracking Table'!$AC213)))/(2*(149.919*'BMP P Tracking Table'!$X213+236.676*'BMP P Tracking Table'!$Y213+726*'BMP P Tracking Table'!$Z213+996.798*'BMP P Tracking Table'!$AA213))))),"")</f>
        <v/>
      </c>
      <c r="AG213" s="104" t="str">
        <f>IFERROR((VLOOKUP(CONCATENATE('BMP P Tracking Table'!$U213," ",'BMP P Tracking Table'!$AD213),'Performance Curves'!$C$1:$L$46,_xlfn.SINGLE(MATCH('BMP P Tracking Table'!$AF213,'Performance Curves'!$D$1:$L$1,1))+2,FALSE)-VLOOKUP(CONCATENATE('BMP P Tracking Table'!$U213," ",'BMP P Tracking Table'!$AD213),'Performance Curves'!$C$1:$L$46,_xlfn.SINGLE(MATCH('BMP P Tracking Table'!$AF213,'Performance Curves'!$D$1:$L$1,1))+1,FALSE)),"")</f>
        <v/>
      </c>
      <c r="AH213" s="104" t="str">
        <f>IFERROR(('BMP P Tracking Table'!$AF213-INDEX('Performance Curves'!$D$1:$L$1,1,MATCH('BMP P Tracking Table'!$AF213,'Performance Curves'!$D$1:$L$1,1)))/(INDEX('Performance Curves'!$D$1:$L$1,1,MATCH('BMP P Tracking Table'!$AF213,'Performance Curves'!$D$1:$L$1,1)+1)-INDEX('Performance Curves'!$D$1:$L$1,1,MATCH('BMP P Tracking Table'!$AF213,'Performance Curves'!$D$1:$L$1,1))),"")</f>
        <v/>
      </c>
      <c r="AI213" s="103" t="str">
        <f>IFERROR(IF('BMP P Tracking Table'!$AF213=2,VLOOKUP(CONCATENATE('BMP P Tracking Table'!$U213," ",'BMP P Tracking Table'!$AD213),'Performance Curves'!$C$1:$L$46,_xlfn.SINGLE(MATCH('BMP P Tracking Table'!$AF213,'Performance Curves'!$D$1:$L$1,1))+1,FALSE),'BMP P Tracking Table'!$AG213*'BMP P Tracking Table'!$AH213+VLOOKUP(CONCATENATE('BMP P Tracking Table'!$U213," ",'BMP P Tracking Table'!$AD213),'Performance Curves'!$C$1:$L$46,_xlfn.SINGLE(MATCH('BMP P Tracking Table'!$AF213,'Performance Curves'!$D$1:$L$1,1))+1,FALSE)),"")</f>
        <v/>
      </c>
      <c r="AJ213" s="104" t="str">
        <f>IFERROR('BMP P Tracking Table'!$AI213*'BMP P Tracking Table'!$AE213,"")</f>
        <v/>
      </c>
      <c r="AK213" s="65"/>
      <c r="AL213" s="98"/>
      <c r="AM213" s="98"/>
      <c r="AN213" s="64">
        <v>1</v>
      </c>
      <c r="AO213" s="102" t="str">
        <f t="shared" si="33"/>
        <v/>
      </c>
      <c r="AP213" s="98"/>
      <c r="AQ213" s="98"/>
      <c r="AR213" s="98"/>
      <c r="AS213" s="98"/>
      <c r="AT213" s="98"/>
      <c r="AU213" s="98"/>
      <c r="AV213" s="98"/>
      <c r="AW213" s="65"/>
      <c r="AX213" s="99"/>
      <c r="AY213" s="99"/>
      <c r="AZ213" s="104" t="str">
        <f>IF('BMP P Tracking Table'!$AL213="Yes",IF('BMP P Tracking Table'!$AM213="No",'BMP P Tracking Table'!$V213*VLOOKUP('BMP P Tracking Table'!$R213,'Loading Rates'!$B$1:$L$24,4,FALSE)+IF('BMP P Tracking Table'!$W213="By HSG",'BMP P Tracking Table'!$X213*VLOOKUP('BMP P Tracking Table'!$R213,'Loading Rates'!$B$1:$L$24,6,FALSE)+'BMP P Tracking Table'!$Y213*VLOOKUP('BMP P Tracking Table'!$R213,'Loading Rates'!$B$1:$L$24,7,FALSE)+'BMP P Tracking Table'!$Z213*VLOOKUP('BMP P Tracking Table'!$R213,'Loading Rates'!$B$1:$L$24,8,FALSE)+'BMP P Tracking Table'!$AA213*VLOOKUP('BMP P Tracking Table'!$R213,'Loading Rates'!$B$1:$L$24,9,FALSE),'BMP P Tracking Table'!$AB213*VLOOKUP('BMP P Tracking Table'!$R213,'Loading Rates'!$B$1:$L$24,10,FALSE)),'BMP P Tracking Table'!$AP213*VLOOKUP('BMP P Tracking Table'!$R213,'Loading Rates'!$B$1:$L$24,4,FALSE)+IF('BMP P Tracking Table'!$AQ213="By HSG",'BMP P Tracking Table'!$AR213*VLOOKUP('BMP P Tracking Table'!$R213,'Loading Rates'!$B$1:$L$24,6,FALSE)+'BMP P Tracking Table'!$AS213*VLOOKUP('BMP P Tracking Table'!$R213,'Loading Rates'!$B$1:$L$24,7,FALSE)+'BMP P Tracking Table'!$AT213*VLOOKUP('BMP P Tracking Table'!$R213,'Loading Rates'!$B$1:$L$24,8,FALSE)+'BMP P Tracking Table'!$AU213*VLOOKUP('BMP P Tracking Table'!$R213,'Loading Rates'!$B$1:$L$24,9,FALSE),'BMP P Tracking Table'!$AV213*VLOOKUP('BMP P Tracking Table'!$R213,'Loading Rates'!$B$1:$L$24,10,FALSE))),"")</f>
        <v/>
      </c>
      <c r="BA213" s="104" t="str">
        <f>IFERROR(IF('BMP P Tracking Table'!$AM213="Yes",MIN(2,IF('BMP P Tracking Table'!$AQ213="Total Pervious",(-(3630*'BMP P Tracking Table'!$AP213+20.691*'BMP P Tracking Table'!$AV213)+SQRT((3630*'BMP P Tracking Table'!$AP213+20.691*'BMP P Tracking Table'!$AV213)^2-(4*(996.798*'BMP P Tracking Table'!$AV213)*-'BMP P Tracking Table'!$AX213)))/(2*(996.798*'BMP P Tracking Table'!$AV213)),IF(SUM('BMP P Tracking Table'!$AR213:$AU213)=0,'BMP P Tracking Table'!$AV213/(-3630*'BMP P Tracking Table'!$AP213),(-(3630*'BMP P Tracking Table'!$AP213+20.691*'BMP P Tracking Table'!$AU213-216.711*'BMP P Tracking Table'!$AT213-83.853*'BMP P Tracking Table'!$AS213-42.834*'BMP P Tracking Table'!$AR213)+SQRT((3630*'BMP P Tracking Table'!$AP213+20.691*'BMP P Tracking Table'!$AU213-216.711*'BMP P Tracking Table'!$AT213-83.853*'BMP P Tracking Table'!$AS213-42.834*'BMP P Tracking Table'!$AR213)^2-(4*(149.919*'BMP P Tracking Table'!$AR213+236.676*'BMP P Tracking Table'!$AS213+726*'BMP P Tracking Table'!$AT213+996.798*'BMP P Tracking Table'!$AU213)*-'BMP P Tracking Table'!$AX213)))/(2*(149.919*'BMP P Tracking Table'!$AR213+236.676*'BMP P Tracking Table'!$AS213+726*'BMP P Tracking Table'!$AT213+996.798*'BMP P Tracking Table'!$AU213))))),MIN(2,IF('BMP P Tracking Table'!$AQ213="Total Pervious",(-(3630*'BMP P Tracking Table'!$V213+20.691*'BMP P Tracking Table'!$AB213)+SQRT((3630*'BMP P Tracking Table'!$V213+20.691*'BMP P Tracking Table'!$AB213)^2-(4*(996.798*'BMP P Tracking Table'!$AB213)*-'BMP P Tracking Table'!$AX213)))/(2*(996.798*'BMP P Tracking Table'!$AB213)),IF(SUM('BMP P Tracking Table'!$X213:$AA213)=0,'BMP P Tracking Table'!$AX213/(-3630*'BMP P Tracking Table'!$V213),(-(3630*'BMP P Tracking Table'!$V213+20.691*'BMP P Tracking Table'!$AA213-216.711*'BMP P Tracking Table'!$Z213-83.853*'BMP P Tracking Table'!$Y213-42.834*'BMP P Tracking Table'!$X213)+SQRT((3630*'BMP P Tracking Table'!$V213+20.691*'BMP P Tracking Table'!$AA213-216.711*'BMP P Tracking Table'!$Z213-83.853*'BMP P Tracking Table'!$Y213-42.834*'BMP P Tracking Table'!$X213)^2-(4*(149.919*'BMP P Tracking Table'!$X213+236.676*'BMP P Tracking Table'!$Y213+726*'BMP P Tracking Table'!$Z213+996.798*'BMP P Tracking Table'!$AA213)*-'BMP P Tracking Table'!$AX213)))/(2*(149.919*'BMP P Tracking Table'!$X213+236.676*'BMP P Tracking Table'!$Y213+726*'BMP P Tracking Table'!$Z213+996.798*'BMP P Tracking Table'!$AA213)))))),"")</f>
        <v/>
      </c>
      <c r="BB213" s="102" t="str">
        <f>IFERROR((VLOOKUP(CONCATENATE('BMP P Tracking Table'!$AW213," ",'BMP P Tracking Table'!$AY213),'Performance Curves'!$C$1:$L$46,_xlfn.SINGLE(MATCH('BMP P Tracking Table'!$BA213,'Performance Curves'!$D$1:$L$1,1))+2,FALSE)-VLOOKUP(CONCATENATE('BMP P Tracking Table'!$AW213," ",'BMP P Tracking Table'!$AY213),'Performance Curves'!$C$1:$L$46,_xlfn.SINGLE(MATCH('BMP P Tracking Table'!$BA213,'Performance Curves'!$D$1:$L$1,1))+1,FALSE)),"")</f>
        <v/>
      </c>
      <c r="BC213" s="102" t="str">
        <f>IFERROR(('BMP P Tracking Table'!$BA213-INDEX('Performance Curves'!$D$1:$L$1,1,MATCH('BMP P Tracking Table'!$BA213,'Performance Curves'!$D$1:$L$1,1)))/(INDEX('Performance Curves'!$D$1:$L$1,1,MATCH('BMP P Tracking Table'!$BA213,'Performance Curves'!$D$1:$L$1,1)+1)-INDEX('Performance Curves'!$D$1:$L$1,1,MATCH('BMP P Tracking Table'!$BA213,'Performance Curves'!$D$1:$L$1,1))),"")</f>
        <v/>
      </c>
      <c r="BD213" s="103" t="str" cm="1">
        <f t="array" ref="BD213">IFERROR(IF('BMP P Tracking Table'!$BA213=2,VLOOKUP(CONCATENATE('BMP P Tracking Table'!$AW213," ",'BMP P Tracking Table'!$AY213),'Performance Curves'!$C$1:$L$44,_xlfn.SINGLE(MATCH('BMP P Tracking Table'!$BA213,'Performance Curves'!$D$1:$L$1,1))+1,FALSE),'BMP P Tracking Table'!$BB213*'BMP P Tracking Table'!$BC213+VLOOKUP(CONCATENATE('BMP P Tracking Table'!$AW213," ",'BMP P Tracking Table'!$AY213),'Performance Curves'!$C$1:$L$44,_xlfn.SINGLE(MATCH('BMP P Tracking Table'!$BA213,'Performance Curves'!$D$1:$L$1,1))+1,FALSE)),"")</f>
        <v/>
      </c>
      <c r="BE213" s="104" t="str">
        <f>IFERROR('BMP P Tracking Table'!$BD213*'BMP P Tracking Table'!$AZ213,"")</f>
        <v/>
      </c>
      <c r="BF213" s="98"/>
      <c r="BG213" s="37">
        <f t="shared" si="34"/>
        <v>0</v>
      </c>
    </row>
    <row r="214" spans="2:59" s="36" customFormat="1">
      <c r="B214" s="65"/>
      <c r="C214" s="65"/>
      <c r="D214" s="65"/>
      <c r="E214" s="65"/>
      <c r="F214" s="94"/>
      <c r="G214" s="94"/>
      <c r="H214" s="65"/>
      <c r="I214" s="65"/>
      <c r="J214" s="65"/>
      <c r="K214" s="95"/>
      <c r="L214" s="65"/>
      <c r="M214" s="65"/>
      <c r="N214" s="65"/>
      <c r="O214" s="65"/>
      <c r="P214" s="65"/>
      <c r="Q214" s="65"/>
      <c r="R214" s="65" t="str">
        <f>IFERROR(VLOOKUP('BMP P Tracking Table'!$Q214,Dropdowns!$C$2:$E$15,3,FALSE),"")</f>
        <v/>
      </c>
      <c r="S214" s="65" t="str">
        <f>IFERROR(VLOOKUP('BMP P Tracking Table'!$R214,Dropdowns!$Q$3:$R$23,2,FALSE),"")</f>
        <v/>
      </c>
      <c r="T214" s="65"/>
      <c r="U214" s="65"/>
      <c r="V214" s="65"/>
      <c r="W214" s="65"/>
      <c r="X214" s="65"/>
      <c r="Y214" s="65"/>
      <c r="Z214" s="65"/>
      <c r="AA214" s="65"/>
      <c r="AB214" s="65"/>
      <c r="AC214" s="97"/>
      <c r="AD214" s="65"/>
      <c r="AE214" s="104" t="str">
        <f>IFERROR('BMP P Tracking Table'!$V214*VLOOKUP('BMP P Tracking Table'!$R214,'Loading Rates'!$B$1:$L$24,4,FALSE)+IF('BMP P Tracking Table'!$W214="By HSG",'BMP P Tracking Table'!$X214*VLOOKUP('BMP P Tracking Table'!$R214,'Loading Rates'!$B$1:$L$24,6,FALSE)+'BMP P Tracking Table'!$Y214*VLOOKUP('BMP P Tracking Table'!$R214,'Loading Rates'!$B$1:$L$24,7,FALSE)+'BMP P Tracking Table'!$Z214*VLOOKUP('BMP P Tracking Table'!$R214,'Loading Rates'!$B$1:$L$24,8,FALSE)+'BMP P Tracking Table'!$AA214*VLOOKUP('BMP P Tracking Table'!$R214,'Loading Rates'!$B$1:$L$24,9,FALSE),'BMP P Tracking Table'!$AB214*VLOOKUP('BMP P Tracking Table'!$R214,'Loading Rates'!$B$1:$L$24,10,FALSE)),"")</f>
        <v/>
      </c>
      <c r="AF214" s="104" t="str">
        <f>IFERROR(MIN(2,IF('BMP P Tracking Table'!$W214="Total Pervious",(-(3630*'BMP P Tracking Table'!$V214+20.691*'BMP P Tracking Table'!$AB214)+SQRT((3630*'BMP P Tracking Table'!$V214+20.691*'BMP P Tracking Table'!$AB214)^2-(4*(996.798*'BMP P Tracking Table'!$AB214)*-'BMP P Tracking Table'!$AC214)))/(2*(996.798*'BMP P Tracking Table'!$AB214)),IF(SUM('BMP P Tracking Table'!$X214:$AA214)=0,'BMP P Tracking Table'!$AC214/(-3630*'BMP P Tracking Table'!$V214),(-(3630*'BMP P Tracking Table'!$V214+20.691*'BMP P Tracking Table'!$AA214-216.711*'BMP P Tracking Table'!$Z214-83.853*'BMP P Tracking Table'!$Y214-42.834*'BMP P Tracking Table'!$X214)+SQRT((3630*'BMP P Tracking Table'!$V214+20.691*'BMP P Tracking Table'!$AA214-216.711*'BMP P Tracking Table'!$Z214-83.853*'BMP P Tracking Table'!$Y214-42.834*'BMP P Tracking Table'!$X214)^2-(4*(149.919*'BMP P Tracking Table'!$X214+236.676*'BMP P Tracking Table'!$Y214+726*'BMP P Tracking Table'!$Z214+996.798*'BMP P Tracking Table'!$AA214)*-'BMP P Tracking Table'!$AC214)))/(2*(149.919*'BMP P Tracking Table'!$X214+236.676*'BMP P Tracking Table'!$Y214+726*'BMP P Tracking Table'!$Z214+996.798*'BMP P Tracking Table'!$AA214))))),"")</f>
        <v/>
      </c>
      <c r="AG214" s="104" t="str">
        <f>IFERROR((VLOOKUP(CONCATENATE('BMP P Tracking Table'!$U214," ",'BMP P Tracking Table'!$AD214),'Performance Curves'!$C$1:$L$46,_xlfn.SINGLE(MATCH('BMP P Tracking Table'!$AF214,'Performance Curves'!$D$1:$L$1,1))+2,FALSE)-VLOOKUP(CONCATENATE('BMP P Tracking Table'!$U214," ",'BMP P Tracking Table'!$AD214),'Performance Curves'!$C$1:$L$46,_xlfn.SINGLE(MATCH('BMP P Tracking Table'!$AF214,'Performance Curves'!$D$1:$L$1,1))+1,FALSE)),"")</f>
        <v/>
      </c>
      <c r="AH214" s="104" t="str">
        <f>IFERROR(('BMP P Tracking Table'!$AF214-INDEX('Performance Curves'!$D$1:$L$1,1,MATCH('BMP P Tracking Table'!$AF214,'Performance Curves'!$D$1:$L$1,1)))/(INDEX('Performance Curves'!$D$1:$L$1,1,MATCH('BMP P Tracking Table'!$AF214,'Performance Curves'!$D$1:$L$1,1)+1)-INDEX('Performance Curves'!$D$1:$L$1,1,MATCH('BMP P Tracking Table'!$AF214,'Performance Curves'!$D$1:$L$1,1))),"")</f>
        <v/>
      </c>
      <c r="AI214" s="103" t="str">
        <f>IFERROR(IF('BMP P Tracking Table'!$AF214=2,VLOOKUP(CONCATENATE('BMP P Tracking Table'!$U214," ",'BMP P Tracking Table'!$AD214),'Performance Curves'!$C$1:$L$46,_xlfn.SINGLE(MATCH('BMP P Tracking Table'!$AF214,'Performance Curves'!$D$1:$L$1,1))+1,FALSE),'BMP P Tracking Table'!$AG214*'BMP P Tracking Table'!$AH214+VLOOKUP(CONCATENATE('BMP P Tracking Table'!$U214," ",'BMP P Tracking Table'!$AD214),'Performance Curves'!$C$1:$L$46,_xlfn.SINGLE(MATCH('BMP P Tracking Table'!$AF214,'Performance Curves'!$D$1:$L$1,1))+1,FALSE)),"")</f>
        <v/>
      </c>
      <c r="AJ214" s="104" t="str">
        <f>IFERROR('BMP P Tracking Table'!$AI214*'BMP P Tracking Table'!$AE214,"")</f>
        <v/>
      </c>
      <c r="AK214" s="65"/>
      <c r="AL214" s="98"/>
      <c r="AM214" s="98"/>
      <c r="AN214" s="64">
        <v>1</v>
      </c>
      <c r="AO214" s="102" t="str">
        <f t="shared" si="33"/>
        <v/>
      </c>
      <c r="AP214" s="98"/>
      <c r="AQ214" s="98"/>
      <c r="AR214" s="98"/>
      <c r="AS214" s="98"/>
      <c r="AT214" s="98"/>
      <c r="AU214" s="98"/>
      <c r="AV214" s="98"/>
      <c r="AW214" s="65"/>
      <c r="AX214" s="99"/>
      <c r="AY214" s="99"/>
      <c r="AZ214" s="104" t="str">
        <f>IF('BMP P Tracking Table'!$AL214="Yes",IF('BMP P Tracking Table'!$AM214="No",'BMP P Tracking Table'!$V214*VLOOKUP('BMP P Tracking Table'!$R214,'Loading Rates'!$B$1:$L$24,4,FALSE)+IF('BMP P Tracking Table'!$W214="By HSG",'BMP P Tracking Table'!$X214*VLOOKUP('BMP P Tracking Table'!$R214,'Loading Rates'!$B$1:$L$24,6,FALSE)+'BMP P Tracking Table'!$Y214*VLOOKUP('BMP P Tracking Table'!$R214,'Loading Rates'!$B$1:$L$24,7,FALSE)+'BMP P Tracking Table'!$Z214*VLOOKUP('BMP P Tracking Table'!$R214,'Loading Rates'!$B$1:$L$24,8,FALSE)+'BMP P Tracking Table'!$AA214*VLOOKUP('BMP P Tracking Table'!$R214,'Loading Rates'!$B$1:$L$24,9,FALSE),'BMP P Tracking Table'!$AB214*VLOOKUP('BMP P Tracking Table'!$R214,'Loading Rates'!$B$1:$L$24,10,FALSE)),'BMP P Tracking Table'!$AP214*VLOOKUP('BMP P Tracking Table'!$R214,'Loading Rates'!$B$1:$L$24,4,FALSE)+IF('BMP P Tracking Table'!$AQ214="By HSG",'BMP P Tracking Table'!$AR214*VLOOKUP('BMP P Tracking Table'!$R214,'Loading Rates'!$B$1:$L$24,6,FALSE)+'BMP P Tracking Table'!$AS214*VLOOKUP('BMP P Tracking Table'!$R214,'Loading Rates'!$B$1:$L$24,7,FALSE)+'BMP P Tracking Table'!$AT214*VLOOKUP('BMP P Tracking Table'!$R214,'Loading Rates'!$B$1:$L$24,8,FALSE)+'BMP P Tracking Table'!$AU214*VLOOKUP('BMP P Tracking Table'!$R214,'Loading Rates'!$B$1:$L$24,9,FALSE),'BMP P Tracking Table'!$AV214*VLOOKUP('BMP P Tracking Table'!$R214,'Loading Rates'!$B$1:$L$24,10,FALSE))),"")</f>
        <v/>
      </c>
      <c r="BA214" s="104" t="str">
        <f>IFERROR(IF('BMP P Tracking Table'!$AM214="Yes",MIN(2,IF('BMP P Tracking Table'!$AQ214="Total Pervious",(-(3630*'BMP P Tracking Table'!$AP214+20.691*'BMP P Tracking Table'!$AV214)+SQRT((3630*'BMP P Tracking Table'!$AP214+20.691*'BMP P Tracking Table'!$AV214)^2-(4*(996.798*'BMP P Tracking Table'!$AV214)*-'BMP P Tracking Table'!$AX214)))/(2*(996.798*'BMP P Tracking Table'!$AV214)),IF(SUM('BMP P Tracking Table'!$AR214:$AU214)=0,'BMP P Tracking Table'!$AV214/(-3630*'BMP P Tracking Table'!$AP214),(-(3630*'BMP P Tracking Table'!$AP214+20.691*'BMP P Tracking Table'!$AU214-216.711*'BMP P Tracking Table'!$AT214-83.853*'BMP P Tracking Table'!$AS214-42.834*'BMP P Tracking Table'!$AR214)+SQRT((3630*'BMP P Tracking Table'!$AP214+20.691*'BMP P Tracking Table'!$AU214-216.711*'BMP P Tracking Table'!$AT214-83.853*'BMP P Tracking Table'!$AS214-42.834*'BMP P Tracking Table'!$AR214)^2-(4*(149.919*'BMP P Tracking Table'!$AR214+236.676*'BMP P Tracking Table'!$AS214+726*'BMP P Tracking Table'!$AT214+996.798*'BMP P Tracking Table'!$AU214)*-'BMP P Tracking Table'!$AX214)))/(2*(149.919*'BMP P Tracking Table'!$AR214+236.676*'BMP P Tracking Table'!$AS214+726*'BMP P Tracking Table'!$AT214+996.798*'BMP P Tracking Table'!$AU214))))),MIN(2,IF('BMP P Tracking Table'!$AQ214="Total Pervious",(-(3630*'BMP P Tracking Table'!$V214+20.691*'BMP P Tracking Table'!$AB214)+SQRT((3630*'BMP P Tracking Table'!$V214+20.691*'BMP P Tracking Table'!$AB214)^2-(4*(996.798*'BMP P Tracking Table'!$AB214)*-'BMP P Tracking Table'!$AX214)))/(2*(996.798*'BMP P Tracking Table'!$AB214)),IF(SUM('BMP P Tracking Table'!$X214:$AA214)=0,'BMP P Tracking Table'!$AX214/(-3630*'BMP P Tracking Table'!$V214),(-(3630*'BMP P Tracking Table'!$V214+20.691*'BMP P Tracking Table'!$AA214-216.711*'BMP P Tracking Table'!$Z214-83.853*'BMP P Tracking Table'!$Y214-42.834*'BMP P Tracking Table'!$X214)+SQRT((3630*'BMP P Tracking Table'!$V214+20.691*'BMP P Tracking Table'!$AA214-216.711*'BMP P Tracking Table'!$Z214-83.853*'BMP P Tracking Table'!$Y214-42.834*'BMP P Tracking Table'!$X214)^2-(4*(149.919*'BMP P Tracking Table'!$X214+236.676*'BMP P Tracking Table'!$Y214+726*'BMP P Tracking Table'!$Z214+996.798*'BMP P Tracking Table'!$AA214)*-'BMP P Tracking Table'!$AX214)))/(2*(149.919*'BMP P Tracking Table'!$X214+236.676*'BMP P Tracking Table'!$Y214+726*'BMP P Tracking Table'!$Z214+996.798*'BMP P Tracking Table'!$AA214)))))),"")</f>
        <v/>
      </c>
      <c r="BB214" s="102" t="str">
        <f>IFERROR((VLOOKUP(CONCATENATE('BMP P Tracking Table'!$AW214," ",'BMP P Tracking Table'!$AY214),'Performance Curves'!$C$1:$L$46,_xlfn.SINGLE(MATCH('BMP P Tracking Table'!$BA214,'Performance Curves'!$D$1:$L$1,1))+2,FALSE)-VLOOKUP(CONCATENATE('BMP P Tracking Table'!$AW214," ",'BMP P Tracking Table'!$AY214),'Performance Curves'!$C$1:$L$46,_xlfn.SINGLE(MATCH('BMP P Tracking Table'!$BA214,'Performance Curves'!$D$1:$L$1,1))+1,FALSE)),"")</f>
        <v/>
      </c>
      <c r="BC214" s="102" t="str">
        <f>IFERROR(('BMP P Tracking Table'!$BA214-INDEX('Performance Curves'!$D$1:$L$1,1,MATCH('BMP P Tracking Table'!$BA214,'Performance Curves'!$D$1:$L$1,1)))/(INDEX('Performance Curves'!$D$1:$L$1,1,MATCH('BMP P Tracking Table'!$BA214,'Performance Curves'!$D$1:$L$1,1)+1)-INDEX('Performance Curves'!$D$1:$L$1,1,MATCH('BMP P Tracking Table'!$BA214,'Performance Curves'!$D$1:$L$1,1))),"")</f>
        <v/>
      </c>
      <c r="BD214" s="103" t="str" cm="1">
        <f t="array" ref="BD214">IFERROR(IF('BMP P Tracking Table'!$BA214=2,VLOOKUP(CONCATENATE('BMP P Tracking Table'!$AW214," ",'BMP P Tracking Table'!$AY214),'Performance Curves'!$C$1:$L$44,_xlfn.SINGLE(MATCH('BMP P Tracking Table'!$BA214,'Performance Curves'!$D$1:$L$1,1))+1,FALSE),'BMP P Tracking Table'!$BB214*'BMP P Tracking Table'!$BC214+VLOOKUP(CONCATENATE('BMP P Tracking Table'!$AW214," ",'BMP P Tracking Table'!$AY214),'Performance Curves'!$C$1:$L$44,_xlfn.SINGLE(MATCH('BMP P Tracking Table'!$BA214,'Performance Curves'!$D$1:$L$1,1))+1,FALSE)),"")</f>
        <v/>
      </c>
      <c r="BE214" s="104" t="str">
        <f>IFERROR('BMP P Tracking Table'!$BD214*'BMP P Tracking Table'!$AZ214,"")</f>
        <v/>
      </c>
      <c r="BF214" s="98"/>
      <c r="BG214" s="37">
        <f t="shared" si="34"/>
        <v>0</v>
      </c>
    </row>
    <row r="215" spans="2:59" s="36" customFormat="1">
      <c r="B215" s="65"/>
      <c r="C215" s="65"/>
      <c r="D215" s="65"/>
      <c r="E215" s="65"/>
      <c r="F215" s="94"/>
      <c r="G215" s="94"/>
      <c r="H215" s="65"/>
      <c r="I215" s="65"/>
      <c r="J215" s="65"/>
      <c r="K215" s="95"/>
      <c r="L215" s="65"/>
      <c r="M215" s="65"/>
      <c r="N215" s="65"/>
      <c r="O215" s="65"/>
      <c r="P215" s="65"/>
      <c r="Q215" s="65"/>
      <c r="R215" s="65" t="str">
        <f>IFERROR(VLOOKUP('BMP P Tracking Table'!$Q215,Dropdowns!$C$2:$E$15,3,FALSE),"")</f>
        <v/>
      </c>
      <c r="S215" s="65" t="str">
        <f>IFERROR(VLOOKUP('BMP P Tracking Table'!$R215,Dropdowns!$Q$3:$R$23,2,FALSE),"")</f>
        <v/>
      </c>
      <c r="T215" s="65"/>
      <c r="U215" s="65"/>
      <c r="V215" s="65"/>
      <c r="W215" s="65"/>
      <c r="X215" s="65"/>
      <c r="Y215" s="65"/>
      <c r="Z215" s="65"/>
      <c r="AA215" s="65"/>
      <c r="AB215" s="65"/>
      <c r="AC215" s="97"/>
      <c r="AD215" s="65"/>
      <c r="AE215" s="104" t="str">
        <f>IFERROR('BMP P Tracking Table'!$V215*VLOOKUP('BMP P Tracking Table'!$R215,'Loading Rates'!$B$1:$L$24,4,FALSE)+IF('BMP P Tracking Table'!$W215="By HSG",'BMP P Tracking Table'!$X215*VLOOKUP('BMP P Tracking Table'!$R215,'Loading Rates'!$B$1:$L$24,6,FALSE)+'BMP P Tracking Table'!$Y215*VLOOKUP('BMP P Tracking Table'!$R215,'Loading Rates'!$B$1:$L$24,7,FALSE)+'BMP P Tracking Table'!$Z215*VLOOKUP('BMP P Tracking Table'!$R215,'Loading Rates'!$B$1:$L$24,8,FALSE)+'BMP P Tracking Table'!$AA215*VLOOKUP('BMP P Tracking Table'!$R215,'Loading Rates'!$B$1:$L$24,9,FALSE),'BMP P Tracking Table'!$AB215*VLOOKUP('BMP P Tracking Table'!$R215,'Loading Rates'!$B$1:$L$24,10,FALSE)),"")</f>
        <v/>
      </c>
      <c r="AF215" s="104" t="str">
        <f>IFERROR(MIN(2,IF('BMP P Tracking Table'!$W215="Total Pervious",(-(3630*'BMP P Tracking Table'!$V215+20.691*'BMP P Tracking Table'!$AB215)+SQRT((3630*'BMP P Tracking Table'!$V215+20.691*'BMP P Tracking Table'!$AB215)^2-(4*(996.798*'BMP P Tracking Table'!$AB215)*-'BMP P Tracking Table'!$AC215)))/(2*(996.798*'BMP P Tracking Table'!$AB215)),IF(SUM('BMP P Tracking Table'!$X215:$AA215)=0,'BMP P Tracking Table'!$AC215/(-3630*'BMP P Tracking Table'!$V215),(-(3630*'BMP P Tracking Table'!$V215+20.691*'BMP P Tracking Table'!$AA215-216.711*'BMP P Tracking Table'!$Z215-83.853*'BMP P Tracking Table'!$Y215-42.834*'BMP P Tracking Table'!$X215)+SQRT((3630*'BMP P Tracking Table'!$V215+20.691*'BMP P Tracking Table'!$AA215-216.711*'BMP P Tracking Table'!$Z215-83.853*'BMP P Tracking Table'!$Y215-42.834*'BMP P Tracking Table'!$X215)^2-(4*(149.919*'BMP P Tracking Table'!$X215+236.676*'BMP P Tracking Table'!$Y215+726*'BMP P Tracking Table'!$Z215+996.798*'BMP P Tracking Table'!$AA215)*-'BMP P Tracking Table'!$AC215)))/(2*(149.919*'BMP P Tracking Table'!$X215+236.676*'BMP P Tracking Table'!$Y215+726*'BMP P Tracking Table'!$Z215+996.798*'BMP P Tracking Table'!$AA215))))),"")</f>
        <v/>
      </c>
      <c r="AG215" s="104" t="str">
        <f>IFERROR((VLOOKUP(CONCATENATE('BMP P Tracking Table'!$U215," ",'BMP P Tracking Table'!$AD215),'Performance Curves'!$C$1:$L$46,_xlfn.SINGLE(MATCH('BMP P Tracking Table'!$AF215,'Performance Curves'!$D$1:$L$1,1))+2,FALSE)-VLOOKUP(CONCATENATE('BMP P Tracking Table'!$U215," ",'BMP P Tracking Table'!$AD215),'Performance Curves'!$C$1:$L$46,_xlfn.SINGLE(MATCH('BMP P Tracking Table'!$AF215,'Performance Curves'!$D$1:$L$1,1))+1,FALSE)),"")</f>
        <v/>
      </c>
      <c r="AH215" s="104" t="str">
        <f>IFERROR(('BMP P Tracking Table'!$AF215-INDEX('Performance Curves'!$D$1:$L$1,1,MATCH('BMP P Tracking Table'!$AF215,'Performance Curves'!$D$1:$L$1,1)))/(INDEX('Performance Curves'!$D$1:$L$1,1,MATCH('BMP P Tracking Table'!$AF215,'Performance Curves'!$D$1:$L$1,1)+1)-INDEX('Performance Curves'!$D$1:$L$1,1,MATCH('BMP P Tracking Table'!$AF215,'Performance Curves'!$D$1:$L$1,1))),"")</f>
        <v/>
      </c>
      <c r="AI215" s="103" t="str">
        <f>IFERROR(IF('BMP P Tracking Table'!$AF215=2,VLOOKUP(CONCATENATE('BMP P Tracking Table'!$U215," ",'BMP P Tracking Table'!$AD215),'Performance Curves'!$C$1:$L$46,_xlfn.SINGLE(MATCH('BMP P Tracking Table'!$AF215,'Performance Curves'!$D$1:$L$1,1))+1,FALSE),'BMP P Tracking Table'!$AG215*'BMP P Tracking Table'!$AH215+VLOOKUP(CONCATENATE('BMP P Tracking Table'!$U215," ",'BMP P Tracking Table'!$AD215),'Performance Curves'!$C$1:$L$46,_xlfn.SINGLE(MATCH('BMP P Tracking Table'!$AF215,'Performance Curves'!$D$1:$L$1,1))+1,FALSE)),"")</f>
        <v/>
      </c>
      <c r="AJ215" s="104" t="str">
        <f>IFERROR('BMP P Tracking Table'!$AI215*'BMP P Tracking Table'!$AE215,"")</f>
        <v/>
      </c>
      <c r="AK215" s="65"/>
      <c r="AL215" s="98"/>
      <c r="AM215" s="98"/>
      <c r="AN215" s="64">
        <v>1</v>
      </c>
      <c r="AO215" s="102" t="str">
        <f t="shared" si="33"/>
        <v/>
      </c>
      <c r="AP215" s="98"/>
      <c r="AQ215" s="98"/>
      <c r="AR215" s="98"/>
      <c r="AS215" s="98"/>
      <c r="AT215" s="98"/>
      <c r="AU215" s="98"/>
      <c r="AV215" s="98"/>
      <c r="AW215" s="65"/>
      <c r="AX215" s="99"/>
      <c r="AY215" s="99"/>
      <c r="AZ215" s="104" t="str">
        <f>IF('BMP P Tracking Table'!$AL215="Yes",IF('BMP P Tracking Table'!$AM215="No",'BMP P Tracking Table'!$V215*VLOOKUP('BMP P Tracking Table'!$R215,'Loading Rates'!$B$1:$L$24,4,FALSE)+IF('BMP P Tracking Table'!$W215="By HSG",'BMP P Tracking Table'!$X215*VLOOKUP('BMP P Tracking Table'!$R215,'Loading Rates'!$B$1:$L$24,6,FALSE)+'BMP P Tracking Table'!$Y215*VLOOKUP('BMP P Tracking Table'!$R215,'Loading Rates'!$B$1:$L$24,7,FALSE)+'BMP P Tracking Table'!$Z215*VLOOKUP('BMP P Tracking Table'!$R215,'Loading Rates'!$B$1:$L$24,8,FALSE)+'BMP P Tracking Table'!$AA215*VLOOKUP('BMP P Tracking Table'!$R215,'Loading Rates'!$B$1:$L$24,9,FALSE),'BMP P Tracking Table'!$AB215*VLOOKUP('BMP P Tracking Table'!$R215,'Loading Rates'!$B$1:$L$24,10,FALSE)),'BMP P Tracking Table'!$AP215*VLOOKUP('BMP P Tracking Table'!$R215,'Loading Rates'!$B$1:$L$24,4,FALSE)+IF('BMP P Tracking Table'!$AQ215="By HSG",'BMP P Tracking Table'!$AR215*VLOOKUP('BMP P Tracking Table'!$R215,'Loading Rates'!$B$1:$L$24,6,FALSE)+'BMP P Tracking Table'!$AS215*VLOOKUP('BMP P Tracking Table'!$R215,'Loading Rates'!$B$1:$L$24,7,FALSE)+'BMP P Tracking Table'!$AT215*VLOOKUP('BMP P Tracking Table'!$R215,'Loading Rates'!$B$1:$L$24,8,FALSE)+'BMP P Tracking Table'!$AU215*VLOOKUP('BMP P Tracking Table'!$R215,'Loading Rates'!$B$1:$L$24,9,FALSE),'BMP P Tracking Table'!$AV215*VLOOKUP('BMP P Tracking Table'!$R215,'Loading Rates'!$B$1:$L$24,10,FALSE))),"")</f>
        <v/>
      </c>
      <c r="BA215" s="104" t="str">
        <f>IFERROR(IF('BMP P Tracking Table'!$AM215="Yes",MIN(2,IF('BMP P Tracking Table'!$AQ215="Total Pervious",(-(3630*'BMP P Tracking Table'!$AP215+20.691*'BMP P Tracking Table'!$AV215)+SQRT((3630*'BMP P Tracking Table'!$AP215+20.691*'BMP P Tracking Table'!$AV215)^2-(4*(996.798*'BMP P Tracking Table'!$AV215)*-'BMP P Tracking Table'!$AX215)))/(2*(996.798*'BMP P Tracking Table'!$AV215)),IF(SUM('BMP P Tracking Table'!$AR215:$AU215)=0,'BMP P Tracking Table'!$AV215/(-3630*'BMP P Tracking Table'!$AP215),(-(3630*'BMP P Tracking Table'!$AP215+20.691*'BMP P Tracking Table'!$AU215-216.711*'BMP P Tracking Table'!$AT215-83.853*'BMP P Tracking Table'!$AS215-42.834*'BMP P Tracking Table'!$AR215)+SQRT((3630*'BMP P Tracking Table'!$AP215+20.691*'BMP P Tracking Table'!$AU215-216.711*'BMP P Tracking Table'!$AT215-83.853*'BMP P Tracking Table'!$AS215-42.834*'BMP P Tracking Table'!$AR215)^2-(4*(149.919*'BMP P Tracking Table'!$AR215+236.676*'BMP P Tracking Table'!$AS215+726*'BMP P Tracking Table'!$AT215+996.798*'BMP P Tracking Table'!$AU215)*-'BMP P Tracking Table'!$AX215)))/(2*(149.919*'BMP P Tracking Table'!$AR215+236.676*'BMP P Tracking Table'!$AS215+726*'BMP P Tracking Table'!$AT215+996.798*'BMP P Tracking Table'!$AU215))))),MIN(2,IF('BMP P Tracking Table'!$AQ215="Total Pervious",(-(3630*'BMP P Tracking Table'!$V215+20.691*'BMP P Tracking Table'!$AB215)+SQRT((3630*'BMP P Tracking Table'!$V215+20.691*'BMP P Tracking Table'!$AB215)^2-(4*(996.798*'BMP P Tracking Table'!$AB215)*-'BMP P Tracking Table'!$AX215)))/(2*(996.798*'BMP P Tracking Table'!$AB215)),IF(SUM('BMP P Tracking Table'!$X215:$AA215)=0,'BMP P Tracking Table'!$AX215/(-3630*'BMP P Tracking Table'!$V215),(-(3630*'BMP P Tracking Table'!$V215+20.691*'BMP P Tracking Table'!$AA215-216.711*'BMP P Tracking Table'!$Z215-83.853*'BMP P Tracking Table'!$Y215-42.834*'BMP P Tracking Table'!$X215)+SQRT((3630*'BMP P Tracking Table'!$V215+20.691*'BMP P Tracking Table'!$AA215-216.711*'BMP P Tracking Table'!$Z215-83.853*'BMP P Tracking Table'!$Y215-42.834*'BMP P Tracking Table'!$X215)^2-(4*(149.919*'BMP P Tracking Table'!$X215+236.676*'BMP P Tracking Table'!$Y215+726*'BMP P Tracking Table'!$Z215+996.798*'BMP P Tracking Table'!$AA215)*-'BMP P Tracking Table'!$AX215)))/(2*(149.919*'BMP P Tracking Table'!$X215+236.676*'BMP P Tracking Table'!$Y215+726*'BMP P Tracking Table'!$Z215+996.798*'BMP P Tracking Table'!$AA215)))))),"")</f>
        <v/>
      </c>
      <c r="BB215" s="102" t="str">
        <f>IFERROR((VLOOKUP(CONCATENATE('BMP P Tracking Table'!$AW215," ",'BMP P Tracking Table'!$AY215),'Performance Curves'!$C$1:$L$46,_xlfn.SINGLE(MATCH('BMP P Tracking Table'!$BA215,'Performance Curves'!$D$1:$L$1,1))+2,FALSE)-VLOOKUP(CONCATENATE('BMP P Tracking Table'!$AW215," ",'BMP P Tracking Table'!$AY215),'Performance Curves'!$C$1:$L$46,_xlfn.SINGLE(MATCH('BMP P Tracking Table'!$BA215,'Performance Curves'!$D$1:$L$1,1))+1,FALSE)),"")</f>
        <v/>
      </c>
      <c r="BC215" s="102" t="str">
        <f>IFERROR(('BMP P Tracking Table'!$BA215-INDEX('Performance Curves'!$D$1:$L$1,1,MATCH('BMP P Tracking Table'!$BA215,'Performance Curves'!$D$1:$L$1,1)))/(INDEX('Performance Curves'!$D$1:$L$1,1,MATCH('BMP P Tracking Table'!$BA215,'Performance Curves'!$D$1:$L$1,1)+1)-INDEX('Performance Curves'!$D$1:$L$1,1,MATCH('BMP P Tracking Table'!$BA215,'Performance Curves'!$D$1:$L$1,1))),"")</f>
        <v/>
      </c>
      <c r="BD215" s="103" t="str" cm="1">
        <f t="array" ref="BD215">IFERROR(IF('BMP P Tracking Table'!$BA215=2,VLOOKUP(CONCATENATE('BMP P Tracking Table'!$AW215," ",'BMP P Tracking Table'!$AY215),'Performance Curves'!$C$1:$L$44,_xlfn.SINGLE(MATCH('BMP P Tracking Table'!$BA215,'Performance Curves'!$D$1:$L$1,1))+1,FALSE),'BMP P Tracking Table'!$BB215*'BMP P Tracking Table'!$BC215+VLOOKUP(CONCATENATE('BMP P Tracking Table'!$AW215," ",'BMP P Tracking Table'!$AY215),'Performance Curves'!$C$1:$L$44,_xlfn.SINGLE(MATCH('BMP P Tracking Table'!$BA215,'Performance Curves'!$D$1:$L$1,1))+1,FALSE)),"")</f>
        <v/>
      </c>
      <c r="BE215" s="104" t="str">
        <f>IFERROR('BMP P Tracking Table'!$BD215*'BMP P Tracking Table'!$AZ215,"")</f>
        <v/>
      </c>
      <c r="BF215" s="98"/>
      <c r="BG215" s="37">
        <f t="shared" si="34"/>
        <v>0</v>
      </c>
    </row>
    <row r="216" spans="2:59" s="36" customFormat="1">
      <c r="B216" s="65"/>
      <c r="C216" s="65"/>
      <c r="D216" s="65"/>
      <c r="E216" s="65"/>
      <c r="F216" s="94"/>
      <c r="G216" s="94"/>
      <c r="H216" s="65"/>
      <c r="I216" s="65"/>
      <c r="J216" s="65"/>
      <c r="K216" s="95"/>
      <c r="L216" s="65"/>
      <c r="M216" s="65"/>
      <c r="N216" s="65"/>
      <c r="O216" s="65"/>
      <c r="P216" s="65"/>
      <c r="Q216" s="65"/>
      <c r="R216" s="65" t="str">
        <f>IFERROR(VLOOKUP('BMP P Tracking Table'!$Q216,Dropdowns!$C$2:$E$15,3,FALSE),"")</f>
        <v/>
      </c>
      <c r="S216" s="65" t="str">
        <f>IFERROR(VLOOKUP('BMP P Tracking Table'!$R216,Dropdowns!$Q$3:$R$23,2,FALSE),"")</f>
        <v/>
      </c>
      <c r="T216" s="65"/>
      <c r="U216" s="65"/>
      <c r="V216" s="65"/>
      <c r="W216" s="65"/>
      <c r="X216" s="65"/>
      <c r="Y216" s="65"/>
      <c r="Z216" s="65"/>
      <c r="AA216" s="65"/>
      <c r="AB216" s="65"/>
      <c r="AC216" s="97"/>
      <c r="AD216" s="65"/>
      <c r="AE216" s="104" t="str">
        <f>IFERROR('BMP P Tracking Table'!$V216*VLOOKUP('BMP P Tracking Table'!$R216,'Loading Rates'!$B$1:$L$24,4,FALSE)+IF('BMP P Tracking Table'!$W216="By HSG",'BMP P Tracking Table'!$X216*VLOOKUP('BMP P Tracking Table'!$R216,'Loading Rates'!$B$1:$L$24,6,FALSE)+'BMP P Tracking Table'!$Y216*VLOOKUP('BMP P Tracking Table'!$R216,'Loading Rates'!$B$1:$L$24,7,FALSE)+'BMP P Tracking Table'!$Z216*VLOOKUP('BMP P Tracking Table'!$R216,'Loading Rates'!$B$1:$L$24,8,FALSE)+'BMP P Tracking Table'!$AA216*VLOOKUP('BMP P Tracking Table'!$R216,'Loading Rates'!$B$1:$L$24,9,FALSE),'BMP P Tracking Table'!$AB216*VLOOKUP('BMP P Tracking Table'!$R216,'Loading Rates'!$B$1:$L$24,10,FALSE)),"")</f>
        <v/>
      </c>
      <c r="AF216" s="104" t="str">
        <f>IFERROR(MIN(2,IF('BMP P Tracking Table'!$W216="Total Pervious",(-(3630*'BMP P Tracking Table'!$V216+20.691*'BMP P Tracking Table'!$AB216)+SQRT((3630*'BMP P Tracking Table'!$V216+20.691*'BMP P Tracking Table'!$AB216)^2-(4*(996.798*'BMP P Tracking Table'!$AB216)*-'BMP P Tracking Table'!$AC216)))/(2*(996.798*'BMP P Tracking Table'!$AB216)),IF(SUM('BMP P Tracking Table'!$X216:$AA216)=0,'BMP P Tracking Table'!$AC216/(-3630*'BMP P Tracking Table'!$V216),(-(3630*'BMP P Tracking Table'!$V216+20.691*'BMP P Tracking Table'!$AA216-216.711*'BMP P Tracking Table'!$Z216-83.853*'BMP P Tracking Table'!$Y216-42.834*'BMP P Tracking Table'!$X216)+SQRT((3630*'BMP P Tracking Table'!$V216+20.691*'BMP P Tracking Table'!$AA216-216.711*'BMP P Tracking Table'!$Z216-83.853*'BMP P Tracking Table'!$Y216-42.834*'BMP P Tracking Table'!$X216)^2-(4*(149.919*'BMP P Tracking Table'!$X216+236.676*'BMP P Tracking Table'!$Y216+726*'BMP P Tracking Table'!$Z216+996.798*'BMP P Tracking Table'!$AA216)*-'BMP P Tracking Table'!$AC216)))/(2*(149.919*'BMP P Tracking Table'!$X216+236.676*'BMP P Tracking Table'!$Y216+726*'BMP P Tracking Table'!$Z216+996.798*'BMP P Tracking Table'!$AA216))))),"")</f>
        <v/>
      </c>
      <c r="AG216" s="104" t="str">
        <f>IFERROR((VLOOKUP(CONCATENATE('BMP P Tracking Table'!$U216," ",'BMP P Tracking Table'!$AD216),'Performance Curves'!$C$1:$L$46,_xlfn.SINGLE(MATCH('BMP P Tracking Table'!$AF216,'Performance Curves'!$D$1:$L$1,1))+2,FALSE)-VLOOKUP(CONCATENATE('BMP P Tracking Table'!$U216," ",'BMP P Tracking Table'!$AD216),'Performance Curves'!$C$1:$L$46,_xlfn.SINGLE(MATCH('BMP P Tracking Table'!$AF216,'Performance Curves'!$D$1:$L$1,1))+1,FALSE)),"")</f>
        <v/>
      </c>
      <c r="AH216" s="104" t="str">
        <f>IFERROR(('BMP P Tracking Table'!$AF216-INDEX('Performance Curves'!$D$1:$L$1,1,MATCH('BMP P Tracking Table'!$AF216,'Performance Curves'!$D$1:$L$1,1)))/(INDEX('Performance Curves'!$D$1:$L$1,1,MATCH('BMP P Tracking Table'!$AF216,'Performance Curves'!$D$1:$L$1,1)+1)-INDEX('Performance Curves'!$D$1:$L$1,1,MATCH('BMP P Tracking Table'!$AF216,'Performance Curves'!$D$1:$L$1,1))),"")</f>
        <v/>
      </c>
      <c r="AI216" s="103" t="str">
        <f>IFERROR(IF('BMP P Tracking Table'!$AF216=2,VLOOKUP(CONCATENATE('BMP P Tracking Table'!$U216," ",'BMP P Tracking Table'!$AD216),'Performance Curves'!$C$1:$L$46,_xlfn.SINGLE(MATCH('BMP P Tracking Table'!$AF216,'Performance Curves'!$D$1:$L$1,1))+1,FALSE),'BMP P Tracking Table'!$AG216*'BMP P Tracking Table'!$AH216+VLOOKUP(CONCATENATE('BMP P Tracking Table'!$U216," ",'BMP P Tracking Table'!$AD216),'Performance Curves'!$C$1:$L$46,_xlfn.SINGLE(MATCH('BMP P Tracking Table'!$AF216,'Performance Curves'!$D$1:$L$1,1))+1,FALSE)),"")</f>
        <v/>
      </c>
      <c r="AJ216" s="104" t="str">
        <f>IFERROR('BMP P Tracking Table'!$AI216*'BMP P Tracking Table'!$AE216,"")</f>
        <v/>
      </c>
      <c r="AK216" s="65"/>
      <c r="AL216" s="98"/>
      <c r="AM216" s="98"/>
      <c r="AN216" s="64">
        <v>1</v>
      </c>
      <c r="AO216" s="102" t="str">
        <f t="shared" si="33"/>
        <v/>
      </c>
      <c r="AP216" s="98"/>
      <c r="AQ216" s="98"/>
      <c r="AR216" s="98"/>
      <c r="AS216" s="98"/>
      <c r="AT216" s="98"/>
      <c r="AU216" s="98"/>
      <c r="AV216" s="98"/>
      <c r="AW216" s="65"/>
      <c r="AX216" s="99"/>
      <c r="AY216" s="99"/>
      <c r="AZ216" s="104" t="str">
        <f>IF('BMP P Tracking Table'!$AL216="Yes",IF('BMP P Tracking Table'!$AM216="No",'BMP P Tracking Table'!$V216*VLOOKUP('BMP P Tracking Table'!$R216,'Loading Rates'!$B$1:$L$24,4,FALSE)+IF('BMP P Tracking Table'!$W216="By HSG",'BMP P Tracking Table'!$X216*VLOOKUP('BMP P Tracking Table'!$R216,'Loading Rates'!$B$1:$L$24,6,FALSE)+'BMP P Tracking Table'!$Y216*VLOOKUP('BMP P Tracking Table'!$R216,'Loading Rates'!$B$1:$L$24,7,FALSE)+'BMP P Tracking Table'!$Z216*VLOOKUP('BMP P Tracking Table'!$R216,'Loading Rates'!$B$1:$L$24,8,FALSE)+'BMP P Tracking Table'!$AA216*VLOOKUP('BMP P Tracking Table'!$R216,'Loading Rates'!$B$1:$L$24,9,FALSE),'BMP P Tracking Table'!$AB216*VLOOKUP('BMP P Tracking Table'!$R216,'Loading Rates'!$B$1:$L$24,10,FALSE)),'BMP P Tracking Table'!$AP216*VLOOKUP('BMP P Tracking Table'!$R216,'Loading Rates'!$B$1:$L$24,4,FALSE)+IF('BMP P Tracking Table'!$AQ216="By HSG",'BMP P Tracking Table'!$AR216*VLOOKUP('BMP P Tracking Table'!$R216,'Loading Rates'!$B$1:$L$24,6,FALSE)+'BMP P Tracking Table'!$AS216*VLOOKUP('BMP P Tracking Table'!$R216,'Loading Rates'!$B$1:$L$24,7,FALSE)+'BMP P Tracking Table'!$AT216*VLOOKUP('BMP P Tracking Table'!$R216,'Loading Rates'!$B$1:$L$24,8,FALSE)+'BMP P Tracking Table'!$AU216*VLOOKUP('BMP P Tracking Table'!$R216,'Loading Rates'!$B$1:$L$24,9,FALSE),'BMP P Tracking Table'!$AV216*VLOOKUP('BMP P Tracking Table'!$R216,'Loading Rates'!$B$1:$L$24,10,FALSE))),"")</f>
        <v/>
      </c>
      <c r="BA216" s="104" t="str">
        <f>IFERROR(IF('BMP P Tracking Table'!$AM216="Yes",MIN(2,IF('BMP P Tracking Table'!$AQ216="Total Pervious",(-(3630*'BMP P Tracking Table'!$AP216+20.691*'BMP P Tracking Table'!$AV216)+SQRT((3630*'BMP P Tracking Table'!$AP216+20.691*'BMP P Tracking Table'!$AV216)^2-(4*(996.798*'BMP P Tracking Table'!$AV216)*-'BMP P Tracking Table'!$AX216)))/(2*(996.798*'BMP P Tracking Table'!$AV216)),IF(SUM('BMP P Tracking Table'!$AR216:$AU216)=0,'BMP P Tracking Table'!$AV216/(-3630*'BMP P Tracking Table'!$AP216),(-(3630*'BMP P Tracking Table'!$AP216+20.691*'BMP P Tracking Table'!$AU216-216.711*'BMP P Tracking Table'!$AT216-83.853*'BMP P Tracking Table'!$AS216-42.834*'BMP P Tracking Table'!$AR216)+SQRT((3630*'BMP P Tracking Table'!$AP216+20.691*'BMP P Tracking Table'!$AU216-216.711*'BMP P Tracking Table'!$AT216-83.853*'BMP P Tracking Table'!$AS216-42.834*'BMP P Tracking Table'!$AR216)^2-(4*(149.919*'BMP P Tracking Table'!$AR216+236.676*'BMP P Tracking Table'!$AS216+726*'BMP P Tracking Table'!$AT216+996.798*'BMP P Tracking Table'!$AU216)*-'BMP P Tracking Table'!$AX216)))/(2*(149.919*'BMP P Tracking Table'!$AR216+236.676*'BMP P Tracking Table'!$AS216+726*'BMP P Tracking Table'!$AT216+996.798*'BMP P Tracking Table'!$AU216))))),MIN(2,IF('BMP P Tracking Table'!$AQ216="Total Pervious",(-(3630*'BMP P Tracking Table'!$V216+20.691*'BMP P Tracking Table'!$AB216)+SQRT((3630*'BMP P Tracking Table'!$V216+20.691*'BMP P Tracking Table'!$AB216)^2-(4*(996.798*'BMP P Tracking Table'!$AB216)*-'BMP P Tracking Table'!$AX216)))/(2*(996.798*'BMP P Tracking Table'!$AB216)),IF(SUM('BMP P Tracking Table'!$X216:$AA216)=0,'BMP P Tracking Table'!$AX216/(-3630*'BMP P Tracking Table'!$V216),(-(3630*'BMP P Tracking Table'!$V216+20.691*'BMP P Tracking Table'!$AA216-216.711*'BMP P Tracking Table'!$Z216-83.853*'BMP P Tracking Table'!$Y216-42.834*'BMP P Tracking Table'!$X216)+SQRT((3630*'BMP P Tracking Table'!$V216+20.691*'BMP P Tracking Table'!$AA216-216.711*'BMP P Tracking Table'!$Z216-83.853*'BMP P Tracking Table'!$Y216-42.834*'BMP P Tracking Table'!$X216)^2-(4*(149.919*'BMP P Tracking Table'!$X216+236.676*'BMP P Tracking Table'!$Y216+726*'BMP P Tracking Table'!$Z216+996.798*'BMP P Tracking Table'!$AA216)*-'BMP P Tracking Table'!$AX216)))/(2*(149.919*'BMP P Tracking Table'!$X216+236.676*'BMP P Tracking Table'!$Y216+726*'BMP P Tracking Table'!$Z216+996.798*'BMP P Tracking Table'!$AA216)))))),"")</f>
        <v/>
      </c>
      <c r="BB216" s="102" t="str">
        <f>IFERROR((VLOOKUP(CONCATENATE('BMP P Tracking Table'!$AW216," ",'BMP P Tracking Table'!$AY216),'Performance Curves'!$C$1:$L$46,_xlfn.SINGLE(MATCH('BMP P Tracking Table'!$BA216,'Performance Curves'!$D$1:$L$1,1))+2,FALSE)-VLOOKUP(CONCATENATE('BMP P Tracking Table'!$AW216," ",'BMP P Tracking Table'!$AY216),'Performance Curves'!$C$1:$L$46,_xlfn.SINGLE(MATCH('BMP P Tracking Table'!$BA216,'Performance Curves'!$D$1:$L$1,1))+1,FALSE)),"")</f>
        <v/>
      </c>
      <c r="BC216" s="102" t="str">
        <f>IFERROR(('BMP P Tracking Table'!$BA216-INDEX('Performance Curves'!$D$1:$L$1,1,MATCH('BMP P Tracking Table'!$BA216,'Performance Curves'!$D$1:$L$1,1)))/(INDEX('Performance Curves'!$D$1:$L$1,1,MATCH('BMP P Tracking Table'!$BA216,'Performance Curves'!$D$1:$L$1,1)+1)-INDEX('Performance Curves'!$D$1:$L$1,1,MATCH('BMP P Tracking Table'!$BA216,'Performance Curves'!$D$1:$L$1,1))),"")</f>
        <v/>
      </c>
      <c r="BD216" s="103" t="str" cm="1">
        <f t="array" ref="BD216">IFERROR(IF('BMP P Tracking Table'!$BA216=2,VLOOKUP(CONCATENATE('BMP P Tracking Table'!$AW216," ",'BMP P Tracking Table'!$AY216),'Performance Curves'!$C$1:$L$44,_xlfn.SINGLE(MATCH('BMP P Tracking Table'!$BA216,'Performance Curves'!$D$1:$L$1,1))+1,FALSE),'BMP P Tracking Table'!$BB216*'BMP P Tracking Table'!$BC216+VLOOKUP(CONCATENATE('BMP P Tracking Table'!$AW216," ",'BMP P Tracking Table'!$AY216),'Performance Curves'!$C$1:$L$44,_xlfn.SINGLE(MATCH('BMP P Tracking Table'!$BA216,'Performance Curves'!$D$1:$L$1,1))+1,FALSE)),"")</f>
        <v/>
      </c>
      <c r="BE216" s="104" t="str">
        <f>IFERROR('BMP P Tracking Table'!$BD216*'BMP P Tracking Table'!$AZ216,"")</f>
        <v/>
      </c>
      <c r="BF216" s="98"/>
      <c r="BG216" s="37">
        <f t="shared" si="34"/>
        <v>0</v>
      </c>
    </row>
    <row r="217" spans="2:59" s="36" customFormat="1">
      <c r="B217" s="65"/>
      <c r="C217" s="65"/>
      <c r="D217" s="65"/>
      <c r="E217" s="65"/>
      <c r="F217" s="94"/>
      <c r="G217" s="94"/>
      <c r="H217" s="65"/>
      <c r="I217" s="65"/>
      <c r="J217" s="65"/>
      <c r="K217" s="95"/>
      <c r="L217" s="65"/>
      <c r="M217" s="65"/>
      <c r="N217" s="65"/>
      <c r="O217" s="65"/>
      <c r="P217" s="65"/>
      <c r="Q217" s="65"/>
      <c r="R217" s="65" t="str">
        <f>IFERROR(VLOOKUP('BMP P Tracking Table'!$Q217,Dropdowns!$C$2:$E$15,3,FALSE),"")</f>
        <v/>
      </c>
      <c r="S217" s="65" t="str">
        <f>IFERROR(VLOOKUP('BMP P Tracking Table'!$R217,Dropdowns!$Q$3:$R$23,2,FALSE),"")</f>
        <v/>
      </c>
      <c r="T217" s="65"/>
      <c r="U217" s="65"/>
      <c r="V217" s="65"/>
      <c r="W217" s="65"/>
      <c r="X217" s="65"/>
      <c r="Y217" s="65"/>
      <c r="Z217" s="65"/>
      <c r="AA217" s="65"/>
      <c r="AB217" s="65"/>
      <c r="AC217" s="97"/>
      <c r="AD217" s="65"/>
      <c r="AE217" s="104" t="str">
        <f>IFERROR('BMP P Tracking Table'!$V217*VLOOKUP('BMP P Tracking Table'!$R217,'Loading Rates'!$B$1:$L$24,4,FALSE)+IF('BMP P Tracking Table'!$W217="By HSG",'BMP P Tracking Table'!$X217*VLOOKUP('BMP P Tracking Table'!$R217,'Loading Rates'!$B$1:$L$24,6,FALSE)+'BMP P Tracking Table'!$Y217*VLOOKUP('BMP P Tracking Table'!$R217,'Loading Rates'!$B$1:$L$24,7,FALSE)+'BMP P Tracking Table'!$Z217*VLOOKUP('BMP P Tracking Table'!$R217,'Loading Rates'!$B$1:$L$24,8,FALSE)+'BMP P Tracking Table'!$AA217*VLOOKUP('BMP P Tracking Table'!$R217,'Loading Rates'!$B$1:$L$24,9,FALSE),'BMP P Tracking Table'!$AB217*VLOOKUP('BMP P Tracking Table'!$R217,'Loading Rates'!$B$1:$L$24,10,FALSE)),"")</f>
        <v/>
      </c>
      <c r="AF217" s="104" t="str">
        <f>IFERROR(MIN(2,IF('BMP P Tracking Table'!$W217="Total Pervious",(-(3630*'BMP P Tracking Table'!$V217+20.691*'BMP P Tracking Table'!$AB217)+SQRT((3630*'BMP P Tracking Table'!$V217+20.691*'BMP P Tracking Table'!$AB217)^2-(4*(996.798*'BMP P Tracking Table'!$AB217)*-'BMP P Tracking Table'!$AC217)))/(2*(996.798*'BMP P Tracking Table'!$AB217)),IF(SUM('BMP P Tracking Table'!$X217:$AA217)=0,'BMP P Tracking Table'!$AC217/(-3630*'BMP P Tracking Table'!$V217),(-(3630*'BMP P Tracking Table'!$V217+20.691*'BMP P Tracking Table'!$AA217-216.711*'BMP P Tracking Table'!$Z217-83.853*'BMP P Tracking Table'!$Y217-42.834*'BMP P Tracking Table'!$X217)+SQRT((3630*'BMP P Tracking Table'!$V217+20.691*'BMP P Tracking Table'!$AA217-216.711*'BMP P Tracking Table'!$Z217-83.853*'BMP P Tracking Table'!$Y217-42.834*'BMP P Tracking Table'!$X217)^2-(4*(149.919*'BMP P Tracking Table'!$X217+236.676*'BMP P Tracking Table'!$Y217+726*'BMP P Tracking Table'!$Z217+996.798*'BMP P Tracking Table'!$AA217)*-'BMP P Tracking Table'!$AC217)))/(2*(149.919*'BMP P Tracking Table'!$X217+236.676*'BMP P Tracking Table'!$Y217+726*'BMP P Tracking Table'!$Z217+996.798*'BMP P Tracking Table'!$AA217))))),"")</f>
        <v/>
      </c>
      <c r="AG217" s="104" t="str">
        <f>IFERROR((VLOOKUP(CONCATENATE('BMP P Tracking Table'!$U217," ",'BMP P Tracking Table'!$AD217),'Performance Curves'!$C$1:$L$46,_xlfn.SINGLE(MATCH('BMP P Tracking Table'!$AF217,'Performance Curves'!$D$1:$L$1,1))+2,FALSE)-VLOOKUP(CONCATENATE('BMP P Tracking Table'!$U217," ",'BMP P Tracking Table'!$AD217),'Performance Curves'!$C$1:$L$46,_xlfn.SINGLE(MATCH('BMP P Tracking Table'!$AF217,'Performance Curves'!$D$1:$L$1,1))+1,FALSE)),"")</f>
        <v/>
      </c>
      <c r="AH217" s="104" t="str">
        <f>IFERROR(('BMP P Tracking Table'!$AF217-INDEX('Performance Curves'!$D$1:$L$1,1,MATCH('BMP P Tracking Table'!$AF217,'Performance Curves'!$D$1:$L$1,1)))/(INDEX('Performance Curves'!$D$1:$L$1,1,MATCH('BMP P Tracking Table'!$AF217,'Performance Curves'!$D$1:$L$1,1)+1)-INDEX('Performance Curves'!$D$1:$L$1,1,MATCH('BMP P Tracking Table'!$AF217,'Performance Curves'!$D$1:$L$1,1))),"")</f>
        <v/>
      </c>
      <c r="AI217" s="103" t="str">
        <f>IFERROR(IF('BMP P Tracking Table'!$AF217=2,VLOOKUP(CONCATENATE('BMP P Tracking Table'!$U217," ",'BMP P Tracking Table'!$AD217),'Performance Curves'!$C$1:$L$46,_xlfn.SINGLE(MATCH('BMP P Tracking Table'!$AF217,'Performance Curves'!$D$1:$L$1,1))+1,FALSE),'BMP P Tracking Table'!$AG217*'BMP P Tracking Table'!$AH217+VLOOKUP(CONCATENATE('BMP P Tracking Table'!$U217," ",'BMP P Tracking Table'!$AD217),'Performance Curves'!$C$1:$L$46,_xlfn.SINGLE(MATCH('BMP P Tracking Table'!$AF217,'Performance Curves'!$D$1:$L$1,1))+1,FALSE)),"")</f>
        <v/>
      </c>
      <c r="AJ217" s="104" t="str">
        <f>IFERROR('BMP P Tracking Table'!$AI217*'BMP P Tracking Table'!$AE217,"")</f>
        <v/>
      </c>
      <c r="AK217" s="65"/>
      <c r="AL217" s="98"/>
      <c r="AM217" s="98"/>
      <c r="AN217" s="64">
        <v>1</v>
      </c>
      <c r="AO217" s="102" t="str">
        <f t="shared" si="33"/>
        <v/>
      </c>
      <c r="AP217" s="98"/>
      <c r="AQ217" s="98"/>
      <c r="AR217" s="98"/>
      <c r="AS217" s="98"/>
      <c r="AT217" s="98"/>
      <c r="AU217" s="98"/>
      <c r="AV217" s="98"/>
      <c r="AW217" s="65"/>
      <c r="AX217" s="99"/>
      <c r="AY217" s="99"/>
      <c r="AZ217" s="104" t="str">
        <f>IF('BMP P Tracking Table'!$AL217="Yes",IF('BMP P Tracking Table'!$AM217="No",'BMP P Tracking Table'!$V217*VLOOKUP('BMP P Tracking Table'!$R217,'Loading Rates'!$B$1:$L$24,4,FALSE)+IF('BMP P Tracking Table'!$W217="By HSG",'BMP P Tracking Table'!$X217*VLOOKUP('BMP P Tracking Table'!$R217,'Loading Rates'!$B$1:$L$24,6,FALSE)+'BMP P Tracking Table'!$Y217*VLOOKUP('BMP P Tracking Table'!$R217,'Loading Rates'!$B$1:$L$24,7,FALSE)+'BMP P Tracking Table'!$Z217*VLOOKUP('BMP P Tracking Table'!$R217,'Loading Rates'!$B$1:$L$24,8,FALSE)+'BMP P Tracking Table'!$AA217*VLOOKUP('BMP P Tracking Table'!$R217,'Loading Rates'!$B$1:$L$24,9,FALSE),'BMP P Tracking Table'!$AB217*VLOOKUP('BMP P Tracking Table'!$R217,'Loading Rates'!$B$1:$L$24,10,FALSE)),'BMP P Tracking Table'!$AP217*VLOOKUP('BMP P Tracking Table'!$R217,'Loading Rates'!$B$1:$L$24,4,FALSE)+IF('BMP P Tracking Table'!$AQ217="By HSG",'BMP P Tracking Table'!$AR217*VLOOKUP('BMP P Tracking Table'!$R217,'Loading Rates'!$B$1:$L$24,6,FALSE)+'BMP P Tracking Table'!$AS217*VLOOKUP('BMP P Tracking Table'!$R217,'Loading Rates'!$B$1:$L$24,7,FALSE)+'BMP P Tracking Table'!$AT217*VLOOKUP('BMP P Tracking Table'!$R217,'Loading Rates'!$B$1:$L$24,8,FALSE)+'BMP P Tracking Table'!$AU217*VLOOKUP('BMP P Tracking Table'!$R217,'Loading Rates'!$B$1:$L$24,9,FALSE),'BMP P Tracking Table'!$AV217*VLOOKUP('BMP P Tracking Table'!$R217,'Loading Rates'!$B$1:$L$24,10,FALSE))),"")</f>
        <v/>
      </c>
      <c r="BA217" s="104" t="str">
        <f>IFERROR(IF('BMP P Tracking Table'!$AM217="Yes",MIN(2,IF('BMP P Tracking Table'!$AQ217="Total Pervious",(-(3630*'BMP P Tracking Table'!$AP217+20.691*'BMP P Tracking Table'!$AV217)+SQRT((3630*'BMP P Tracking Table'!$AP217+20.691*'BMP P Tracking Table'!$AV217)^2-(4*(996.798*'BMP P Tracking Table'!$AV217)*-'BMP P Tracking Table'!$AX217)))/(2*(996.798*'BMP P Tracking Table'!$AV217)),IF(SUM('BMP P Tracking Table'!$AR217:$AU217)=0,'BMP P Tracking Table'!$AV217/(-3630*'BMP P Tracking Table'!$AP217),(-(3630*'BMP P Tracking Table'!$AP217+20.691*'BMP P Tracking Table'!$AU217-216.711*'BMP P Tracking Table'!$AT217-83.853*'BMP P Tracking Table'!$AS217-42.834*'BMP P Tracking Table'!$AR217)+SQRT((3630*'BMP P Tracking Table'!$AP217+20.691*'BMP P Tracking Table'!$AU217-216.711*'BMP P Tracking Table'!$AT217-83.853*'BMP P Tracking Table'!$AS217-42.834*'BMP P Tracking Table'!$AR217)^2-(4*(149.919*'BMP P Tracking Table'!$AR217+236.676*'BMP P Tracking Table'!$AS217+726*'BMP P Tracking Table'!$AT217+996.798*'BMP P Tracking Table'!$AU217)*-'BMP P Tracking Table'!$AX217)))/(2*(149.919*'BMP P Tracking Table'!$AR217+236.676*'BMP P Tracking Table'!$AS217+726*'BMP P Tracking Table'!$AT217+996.798*'BMP P Tracking Table'!$AU217))))),MIN(2,IF('BMP P Tracking Table'!$AQ217="Total Pervious",(-(3630*'BMP P Tracking Table'!$V217+20.691*'BMP P Tracking Table'!$AB217)+SQRT((3630*'BMP P Tracking Table'!$V217+20.691*'BMP P Tracking Table'!$AB217)^2-(4*(996.798*'BMP P Tracking Table'!$AB217)*-'BMP P Tracking Table'!$AX217)))/(2*(996.798*'BMP P Tracking Table'!$AB217)),IF(SUM('BMP P Tracking Table'!$X217:$AA217)=0,'BMP P Tracking Table'!$AX217/(-3630*'BMP P Tracking Table'!$V217),(-(3630*'BMP P Tracking Table'!$V217+20.691*'BMP P Tracking Table'!$AA217-216.711*'BMP P Tracking Table'!$Z217-83.853*'BMP P Tracking Table'!$Y217-42.834*'BMP P Tracking Table'!$X217)+SQRT((3630*'BMP P Tracking Table'!$V217+20.691*'BMP P Tracking Table'!$AA217-216.711*'BMP P Tracking Table'!$Z217-83.853*'BMP P Tracking Table'!$Y217-42.834*'BMP P Tracking Table'!$X217)^2-(4*(149.919*'BMP P Tracking Table'!$X217+236.676*'BMP P Tracking Table'!$Y217+726*'BMP P Tracking Table'!$Z217+996.798*'BMP P Tracking Table'!$AA217)*-'BMP P Tracking Table'!$AX217)))/(2*(149.919*'BMP P Tracking Table'!$X217+236.676*'BMP P Tracking Table'!$Y217+726*'BMP P Tracking Table'!$Z217+996.798*'BMP P Tracking Table'!$AA217)))))),"")</f>
        <v/>
      </c>
      <c r="BB217" s="102" t="str">
        <f>IFERROR((VLOOKUP(CONCATENATE('BMP P Tracking Table'!$AW217," ",'BMP P Tracking Table'!$AY217),'Performance Curves'!$C$1:$L$46,_xlfn.SINGLE(MATCH('BMP P Tracking Table'!$BA217,'Performance Curves'!$D$1:$L$1,1))+2,FALSE)-VLOOKUP(CONCATENATE('BMP P Tracking Table'!$AW217," ",'BMP P Tracking Table'!$AY217),'Performance Curves'!$C$1:$L$46,_xlfn.SINGLE(MATCH('BMP P Tracking Table'!$BA217,'Performance Curves'!$D$1:$L$1,1))+1,FALSE)),"")</f>
        <v/>
      </c>
      <c r="BC217" s="102" t="str">
        <f>IFERROR(('BMP P Tracking Table'!$BA217-INDEX('Performance Curves'!$D$1:$L$1,1,MATCH('BMP P Tracking Table'!$BA217,'Performance Curves'!$D$1:$L$1,1)))/(INDEX('Performance Curves'!$D$1:$L$1,1,MATCH('BMP P Tracking Table'!$BA217,'Performance Curves'!$D$1:$L$1,1)+1)-INDEX('Performance Curves'!$D$1:$L$1,1,MATCH('BMP P Tracking Table'!$BA217,'Performance Curves'!$D$1:$L$1,1))),"")</f>
        <v/>
      </c>
      <c r="BD217" s="103" t="str" cm="1">
        <f t="array" ref="BD217">IFERROR(IF('BMP P Tracking Table'!$BA217=2,VLOOKUP(CONCATENATE('BMP P Tracking Table'!$AW217," ",'BMP P Tracking Table'!$AY217),'Performance Curves'!$C$1:$L$44,_xlfn.SINGLE(MATCH('BMP P Tracking Table'!$BA217,'Performance Curves'!$D$1:$L$1,1))+1,FALSE),'BMP P Tracking Table'!$BB217*'BMP P Tracking Table'!$BC217+VLOOKUP(CONCATENATE('BMP P Tracking Table'!$AW217," ",'BMP P Tracking Table'!$AY217),'Performance Curves'!$C$1:$L$44,_xlfn.SINGLE(MATCH('BMP P Tracking Table'!$BA217,'Performance Curves'!$D$1:$L$1,1))+1,FALSE)),"")</f>
        <v/>
      </c>
      <c r="BE217" s="104" t="str">
        <f>IFERROR('BMP P Tracking Table'!$BD217*'BMP P Tracking Table'!$AZ217,"")</f>
        <v/>
      </c>
      <c r="BF217" s="98"/>
      <c r="BG217" s="37">
        <f t="shared" si="34"/>
        <v>0</v>
      </c>
    </row>
    <row r="218" spans="2:59" s="36" customFormat="1">
      <c r="B218" s="65"/>
      <c r="C218" s="65"/>
      <c r="D218" s="65"/>
      <c r="E218" s="65"/>
      <c r="F218" s="94"/>
      <c r="G218" s="94"/>
      <c r="H218" s="65"/>
      <c r="I218" s="65"/>
      <c r="J218" s="65"/>
      <c r="K218" s="95"/>
      <c r="L218" s="65"/>
      <c r="M218" s="65"/>
      <c r="N218" s="65"/>
      <c r="O218" s="65"/>
      <c r="P218" s="65"/>
      <c r="Q218" s="65"/>
      <c r="R218" s="65" t="str">
        <f>IFERROR(VLOOKUP('BMP P Tracking Table'!$Q218,Dropdowns!$C$2:$E$15,3,FALSE),"")</f>
        <v/>
      </c>
      <c r="S218" s="65" t="str">
        <f>IFERROR(VLOOKUP('BMP P Tracking Table'!$R218,Dropdowns!$Q$3:$R$23,2,FALSE),"")</f>
        <v/>
      </c>
      <c r="T218" s="65"/>
      <c r="U218" s="65"/>
      <c r="V218" s="65"/>
      <c r="W218" s="65"/>
      <c r="X218" s="65"/>
      <c r="Y218" s="65"/>
      <c r="Z218" s="65"/>
      <c r="AA218" s="65"/>
      <c r="AB218" s="65"/>
      <c r="AC218" s="97"/>
      <c r="AD218" s="65"/>
      <c r="AE218" s="104" t="str">
        <f>IFERROR('BMP P Tracking Table'!$V218*VLOOKUP('BMP P Tracking Table'!$R218,'Loading Rates'!$B$1:$L$24,4,FALSE)+IF('BMP P Tracking Table'!$W218="By HSG",'BMP P Tracking Table'!$X218*VLOOKUP('BMP P Tracking Table'!$R218,'Loading Rates'!$B$1:$L$24,6,FALSE)+'BMP P Tracking Table'!$Y218*VLOOKUP('BMP P Tracking Table'!$R218,'Loading Rates'!$B$1:$L$24,7,FALSE)+'BMP P Tracking Table'!$Z218*VLOOKUP('BMP P Tracking Table'!$R218,'Loading Rates'!$B$1:$L$24,8,FALSE)+'BMP P Tracking Table'!$AA218*VLOOKUP('BMP P Tracking Table'!$R218,'Loading Rates'!$B$1:$L$24,9,FALSE),'BMP P Tracking Table'!$AB218*VLOOKUP('BMP P Tracking Table'!$R218,'Loading Rates'!$B$1:$L$24,10,FALSE)),"")</f>
        <v/>
      </c>
      <c r="AF218" s="104" t="str">
        <f>IFERROR(MIN(2,IF('BMP P Tracking Table'!$W218="Total Pervious",(-(3630*'BMP P Tracking Table'!$V218+20.691*'BMP P Tracking Table'!$AB218)+SQRT((3630*'BMP P Tracking Table'!$V218+20.691*'BMP P Tracking Table'!$AB218)^2-(4*(996.798*'BMP P Tracking Table'!$AB218)*-'BMP P Tracking Table'!$AC218)))/(2*(996.798*'BMP P Tracking Table'!$AB218)),IF(SUM('BMP P Tracking Table'!$X218:$AA218)=0,'BMP P Tracking Table'!$AC218/(-3630*'BMP P Tracking Table'!$V218),(-(3630*'BMP P Tracking Table'!$V218+20.691*'BMP P Tracking Table'!$AA218-216.711*'BMP P Tracking Table'!$Z218-83.853*'BMP P Tracking Table'!$Y218-42.834*'BMP P Tracking Table'!$X218)+SQRT((3630*'BMP P Tracking Table'!$V218+20.691*'BMP P Tracking Table'!$AA218-216.711*'BMP P Tracking Table'!$Z218-83.853*'BMP P Tracking Table'!$Y218-42.834*'BMP P Tracking Table'!$X218)^2-(4*(149.919*'BMP P Tracking Table'!$X218+236.676*'BMP P Tracking Table'!$Y218+726*'BMP P Tracking Table'!$Z218+996.798*'BMP P Tracking Table'!$AA218)*-'BMP P Tracking Table'!$AC218)))/(2*(149.919*'BMP P Tracking Table'!$X218+236.676*'BMP P Tracking Table'!$Y218+726*'BMP P Tracking Table'!$Z218+996.798*'BMP P Tracking Table'!$AA218))))),"")</f>
        <v/>
      </c>
      <c r="AG218" s="104" t="str">
        <f>IFERROR((VLOOKUP(CONCATENATE('BMP P Tracking Table'!$U218," ",'BMP P Tracking Table'!$AD218),'Performance Curves'!$C$1:$L$46,_xlfn.SINGLE(MATCH('BMP P Tracking Table'!$AF218,'Performance Curves'!$D$1:$L$1,1))+2,FALSE)-VLOOKUP(CONCATENATE('BMP P Tracking Table'!$U218," ",'BMP P Tracking Table'!$AD218),'Performance Curves'!$C$1:$L$46,_xlfn.SINGLE(MATCH('BMP P Tracking Table'!$AF218,'Performance Curves'!$D$1:$L$1,1))+1,FALSE)),"")</f>
        <v/>
      </c>
      <c r="AH218" s="104" t="str">
        <f>IFERROR(('BMP P Tracking Table'!$AF218-INDEX('Performance Curves'!$D$1:$L$1,1,MATCH('BMP P Tracking Table'!$AF218,'Performance Curves'!$D$1:$L$1,1)))/(INDEX('Performance Curves'!$D$1:$L$1,1,MATCH('BMP P Tracking Table'!$AF218,'Performance Curves'!$D$1:$L$1,1)+1)-INDEX('Performance Curves'!$D$1:$L$1,1,MATCH('BMP P Tracking Table'!$AF218,'Performance Curves'!$D$1:$L$1,1))),"")</f>
        <v/>
      </c>
      <c r="AI218" s="103" t="str">
        <f>IFERROR(IF('BMP P Tracking Table'!$AF218=2,VLOOKUP(CONCATENATE('BMP P Tracking Table'!$U218," ",'BMP P Tracking Table'!$AD218),'Performance Curves'!$C$1:$L$46,_xlfn.SINGLE(MATCH('BMP P Tracking Table'!$AF218,'Performance Curves'!$D$1:$L$1,1))+1,FALSE),'BMP P Tracking Table'!$AG218*'BMP P Tracking Table'!$AH218+VLOOKUP(CONCATENATE('BMP P Tracking Table'!$U218," ",'BMP P Tracking Table'!$AD218),'Performance Curves'!$C$1:$L$46,_xlfn.SINGLE(MATCH('BMP P Tracking Table'!$AF218,'Performance Curves'!$D$1:$L$1,1))+1,FALSE)),"")</f>
        <v/>
      </c>
      <c r="AJ218" s="104" t="str">
        <f>IFERROR('BMP P Tracking Table'!$AI218*'BMP P Tracking Table'!$AE218,"")</f>
        <v/>
      </c>
      <c r="AK218" s="65"/>
      <c r="AL218" s="98"/>
      <c r="AM218" s="98"/>
      <c r="AN218" s="64">
        <v>1</v>
      </c>
      <c r="AO218" s="102" t="str">
        <f t="shared" si="33"/>
        <v/>
      </c>
      <c r="AP218" s="98"/>
      <c r="AQ218" s="98"/>
      <c r="AR218" s="98"/>
      <c r="AS218" s="98"/>
      <c r="AT218" s="98"/>
      <c r="AU218" s="98"/>
      <c r="AV218" s="98"/>
      <c r="AW218" s="65"/>
      <c r="AX218" s="99"/>
      <c r="AY218" s="99"/>
      <c r="AZ218" s="104" t="str">
        <f>IF('BMP P Tracking Table'!$AL218="Yes",IF('BMP P Tracking Table'!$AM218="No",'BMP P Tracking Table'!$V218*VLOOKUP('BMP P Tracking Table'!$R218,'Loading Rates'!$B$1:$L$24,4,FALSE)+IF('BMP P Tracking Table'!$W218="By HSG",'BMP P Tracking Table'!$X218*VLOOKUP('BMP P Tracking Table'!$R218,'Loading Rates'!$B$1:$L$24,6,FALSE)+'BMP P Tracking Table'!$Y218*VLOOKUP('BMP P Tracking Table'!$R218,'Loading Rates'!$B$1:$L$24,7,FALSE)+'BMP P Tracking Table'!$Z218*VLOOKUP('BMP P Tracking Table'!$R218,'Loading Rates'!$B$1:$L$24,8,FALSE)+'BMP P Tracking Table'!$AA218*VLOOKUP('BMP P Tracking Table'!$R218,'Loading Rates'!$B$1:$L$24,9,FALSE),'BMP P Tracking Table'!$AB218*VLOOKUP('BMP P Tracking Table'!$R218,'Loading Rates'!$B$1:$L$24,10,FALSE)),'BMP P Tracking Table'!$AP218*VLOOKUP('BMP P Tracking Table'!$R218,'Loading Rates'!$B$1:$L$24,4,FALSE)+IF('BMP P Tracking Table'!$AQ218="By HSG",'BMP P Tracking Table'!$AR218*VLOOKUP('BMP P Tracking Table'!$R218,'Loading Rates'!$B$1:$L$24,6,FALSE)+'BMP P Tracking Table'!$AS218*VLOOKUP('BMP P Tracking Table'!$R218,'Loading Rates'!$B$1:$L$24,7,FALSE)+'BMP P Tracking Table'!$AT218*VLOOKUP('BMP P Tracking Table'!$R218,'Loading Rates'!$B$1:$L$24,8,FALSE)+'BMP P Tracking Table'!$AU218*VLOOKUP('BMP P Tracking Table'!$R218,'Loading Rates'!$B$1:$L$24,9,FALSE),'BMP P Tracking Table'!$AV218*VLOOKUP('BMP P Tracking Table'!$R218,'Loading Rates'!$B$1:$L$24,10,FALSE))),"")</f>
        <v/>
      </c>
      <c r="BA218" s="104" t="str">
        <f>IFERROR(IF('BMP P Tracking Table'!$AM218="Yes",MIN(2,IF('BMP P Tracking Table'!$AQ218="Total Pervious",(-(3630*'BMP P Tracking Table'!$AP218+20.691*'BMP P Tracking Table'!$AV218)+SQRT((3630*'BMP P Tracking Table'!$AP218+20.691*'BMP P Tracking Table'!$AV218)^2-(4*(996.798*'BMP P Tracking Table'!$AV218)*-'BMP P Tracking Table'!$AX218)))/(2*(996.798*'BMP P Tracking Table'!$AV218)),IF(SUM('BMP P Tracking Table'!$AR218:$AU218)=0,'BMP P Tracking Table'!$AV218/(-3630*'BMP P Tracking Table'!$AP218),(-(3630*'BMP P Tracking Table'!$AP218+20.691*'BMP P Tracking Table'!$AU218-216.711*'BMP P Tracking Table'!$AT218-83.853*'BMP P Tracking Table'!$AS218-42.834*'BMP P Tracking Table'!$AR218)+SQRT((3630*'BMP P Tracking Table'!$AP218+20.691*'BMP P Tracking Table'!$AU218-216.711*'BMP P Tracking Table'!$AT218-83.853*'BMP P Tracking Table'!$AS218-42.834*'BMP P Tracking Table'!$AR218)^2-(4*(149.919*'BMP P Tracking Table'!$AR218+236.676*'BMP P Tracking Table'!$AS218+726*'BMP P Tracking Table'!$AT218+996.798*'BMP P Tracking Table'!$AU218)*-'BMP P Tracking Table'!$AX218)))/(2*(149.919*'BMP P Tracking Table'!$AR218+236.676*'BMP P Tracking Table'!$AS218+726*'BMP P Tracking Table'!$AT218+996.798*'BMP P Tracking Table'!$AU218))))),MIN(2,IF('BMP P Tracking Table'!$AQ218="Total Pervious",(-(3630*'BMP P Tracking Table'!$V218+20.691*'BMP P Tracking Table'!$AB218)+SQRT((3630*'BMP P Tracking Table'!$V218+20.691*'BMP P Tracking Table'!$AB218)^2-(4*(996.798*'BMP P Tracking Table'!$AB218)*-'BMP P Tracking Table'!$AX218)))/(2*(996.798*'BMP P Tracking Table'!$AB218)),IF(SUM('BMP P Tracking Table'!$X218:$AA218)=0,'BMP P Tracking Table'!$AX218/(-3630*'BMP P Tracking Table'!$V218),(-(3630*'BMP P Tracking Table'!$V218+20.691*'BMP P Tracking Table'!$AA218-216.711*'BMP P Tracking Table'!$Z218-83.853*'BMP P Tracking Table'!$Y218-42.834*'BMP P Tracking Table'!$X218)+SQRT((3630*'BMP P Tracking Table'!$V218+20.691*'BMP P Tracking Table'!$AA218-216.711*'BMP P Tracking Table'!$Z218-83.853*'BMP P Tracking Table'!$Y218-42.834*'BMP P Tracking Table'!$X218)^2-(4*(149.919*'BMP P Tracking Table'!$X218+236.676*'BMP P Tracking Table'!$Y218+726*'BMP P Tracking Table'!$Z218+996.798*'BMP P Tracking Table'!$AA218)*-'BMP P Tracking Table'!$AX218)))/(2*(149.919*'BMP P Tracking Table'!$X218+236.676*'BMP P Tracking Table'!$Y218+726*'BMP P Tracking Table'!$Z218+996.798*'BMP P Tracking Table'!$AA218)))))),"")</f>
        <v/>
      </c>
      <c r="BB218" s="102" t="str">
        <f>IFERROR((VLOOKUP(CONCATENATE('BMP P Tracking Table'!$AW218," ",'BMP P Tracking Table'!$AY218),'Performance Curves'!$C$1:$L$46,_xlfn.SINGLE(MATCH('BMP P Tracking Table'!$BA218,'Performance Curves'!$D$1:$L$1,1))+2,FALSE)-VLOOKUP(CONCATENATE('BMP P Tracking Table'!$AW218," ",'BMP P Tracking Table'!$AY218),'Performance Curves'!$C$1:$L$46,_xlfn.SINGLE(MATCH('BMP P Tracking Table'!$BA218,'Performance Curves'!$D$1:$L$1,1))+1,FALSE)),"")</f>
        <v/>
      </c>
      <c r="BC218" s="102" t="str">
        <f>IFERROR(('BMP P Tracking Table'!$BA218-INDEX('Performance Curves'!$D$1:$L$1,1,MATCH('BMP P Tracking Table'!$BA218,'Performance Curves'!$D$1:$L$1,1)))/(INDEX('Performance Curves'!$D$1:$L$1,1,MATCH('BMP P Tracking Table'!$BA218,'Performance Curves'!$D$1:$L$1,1)+1)-INDEX('Performance Curves'!$D$1:$L$1,1,MATCH('BMP P Tracking Table'!$BA218,'Performance Curves'!$D$1:$L$1,1))),"")</f>
        <v/>
      </c>
      <c r="BD218" s="103" t="str" cm="1">
        <f t="array" ref="BD218">IFERROR(IF('BMP P Tracking Table'!$BA218=2,VLOOKUP(CONCATENATE('BMP P Tracking Table'!$AW218," ",'BMP P Tracking Table'!$AY218),'Performance Curves'!$C$1:$L$44,_xlfn.SINGLE(MATCH('BMP P Tracking Table'!$BA218,'Performance Curves'!$D$1:$L$1,1))+1,FALSE),'BMP P Tracking Table'!$BB218*'BMP P Tracking Table'!$BC218+VLOOKUP(CONCATENATE('BMP P Tracking Table'!$AW218," ",'BMP P Tracking Table'!$AY218),'Performance Curves'!$C$1:$L$44,_xlfn.SINGLE(MATCH('BMP P Tracking Table'!$BA218,'Performance Curves'!$D$1:$L$1,1))+1,FALSE)),"")</f>
        <v/>
      </c>
      <c r="BE218" s="104" t="str">
        <f>IFERROR('BMP P Tracking Table'!$BD218*'BMP P Tracking Table'!$AZ218,"")</f>
        <v/>
      </c>
      <c r="BF218" s="92"/>
      <c r="BG218" s="37">
        <f t="shared" si="34"/>
        <v>0</v>
      </c>
    </row>
    <row r="219" spans="2:59" s="36" customFormat="1">
      <c r="B219" s="65"/>
      <c r="C219" s="65"/>
      <c r="D219" s="65"/>
      <c r="E219" s="65"/>
      <c r="F219" s="94"/>
      <c r="G219" s="94"/>
      <c r="H219" s="65"/>
      <c r="I219" s="65"/>
      <c r="J219" s="65"/>
      <c r="K219" s="95"/>
      <c r="L219" s="65"/>
      <c r="M219" s="65"/>
      <c r="N219" s="65"/>
      <c r="O219" s="65"/>
      <c r="P219" s="65"/>
      <c r="Q219" s="65"/>
      <c r="R219" s="65" t="str">
        <f>IFERROR(VLOOKUP('BMP P Tracking Table'!$Q219,Dropdowns!$C$2:$E$15,3,FALSE),"")</f>
        <v/>
      </c>
      <c r="S219" s="65" t="str">
        <f>IFERROR(VLOOKUP('BMP P Tracking Table'!$R219,Dropdowns!$Q$3:$R$23,2,FALSE),"")</f>
        <v/>
      </c>
      <c r="T219" s="65"/>
      <c r="U219" s="65"/>
      <c r="V219" s="65"/>
      <c r="W219" s="65"/>
      <c r="X219" s="65"/>
      <c r="Y219" s="65"/>
      <c r="Z219" s="65"/>
      <c r="AA219" s="65"/>
      <c r="AB219" s="65"/>
      <c r="AC219" s="97"/>
      <c r="AD219" s="65"/>
      <c r="AE219" s="104" t="str">
        <f>IFERROR('BMP P Tracking Table'!$V219*VLOOKUP('BMP P Tracking Table'!$R219,'Loading Rates'!$B$1:$L$24,4,FALSE)+IF('BMP P Tracking Table'!$W219="By HSG",'BMP P Tracking Table'!$X219*VLOOKUP('BMP P Tracking Table'!$R219,'Loading Rates'!$B$1:$L$24,6,FALSE)+'BMP P Tracking Table'!$Y219*VLOOKUP('BMP P Tracking Table'!$R219,'Loading Rates'!$B$1:$L$24,7,FALSE)+'BMP P Tracking Table'!$Z219*VLOOKUP('BMP P Tracking Table'!$R219,'Loading Rates'!$B$1:$L$24,8,FALSE)+'BMP P Tracking Table'!$AA219*VLOOKUP('BMP P Tracking Table'!$R219,'Loading Rates'!$B$1:$L$24,9,FALSE),'BMP P Tracking Table'!$AB219*VLOOKUP('BMP P Tracking Table'!$R219,'Loading Rates'!$B$1:$L$24,10,FALSE)),"")</f>
        <v/>
      </c>
      <c r="AF219" s="104" t="str">
        <f>IFERROR(MIN(2,IF('BMP P Tracking Table'!$W219="Total Pervious",(-(3630*'BMP P Tracking Table'!$V219+20.691*'BMP P Tracking Table'!$AB219)+SQRT((3630*'BMP P Tracking Table'!$V219+20.691*'BMP P Tracking Table'!$AB219)^2-(4*(996.798*'BMP P Tracking Table'!$AB219)*-'BMP P Tracking Table'!$AC219)))/(2*(996.798*'BMP P Tracking Table'!$AB219)),IF(SUM('BMP P Tracking Table'!$X219:$AA219)=0,'BMP P Tracking Table'!$AC219/(-3630*'BMP P Tracking Table'!$V219),(-(3630*'BMP P Tracking Table'!$V219+20.691*'BMP P Tracking Table'!$AA219-216.711*'BMP P Tracking Table'!$Z219-83.853*'BMP P Tracking Table'!$Y219-42.834*'BMP P Tracking Table'!$X219)+SQRT((3630*'BMP P Tracking Table'!$V219+20.691*'BMP P Tracking Table'!$AA219-216.711*'BMP P Tracking Table'!$Z219-83.853*'BMP P Tracking Table'!$Y219-42.834*'BMP P Tracking Table'!$X219)^2-(4*(149.919*'BMP P Tracking Table'!$X219+236.676*'BMP P Tracking Table'!$Y219+726*'BMP P Tracking Table'!$Z219+996.798*'BMP P Tracking Table'!$AA219)*-'BMP P Tracking Table'!$AC219)))/(2*(149.919*'BMP P Tracking Table'!$X219+236.676*'BMP P Tracking Table'!$Y219+726*'BMP P Tracking Table'!$Z219+996.798*'BMP P Tracking Table'!$AA219))))),"")</f>
        <v/>
      </c>
      <c r="AG219" s="104" t="str">
        <f>IFERROR((VLOOKUP(CONCATENATE('BMP P Tracking Table'!$U219," ",'BMP P Tracking Table'!$AD219),'Performance Curves'!$C$1:$L$46,_xlfn.SINGLE(MATCH('BMP P Tracking Table'!$AF219,'Performance Curves'!$D$1:$L$1,1))+2,FALSE)-VLOOKUP(CONCATENATE('BMP P Tracking Table'!$U219," ",'BMP P Tracking Table'!$AD219),'Performance Curves'!$C$1:$L$46,_xlfn.SINGLE(MATCH('BMP P Tracking Table'!$AF219,'Performance Curves'!$D$1:$L$1,1))+1,FALSE)),"")</f>
        <v/>
      </c>
      <c r="AH219" s="104" t="str">
        <f>IFERROR(('BMP P Tracking Table'!$AF219-INDEX('Performance Curves'!$D$1:$L$1,1,MATCH('BMP P Tracking Table'!$AF219,'Performance Curves'!$D$1:$L$1,1)))/(INDEX('Performance Curves'!$D$1:$L$1,1,MATCH('BMP P Tracking Table'!$AF219,'Performance Curves'!$D$1:$L$1,1)+1)-INDEX('Performance Curves'!$D$1:$L$1,1,MATCH('BMP P Tracking Table'!$AF219,'Performance Curves'!$D$1:$L$1,1))),"")</f>
        <v/>
      </c>
      <c r="AI219" s="103" t="str">
        <f>IFERROR(IF('BMP P Tracking Table'!$AF219=2,VLOOKUP(CONCATENATE('BMP P Tracking Table'!$U219," ",'BMP P Tracking Table'!$AD219),'Performance Curves'!$C$1:$L$46,_xlfn.SINGLE(MATCH('BMP P Tracking Table'!$AF219,'Performance Curves'!$D$1:$L$1,1))+1,FALSE),'BMP P Tracking Table'!$AG219*'BMP P Tracking Table'!$AH219+VLOOKUP(CONCATENATE('BMP P Tracking Table'!$U219," ",'BMP P Tracking Table'!$AD219),'Performance Curves'!$C$1:$L$46,_xlfn.SINGLE(MATCH('BMP P Tracking Table'!$AF219,'Performance Curves'!$D$1:$L$1,1))+1,FALSE)),"")</f>
        <v/>
      </c>
      <c r="AJ219" s="104" t="str">
        <f>IFERROR('BMP P Tracking Table'!$AI219*'BMP P Tracking Table'!$AE219,"")</f>
        <v/>
      </c>
      <c r="AK219" s="65"/>
      <c r="AL219" s="98"/>
      <c r="AM219" s="98"/>
      <c r="AN219" s="64">
        <v>1</v>
      </c>
      <c r="AO219" s="102" t="str">
        <f t="shared" ref="AO219:AO282" si="35">IF(AL219="Yes",IF(BG219&gt;0,IF(ISBLANK(AK219),AJ219,AK219)-IF(ISBLANK(BF219),BE219,BF219),"Enter Info --&gt;"),IF(ISBLANK(AK219),AJ219,AK219))</f>
        <v/>
      </c>
      <c r="AP219" s="98"/>
      <c r="AQ219" s="98"/>
      <c r="AR219" s="98"/>
      <c r="AS219" s="98"/>
      <c r="AT219" s="98"/>
      <c r="AU219" s="98"/>
      <c r="AV219" s="98"/>
      <c r="AW219" s="65"/>
      <c r="AX219" s="99"/>
      <c r="AY219" s="99"/>
      <c r="AZ219" s="104" t="str">
        <f>IF('BMP P Tracking Table'!$AL219="Yes",IF('BMP P Tracking Table'!$AM219="No",'BMP P Tracking Table'!$V219*VLOOKUP('BMP P Tracking Table'!$R219,'Loading Rates'!$B$1:$L$24,4,FALSE)+IF('BMP P Tracking Table'!$W219="By HSG",'BMP P Tracking Table'!$X219*VLOOKUP('BMP P Tracking Table'!$R219,'Loading Rates'!$B$1:$L$24,6,FALSE)+'BMP P Tracking Table'!$Y219*VLOOKUP('BMP P Tracking Table'!$R219,'Loading Rates'!$B$1:$L$24,7,FALSE)+'BMP P Tracking Table'!$Z219*VLOOKUP('BMP P Tracking Table'!$R219,'Loading Rates'!$B$1:$L$24,8,FALSE)+'BMP P Tracking Table'!$AA219*VLOOKUP('BMP P Tracking Table'!$R219,'Loading Rates'!$B$1:$L$24,9,FALSE),'BMP P Tracking Table'!$AB219*VLOOKUP('BMP P Tracking Table'!$R219,'Loading Rates'!$B$1:$L$24,10,FALSE)),'BMP P Tracking Table'!$AP219*VLOOKUP('BMP P Tracking Table'!$R219,'Loading Rates'!$B$1:$L$24,4,FALSE)+IF('BMP P Tracking Table'!$AQ219="By HSG",'BMP P Tracking Table'!$AR219*VLOOKUP('BMP P Tracking Table'!$R219,'Loading Rates'!$B$1:$L$24,6,FALSE)+'BMP P Tracking Table'!$AS219*VLOOKUP('BMP P Tracking Table'!$R219,'Loading Rates'!$B$1:$L$24,7,FALSE)+'BMP P Tracking Table'!$AT219*VLOOKUP('BMP P Tracking Table'!$R219,'Loading Rates'!$B$1:$L$24,8,FALSE)+'BMP P Tracking Table'!$AU219*VLOOKUP('BMP P Tracking Table'!$R219,'Loading Rates'!$B$1:$L$24,9,FALSE),'BMP P Tracking Table'!$AV219*VLOOKUP('BMP P Tracking Table'!$R219,'Loading Rates'!$B$1:$L$24,10,FALSE))),"")</f>
        <v/>
      </c>
      <c r="BA219" s="104" t="str">
        <f>IFERROR(IF('BMP P Tracking Table'!$AM219="Yes",MIN(2,IF('BMP P Tracking Table'!$AQ219="Total Pervious",(-(3630*'BMP P Tracking Table'!$AP219+20.691*'BMP P Tracking Table'!$AV219)+SQRT((3630*'BMP P Tracking Table'!$AP219+20.691*'BMP P Tracking Table'!$AV219)^2-(4*(996.798*'BMP P Tracking Table'!$AV219)*-'BMP P Tracking Table'!$AX219)))/(2*(996.798*'BMP P Tracking Table'!$AV219)),IF(SUM('BMP P Tracking Table'!$AR219:$AU219)=0,'BMP P Tracking Table'!$AV219/(-3630*'BMP P Tracking Table'!$AP219),(-(3630*'BMP P Tracking Table'!$AP219+20.691*'BMP P Tracking Table'!$AU219-216.711*'BMP P Tracking Table'!$AT219-83.853*'BMP P Tracking Table'!$AS219-42.834*'BMP P Tracking Table'!$AR219)+SQRT((3630*'BMP P Tracking Table'!$AP219+20.691*'BMP P Tracking Table'!$AU219-216.711*'BMP P Tracking Table'!$AT219-83.853*'BMP P Tracking Table'!$AS219-42.834*'BMP P Tracking Table'!$AR219)^2-(4*(149.919*'BMP P Tracking Table'!$AR219+236.676*'BMP P Tracking Table'!$AS219+726*'BMP P Tracking Table'!$AT219+996.798*'BMP P Tracking Table'!$AU219)*-'BMP P Tracking Table'!$AX219)))/(2*(149.919*'BMP P Tracking Table'!$AR219+236.676*'BMP P Tracking Table'!$AS219+726*'BMP P Tracking Table'!$AT219+996.798*'BMP P Tracking Table'!$AU219))))),MIN(2,IF('BMP P Tracking Table'!$AQ219="Total Pervious",(-(3630*'BMP P Tracking Table'!$V219+20.691*'BMP P Tracking Table'!$AB219)+SQRT((3630*'BMP P Tracking Table'!$V219+20.691*'BMP P Tracking Table'!$AB219)^2-(4*(996.798*'BMP P Tracking Table'!$AB219)*-'BMP P Tracking Table'!$AX219)))/(2*(996.798*'BMP P Tracking Table'!$AB219)),IF(SUM('BMP P Tracking Table'!$X219:$AA219)=0,'BMP P Tracking Table'!$AX219/(-3630*'BMP P Tracking Table'!$V219),(-(3630*'BMP P Tracking Table'!$V219+20.691*'BMP P Tracking Table'!$AA219-216.711*'BMP P Tracking Table'!$Z219-83.853*'BMP P Tracking Table'!$Y219-42.834*'BMP P Tracking Table'!$X219)+SQRT((3630*'BMP P Tracking Table'!$V219+20.691*'BMP P Tracking Table'!$AA219-216.711*'BMP P Tracking Table'!$Z219-83.853*'BMP P Tracking Table'!$Y219-42.834*'BMP P Tracking Table'!$X219)^2-(4*(149.919*'BMP P Tracking Table'!$X219+236.676*'BMP P Tracking Table'!$Y219+726*'BMP P Tracking Table'!$Z219+996.798*'BMP P Tracking Table'!$AA219)*-'BMP P Tracking Table'!$AX219)))/(2*(149.919*'BMP P Tracking Table'!$X219+236.676*'BMP P Tracking Table'!$Y219+726*'BMP P Tracking Table'!$Z219+996.798*'BMP P Tracking Table'!$AA219)))))),"")</f>
        <v/>
      </c>
      <c r="BB219" s="102" t="str">
        <f>IFERROR((VLOOKUP(CONCATENATE('BMP P Tracking Table'!$AW219," ",'BMP P Tracking Table'!$AY219),'Performance Curves'!$C$1:$L$46,_xlfn.SINGLE(MATCH('BMP P Tracking Table'!$BA219,'Performance Curves'!$D$1:$L$1,1))+2,FALSE)-VLOOKUP(CONCATENATE('BMP P Tracking Table'!$AW219," ",'BMP P Tracking Table'!$AY219),'Performance Curves'!$C$1:$L$46,_xlfn.SINGLE(MATCH('BMP P Tracking Table'!$BA219,'Performance Curves'!$D$1:$L$1,1))+1,FALSE)),"")</f>
        <v/>
      </c>
      <c r="BC219" s="102" t="str">
        <f>IFERROR(('BMP P Tracking Table'!$BA219-INDEX('Performance Curves'!$D$1:$L$1,1,MATCH('BMP P Tracking Table'!$BA219,'Performance Curves'!$D$1:$L$1,1)))/(INDEX('Performance Curves'!$D$1:$L$1,1,MATCH('BMP P Tracking Table'!$BA219,'Performance Curves'!$D$1:$L$1,1)+1)-INDEX('Performance Curves'!$D$1:$L$1,1,MATCH('BMP P Tracking Table'!$BA219,'Performance Curves'!$D$1:$L$1,1))),"")</f>
        <v/>
      </c>
      <c r="BD219" s="103" t="str" cm="1">
        <f t="array" ref="BD219">IFERROR(IF('BMP P Tracking Table'!$BA219=2,VLOOKUP(CONCATENATE('BMP P Tracking Table'!$AW219," ",'BMP P Tracking Table'!$AY219),'Performance Curves'!$C$1:$L$44,_xlfn.SINGLE(MATCH('BMP P Tracking Table'!$BA219,'Performance Curves'!$D$1:$L$1,1))+1,FALSE),'BMP P Tracking Table'!$BB219*'BMP P Tracking Table'!$BC219+VLOOKUP(CONCATENATE('BMP P Tracking Table'!$AW219," ",'BMP P Tracking Table'!$AY219),'Performance Curves'!$C$1:$L$44,_xlfn.SINGLE(MATCH('BMP P Tracking Table'!$BA219,'Performance Curves'!$D$1:$L$1,1))+1,FALSE)),"")</f>
        <v/>
      </c>
      <c r="BE219" s="104" t="str">
        <f>IFERROR('BMP P Tracking Table'!$BD219*'BMP P Tracking Table'!$AZ219,"")</f>
        <v/>
      </c>
      <c r="BF219" s="98"/>
      <c r="BG219" s="37">
        <f t="shared" si="34"/>
        <v>0</v>
      </c>
    </row>
    <row r="220" spans="2:59" s="36" customFormat="1">
      <c r="B220" s="65"/>
      <c r="C220" s="65"/>
      <c r="D220" s="65"/>
      <c r="E220" s="65"/>
      <c r="F220" s="94"/>
      <c r="G220" s="94"/>
      <c r="H220" s="65"/>
      <c r="I220" s="65"/>
      <c r="J220" s="65"/>
      <c r="K220" s="95"/>
      <c r="L220" s="65"/>
      <c r="M220" s="65"/>
      <c r="N220" s="65"/>
      <c r="O220" s="65"/>
      <c r="P220" s="65"/>
      <c r="Q220" s="65"/>
      <c r="R220" s="65" t="str">
        <f>IFERROR(VLOOKUP('BMP P Tracking Table'!$Q220,Dropdowns!$C$2:$E$15,3,FALSE),"")</f>
        <v/>
      </c>
      <c r="S220" s="65" t="str">
        <f>IFERROR(VLOOKUP('BMP P Tracking Table'!$R220,Dropdowns!$Q$3:$R$23,2,FALSE),"")</f>
        <v/>
      </c>
      <c r="T220" s="65"/>
      <c r="U220" s="65"/>
      <c r="V220" s="65"/>
      <c r="W220" s="65"/>
      <c r="X220" s="65"/>
      <c r="Y220" s="65"/>
      <c r="Z220" s="65"/>
      <c r="AA220" s="65"/>
      <c r="AB220" s="65"/>
      <c r="AC220" s="97"/>
      <c r="AD220" s="65"/>
      <c r="AE220" s="104" t="str">
        <f>IFERROR('BMP P Tracking Table'!$V220*VLOOKUP('BMP P Tracking Table'!$R220,'Loading Rates'!$B$1:$L$24,4,FALSE)+IF('BMP P Tracking Table'!$W220="By HSG",'BMP P Tracking Table'!$X220*VLOOKUP('BMP P Tracking Table'!$R220,'Loading Rates'!$B$1:$L$24,6,FALSE)+'BMP P Tracking Table'!$Y220*VLOOKUP('BMP P Tracking Table'!$R220,'Loading Rates'!$B$1:$L$24,7,FALSE)+'BMP P Tracking Table'!$Z220*VLOOKUP('BMP P Tracking Table'!$R220,'Loading Rates'!$B$1:$L$24,8,FALSE)+'BMP P Tracking Table'!$AA220*VLOOKUP('BMP P Tracking Table'!$R220,'Loading Rates'!$B$1:$L$24,9,FALSE),'BMP P Tracking Table'!$AB220*VLOOKUP('BMP P Tracking Table'!$R220,'Loading Rates'!$B$1:$L$24,10,FALSE)),"")</f>
        <v/>
      </c>
      <c r="AF220" s="104" t="str">
        <f>IFERROR(MIN(2,IF('BMP P Tracking Table'!$W220="Total Pervious",(-(3630*'BMP P Tracking Table'!$V220+20.691*'BMP P Tracking Table'!$AB220)+SQRT((3630*'BMP P Tracking Table'!$V220+20.691*'BMP P Tracking Table'!$AB220)^2-(4*(996.798*'BMP P Tracking Table'!$AB220)*-'BMP P Tracking Table'!$AC220)))/(2*(996.798*'BMP P Tracking Table'!$AB220)),IF(SUM('BMP P Tracking Table'!$X220:$AA220)=0,'BMP P Tracking Table'!$AC220/(-3630*'BMP P Tracking Table'!$V220),(-(3630*'BMP P Tracking Table'!$V220+20.691*'BMP P Tracking Table'!$AA220-216.711*'BMP P Tracking Table'!$Z220-83.853*'BMP P Tracking Table'!$Y220-42.834*'BMP P Tracking Table'!$X220)+SQRT((3630*'BMP P Tracking Table'!$V220+20.691*'BMP P Tracking Table'!$AA220-216.711*'BMP P Tracking Table'!$Z220-83.853*'BMP P Tracking Table'!$Y220-42.834*'BMP P Tracking Table'!$X220)^2-(4*(149.919*'BMP P Tracking Table'!$X220+236.676*'BMP P Tracking Table'!$Y220+726*'BMP P Tracking Table'!$Z220+996.798*'BMP P Tracking Table'!$AA220)*-'BMP P Tracking Table'!$AC220)))/(2*(149.919*'BMP P Tracking Table'!$X220+236.676*'BMP P Tracking Table'!$Y220+726*'BMP P Tracking Table'!$Z220+996.798*'BMP P Tracking Table'!$AA220))))),"")</f>
        <v/>
      </c>
      <c r="AG220" s="104" t="str">
        <f>IFERROR((VLOOKUP(CONCATENATE('BMP P Tracking Table'!$U220," ",'BMP P Tracking Table'!$AD220),'Performance Curves'!$C$1:$L$46,_xlfn.SINGLE(MATCH('BMP P Tracking Table'!$AF220,'Performance Curves'!$D$1:$L$1,1))+2,FALSE)-VLOOKUP(CONCATENATE('BMP P Tracking Table'!$U220," ",'BMP P Tracking Table'!$AD220),'Performance Curves'!$C$1:$L$46,_xlfn.SINGLE(MATCH('BMP P Tracking Table'!$AF220,'Performance Curves'!$D$1:$L$1,1))+1,FALSE)),"")</f>
        <v/>
      </c>
      <c r="AH220" s="104" t="str">
        <f>IFERROR(('BMP P Tracking Table'!$AF220-INDEX('Performance Curves'!$D$1:$L$1,1,MATCH('BMP P Tracking Table'!$AF220,'Performance Curves'!$D$1:$L$1,1)))/(INDEX('Performance Curves'!$D$1:$L$1,1,MATCH('BMP P Tracking Table'!$AF220,'Performance Curves'!$D$1:$L$1,1)+1)-INDEX('Performance Curves'!$D$1:$L$1,1,MATCH('BMP P Tracking Table'!$AF220,'Performance Curves'!$D$1:$L$1,1))),"")</f>
        <v/>
      </c>
      <c r="AI220" s="103" t="str">
        <f>IFERROR(IF('BMP P Tracking Table'!$AF220=2,VLOOKUP(CONCATENATE('BMP P Tracking Table'!$U220," ",'BMP P Tracking Table'!$AD220),'Performance Curves'!$C$1:$L$46,_xlfn.SINGLE(MATCH('BMP P Tracking Table'!$AF220,'Performance Curves'!$D$1:$L$1,1))+1,FALSE),'BMP P Tracking Table'!$AG220*'BMP P Tracking Table'!$AH220+VLOOKUP(CONCATENATE('BMP P Tracking Table'!$U220," ",'BMP P Tracking Table'!$AD220),'Performance Curves'!$C$1:$L$46,_xlfn.SINGLE(MATCH('BMP P Tracking Table'!$AF220,'Performance Curves'!$D$1:$L$1,1))+1,FALSE)),"")</f>
        <v/>
      </c>
      <c r="AJ220" s="104" t="str">
        <f>IFERROR('BMP P Tracking Table'!$AI220*'BMP P Tracking Table'!$AE220,"")</f>
        <v/>
      </c>
      <c r="AK220" s="65"/>
      <c r="AL220" s="98"/>
      <c r="AM220" s="98"/>
      <c r="AN220" s="64">
        <v>1</v>
      </c>
      <c r="AO220" s="102" t="str">
        <f t="shared" si="35"/>
        <v/>
      </c>
      <c r="AP220" s="98"/>
      <c r="AQ220" s="98"/>
      <c r="AR220" s="98"/>
      <c r="AS220" s="98"/>
      <c r="AT220" s="98"/>
      <c r="AU220" s="98"/>
      <c r="AV220" s="98"/>
      <c r="AW220" s="65"/>
      <c r="AX220" s="99"/>
      <c r="AY220" s="99"/>
      <c r="AZ220" s="104" t="str">
        <f>IF('BMP P Tracking Table'!$AL220="Yes",IF('BMP P Tracking Table'!$AM220="No",'BMP P Tracking Table'!$V220*VLOOKUP('BMP P Tracking Table'!$R220,'Loading Rates'!$B$1:$L$24,4,FALSE)+IF('BMP P Tracking Table'!$W220="By HSG",'BMP P Tracking Table'!$X220*VLOOKUP('BMP P Tracking Table'!$R220,'Loading Rates'!$B$1:$L$24,6,FALSE)+'BMP P Tracking Table'!$Y220*VLOOKUP('BMP P Tracking Table'!$R220,'Loading Rates'!$B$1:$L$24,7,FALSE)+'BMP P Tracking Table'!$Z220*VLOOKUP('BMP P Tracking Table'!$R220,'Loading Rates'!$B$1:$L$24,8,FALSE)+'BMP P Tracking Table'!$AA220*VLOOKUP('BMP P Tracking Table'!$R220,'Loading Rates'!$B$1:$L$24,9,FALSE),'BMP P Tracking Table'!$AB220*VLOOKUP('BMP P Tracking Table'!$R220,'Loading Rates'!$B$1:$L$24,10,FALSE)),'BMP P Tracking Table'!$AP220*VLOOKUP('BMP P Tracking Table'!$R220,'Loading Rates'!$B$1:$L$24,4,FALSE)+IF('BMP P Tracking Table'!$AQ220="By HSG",'BMP P Tracking Table'!$AR220*VLOOKUP('BMP P Tracking Table'!$R220,'Loading Rates'!$B$1:$L$24,6,FALSE)+'BMP P Tracking Table'!$AS220*VLOOKUP('BMP P Tracking Table'!$R220,'Loading Rates'!$B$1:$L$24,7,FALSE)+'BMP P Tracking Table'!$AT220*VLOOKUP('BMP P Tracking Table'!$R220,'Loading Rates'!$B$1:$L$24,8,FALSE)+'BMP P Tracking Table'!$AU220*VLOOKUP('BMP P Tracking Table'!$R220,'Loading Rates'!$B$1:$L$24,9,FALSE),'BMP P Tracking Table'!$AV220*VLOOKUP('BMP P Tracking Table'!$R220,'Loading Rates'!$B$1:$L$24,10,FALSE))),"")</f>
        <v/>
      </c>
      <c r="BA220" s="104" t="str">
        <f>IFERROR(IF('BMP P Tracking Table'!$AM220="Yes",MIN(2,IF('BMP P Tracking Table'!$AQ220="Total Pervious",(-(3630*'BMP P Tracking Table'!$AP220+20.691*'BMP P Tracking Table'!$AV220)+SQRT((3630*'BMP P Tracking Table'!$AP220+20.691*'BMP P Tracking Table'!$AV220)^2-(4*(996.798*'BMP P Tracking Table'!$AV220)*-'BMP P Tracking Table'!$AX220)))/(2*(996.798*'BMP P Tracking Table'!$AV220)),IF(SUM('BMP P Tracking Table'!$AR220:$AU220)=0,'BMP P Tracking Table'!$AV220/(-3630*'BMP P Tracking Table'!$AP220),(-(3630*'BMP P Tracking Table'!$AP220+20.691*'BMP P Tracking Table'!$AU220-216.711*'BMP P Tracking Table'!$AT220-83.853*'BMP P Tracking Table'!$AS220-42.834*'BMP P Tracking Table'!$AR220)+SQRT((3630*'BMP P Tracking Table'!$AP220+20.691*'BMP P Tracking Table'!$AU220-216.711*'BMP P Tracking Table'!$AT220-83.853*'BMP P Tracking Table'!$AS220-42.834*'BMP P Tracking Table'!$AR220)^2-(4*(149.919*'BMP P Tracking Table'!$AR220+236.676*'BMP P Tracking Table'!$AS220+726*'BMP P Tracking Table'!$AT220+996.798*'BMP P Tracking Table'!$AU220)*-'BMP P Tracking Table'!$AX220)))/(2*(149.919*'BMP P Tracking Table'!$AR220+236.676*'BMP P Tracking Table'!$AS220+726*'BMP P Tracking Table'!$AT220+996.798*'BMP P Tracking Table'!$AU220))))),MIN(2,IF('BMP P Tracking Table'!$AQ220="Total Pervious",(-(3630*'BMP P Tracking Table'!$V220+20.691*'BMP P Tracking Table'!$AB220)+SQRT((3630*'BMP P Tracking Table'!$V220+20.691*'BMP P Tracking Table'!$AB220)^2-(4*(996.798*'BMP P Tracking Table'!$AB220)*-'BMP P Tracking Table'!$AX220)))/(2*(996.798*'BMP P Tracking Table'!$AB220)),IF(SUM('BMP P Tracking Table'!$X220:$AA220)=0,'BMP P Tracking Table'!$AX220/(-3630*'BMP P Tracking Table'!$V220),(-(3630*'BMP P Tracking Table'!$V220+20.691*'BMP P Tracking Table'!$AA220-216.711*'BMP P Tracking Table'!$Z220-83.853*'BMP P Tracking Table'!$Y220-42.834*'BMP P Tracking Table'!$X220)+SQRT((3630*'BMP P Tracking Table'!$V220+20.691*'BMP P Tracking Table'!$AA220-216.711*'BMP P Tracking Table'!$Z220-83.853*'BMP P Tracking Table'!$Y220-42.834*'BMP P Tracking Table'!$X220)^2-(4*(149.919*'BMP P Tracking Table'!$X220+236.676*'BMP P Tracking Table'!$Y220+726*'BMP P Tracking Table'!$Z220+996.798*'BMP P Tracking Table'!$AA220)*-'BMP P Tracking Table'!$AX220)))/(2*(149.919*'BMP P Tracking Table'!$X220+236.676*'BMP P Tracking Table'!$Y220+726*'BMP P Tracking Table'!$Z220+996.798*'BMP P Tracking Table'!$AA220)))))),"")</f>
        <v/>
      </c>
      <c r="BB220" s="102" t="str">
        <f>IFERROR((VLOOKUP(CONCATENATE('BMP P Tracking Table'!$AW220," ",'BMP P Tracking Table'!$AY220),'Performance Curves'!$C$1:$L$46,_xlfn.SINGLE(MATCH('BMP P Tracking Table'!$BA220,'Performance Curves'!$D$1:$L$1,1))+2,FALSE)-VLOOKUP(CONCATENATE('BMP P Tracking Table'!$AW220," ",'BMP P Tracking Table'!$AY220),'Performance Curves'!$C$1:$L$46,_xlfn.SINGLE(MATCH('BMP P Tracking Table'!$BA220,'Performance Curves'!$D$1:$L$1,1))+1,FALSE)),"")</f>
        <v/>
      </c>
      <c r="BC220" s="102" t="str">
        <f>IFERROR(('BMP P Tracking Table'!$BA220-INDEX('Performance Curves'!$D$1:$L$1,1,MATCH('BMP P Tracking Table'!$BA220,'Performance Curves'!$D$1:$L$1,1)))/(INDEX('Performance Curves'!$D$1:$L$1,1,MATCH('BMP P Tracking Table'!$BA220,'Performance Curves'!$D$1:$L$1,1)+1)-INDEX('Performance Curves'!$D$1:$L$1,1,MATCH('BMP P Tracking Table'!$BA220,'Performance Curves'!$D$1:$L$1,1))),"")</f>
        <v/>
      </c>
      <c r="BD220" s="103" t="str" cm="1">
        <f t="array" ref="BD220">IFERROR(IF('BMP P Tracking Table'!$BA220=2,VLOOKUP(CONCATENATE('BMP P Tracking Table'!$AW220," ",'BMP P Tracking Table'!$AY220),'Performance Curves'!$C$1:$L$44,_xlfn.SINGLE(MATCH('BMP P Tracking Table'!$BA220,'Performance Curves'!$D$1:$L$1,1))+1,FALSE),'BMP P Tracking Table'!$BB220*'BMP P Tracking Table'!$BC220+VLOOKUP(CONCATENATE('BMP P Tracking Table'!$AW220," ",'BMP P Tracking Table'!$AY220),'Performance Curves'!$C$1:$L$44,_xlfn.SINGLE(MATCH('BMP P Tracking Table'!$BA220,'Performance Curves'!$D$1:$L$1,1))+1,FALSE)),"")</f>
        <v/>
      </c>
      <c r="BE220" s="104" t="str">
        <f>IFERROR('BMP P Tracking Table'!$BD220*'BMP P Tracking Table'!$AZ220,"")</f>
        <v/>
      </c>
      <c r="BF220" s="98"/>
      <c r="BG220" s="37">
        <f t="shared" si="34"/>
        <v>0</v>
      </c>
    </row>
    <row r="221" spans="2:59" s="36" customFormat="1">
      <c r="B221" s="65"/>
      <c r="C221" s="65"/>
      <c r="D221" s="65"/>
      <c r="E221" s="65"/>
      <c r="F221" s="94"/>
      <c r="G221" s="94"/>
      <c r="H221" s="65"/>
      <c r="I221" s="65"/>
      <c r="J221" s="65"/>
      <c r="K221" s="95"/>
      <c r="L221" s="65"/>
      <c r="M221" s="65"/>
      <c r="N221" s="65"/>
      <c r="O221" s="65"/>
      <c r="P221" s="65"/>
      <c r="Q221" s="65"/>
      <c r="R221" s="65" t="str">
        <f>IFERROR(VLOOKUP('BMP P Tracking Table'!$Q221,Dropdowns!$C$2:$E$15,3,FALSE),"")</f>
        <v/>
      </c>
      <c r="S221" s="65" t="str">
        <f>IFERROR(VLOOKUP('BMP P Tracking Table'!$R221,Dropdowns!$Q$3:$R$23,2,FALSE),"")</f>
        <v/>
      </c>
      <c r="T221" s="65"/>
      <c r="U221" s="65"/>
      <c r="V221" s="65"/>
      <c r="W221" s="65"/>
      <c r="X221" s="65"/>
      <c r="Y221" s="65"/>
      <c r="Z221" s="65"/>
      <c r="AA221" s="65"/>
      <c r="AB221" s="65"/>
      <c r="AC221" s="97"/>
      <c r="AD221" s="65"/>
      <c r="AE221" s="104" t="str">
        <f>IFERROR('BMP P Tracking Table'!$V221*VLOOKUP('BMP P Tracking Table'!$R221,'Loading Rates'!$B$1:$L$24,4,FALSE)+IF('BMP P Tracking Table'!$W221="By HSG",'BMP P Tracking Table'!$X221*VLOOKUP('BMP P Tracking Table'!$R221,'Loading Rates'!$B$1:$L$24,6,FALSE)+'BMP P Tracking Table'!$Y221*VLOOKUP('BMP P Tracking Table'!$R221,'Loading Rates'!$B$1:$L$24,7,FALSE)+'BMP P Tracking Table'!$Z221*VLOOKUP('BMP P Tracking Table'!$R221,'Loading Rates'!$B$1:$L$24,8,FALSE)+'BMP P Tracking Table'!$AA221*VLOOKUP('BMP P Tracking Table'!$R221,'Loading Rates'!$B$1:$L$24,9,FALSE),'BMP P Tracking Table'!$AB221*VLOOKUP('BMP P Tracking Table'!$R221,'Loading Rates'!$B$1:$L$24,10,FALSE)),"")</f>
        <v/>
      </c>
      <c r="AF221" s="104" t="str">
        <f>IFERROR(MIN(2,IF('BMP P Tracking Table'!$W221="Total Pervious",(-(3630*'BMP P Tracking Table'!$V221+20.691*'BMP P Tracking Table'!$AB221)+SQRT((3630*'BMP P Tracking Table'!$V221+20.691*'BMP P Tracking Table'!$AB221)^2-(4*(996.798*'BMP P Tracking Table'!$AB221)*-'BMP P Tracking Table'!$AC221)))/(2*(996.798*'BMP P Tracking Table'!$AB221)),IF(SUM('BMP P Tracking Table'!$X221:$AA221)=0,'BMP P Tracking Table'!$AC221/(-3630*'BMP P Tracking Table'!$V221),(-(3630*'BMP P Tracking Table'!$V221+20.691*'BMP P Tracking Table'!$AA221-216.711*'BMP P Tracking Table'!$Z221-83.853*'BMP P Tracking Table'!$Y221-42.834*'BMP P Tracking Table'!$X221)+SQRT((3630*'BMP P Tracking Table'!$V221+20.691*'BMP P Tracking Table'!$AA221-216.711*'BMP P Tracking Table'!$Z221-83.853*'BMP P Tracking Table'!$Y221-42.834*'BMP P Tracking Table'!$X221)^2-(4*(149.919*'BMP P Tracking Table'!$X221+236.676*'BMP P Tracking Table'!$Y221+726*'BMP P Tracking Table'!$Z221+996.798*'BMP P Tracking Table'!$AA221)*-'BMP P Tracking Table'!$AC221)))/(2*(149.919*'BMP P Tracking Table'!$X221+236.676*'BMP P Tracking Table'!$Y221+726*'BMP P Tracking Table'!$Z221+996.798*'BMP P Tracking Table'!$AA221))))),"")</f>
        <v/>
      </c>
      <c r="AG221" s="104" t="str">
        <f>IFERROR((VLOOKUP(CONCATENATE('BMP P Tracking Table'!$U221," ",'BMP P Tracking Table'!$AD221),'Performance Curves'!$C$1:$L$46,_xlfn.SINGLE(MATCH('BMP P Tracking Table'!$AF221,'Performance Curves'!$D$1:$L$1,1))+2,FALSE)-VLOOKUP(CONCATENATE('BMP P Tracking Table'!$U221," ",'BMP P Tracking Table'!$AD221),'Performance Curves'!$C$1:$L$46,_xlfn.SINGLE(MATCH('BMP P Tracking Table'!$AF221,'Performance Curves'!$D$1:$L$1,1))+1,FALSE)),"")</f>
        <v/>
      </c>
      <c r="AH221" s="104" t="str">
        <f>IFERROR(('BMP P Tracking Table'!$AF221-INDEX('Performance Curves'!$D$1:$L$1,1,MATCH('BMP P Tracking Table'!$AF221,'Performance Curves'!$D$1:$L$1,1)))/(INDEX('Performance Curves'!$D$1:$L$1,1,MATCH('BMP P Tracking Table'!$AF221,'Performance Curves'!$D$1:$L$1,1)+1)-INDEX('Performance Curves'!$D$1:$L$1,1,MATCH('BMP P Tracking Table'!$AF221,'Performance Curves'!$D$1:$L$1,1))),"")</f>
        <v/>
      </c>
      <c r="AI221" s="103" t="str">
        <f>IFERROR(IF('BMP P Tracking Table'!$AF221=2,VLOOKUP(CONCATENATE('BMP P Tracking Table'!$U221," ",'BMP P Tracking Table'!$AD221),'Performance Curves'!$C$1:$L$46,_xlfn.SINGLE(MATCH('BMP P Tracking Table'!$AF221,'Performance Curves'!$D$1:$L$1,1))+1,FALSE),'BMP P Tracking Table'!$AG221*'BMP P Tracking Table'!$AH221+VLOOKUP(CONCATENATE('BMP P Tracking Table'!$U221," ",'BMP P Tracking Table'!$AD221),'Performance Curves'!$C$1:$L$46,_xlfn.SINGLE(MATCH('BMP P Tracking Table'!$AF221,'Performance Curves'!$D$1:$L$1,1))+1,FALSE)),"")</f>
        <v/>
      </c>
      <c r="AJ221" s="104" t="str">
        <f>IFERROR('BMP P Tracking Table'!$AI221*'BMP P Tracking Table'!$AE221,"")</f>
        <v/>
      </c>
      <c r="AK221" s="65"/>
      <c r="AL221" s="98"/>
      <c r="AM221" s="98"/>
      <c r="AN221" s="64">
        <v>1</v>
      </c>
      <c r="AO221" s="102" t="str">
        <f t="shared" si="35"/>
        <v/>
      </c>
      <c r="AP221" s="98"/>
      <c r="AQ221" s="98"/>
      <c r="AR221" s="98"/>
      <c r="AS221" s="98"/>
      <c r="AT221" s="98"/>
      <c r="AU221" s="98"/>
      <c r="AV221" s="98"/>
      <c r="AW221" s="65"/>
      <c r="AX221" s="99"/>
      <c r="AY221" s="99"/>
      <c r="AZ221" s="104" t="str">
        <f>IF('BMP P Tracking Table'!$AL221="Yes",IF('BMP P Tracking Table'!$AM221="No",'BMP P Tracking Table'!$V221*VLOOKUP('BMP P Tracking Table'!$R221,'Loading Rates'!$B$1:$L$24,4,FALSE)+IF('BMP P Tracking Table'!$W221="By HSG",'BMP P Tracking Table'!$X221*VLOOKUP('BMP P Tracking Table'!$R221,'Loading Rates'!$B$1:$L$24,6,FALSE)+'BMP P Tracking Table'!$Y221*VLOOKUP('BMP P Tracking Table'!$R221,'Loading Rates'!$B$1:$L$24,7,FALSE)+'BMP P Tracking Table'!$Z221*VLOOKUP('BMP P Tracking Table'!$R221,'Loading Rates'!$B$1:$L$24,8,FALSE)+'BMP P Tracking Table'!$AA221*VLOOKUP('BMP P Tracking Table'!$R221,'Loading Rates'!$B$1:$L$24,9,FALSE),'BMP P Tracking Table'!$AB221*VLOOKUP('BMP P Tracking Table'!$R221,'Loading Rates'!$B$1:$L$24,10,FALSE)),'BMP P Tracking Table'!$AP221*VLOOKUP('BMP P Tracking Table'!$R221,'Loading Rates'!$B$1:$L$24,4,FALSE)+IF('BMP P Tracking Table'!$AQ221="By HSG",'BMP P Tracking Table'!$AR221*VLOOKUP('BMP P Tracking Table'!$R221,'Loading Rates'!$B$1:$L$24,6,FALSE)+'BMP P Tracking Table'!$AS221*VLOOKUP('BMP P Tracking Table'!$R221,'Loading Rates'!$B$1:$L$24,7,FALSE)+'BMP P Tracking Table'!$AT221*VLOOKUP('BMP P Tracking Table'!$R221,'Loading Rates'!$B$1:$L$24,8,FALSE)+'BMP P Tracking Table'!$AU221*VLOOKUP('BMP P Tracking Table'!$R221,'Loading Rates'!$B$1:$L$24,9,FALSE),'BMP P Tracking Table'!$AV221*VLOOKUP('BMP P Tracking Table'!$R221,'Loading Rates'!$B$1:$L$24,10,FALSE))),"")</f>
        <v/>
      </c>
      <c r="BA221" s="104" t="str">
        <f>IFERROR(IF('BMP P Tracking Table'!$AM221="Yes",MIN(2,IF('BMP P Tracking Table'!$AQ221="Total Pervious",(-(3630*'BMP P Tracking Table'!$AP221+20.691*'BMP P Tracking Table'!$AV221)+SQRT((3630*'BMP P Tracking Table'!$AP221+20.691*'BMP P Tracking Table'!$AV221)^2-(4*(996.798*'BMP P Tracking Table'!$AV221)*-'BMP P Tracking Table'!$AX221)))/(2*(996.798*'BMP P Tracking Table'!$AV221)),IF(SUM('BMP P Tracking Table'!$AR221:$AU221)=0,'BMP P Tracking Table'!$AV221/(-3630*'BMP P Tracking Table'!$AP221),(-(3630*'BMP P Tracking Table'!$AP221+20.691*'BMP P Tracking Table'!$AU221-216.711*'BMP P Tracking Table'!$AT221-83.853*'BMP P Tracking Table'!$AS221-42.834*'BMP P Tracking Table'!$AR221)+SQRT((3630*'BMP P Tracking Table'!$AP221+20.691*'BMP P Tracking Table'!$AU221-216.711*'BMP P Tracking Table'!$AT221-83.853*'BMP P Tracking Table'!$AS221-42.834*'BMP P Tracking Table'!$AR221)^2-(4*(149.919*'BMP P Tracking Table'!$AR221+236.676*'BMP P Tracking Table'!$AS221+726*'BMP P Tracking Table'!$AT221+996.798*'BMP P Tracking Table'!$AU221)*-'BMP P Tracking Table'!$AX221)))/(2*(149.919*'BMP P Tracking Table'!$AR221+236.676*'BMP P Tracking Table'!$AS221+726*'BMP P Tracking Table'!$AT221+996.798*'BMP P Tracking Table'!$AU221))))),MIN(2,IF('BMP P Tracking Table'!$AQ221="Total Pervious",(-(3630*'BMP P Tracking Table'!$V221+20.691*'BMP P Tracking Table'!$AB221)+SQRT((3630*'BMP P Tracking Table'!$V221+20.691*'BMP P Tracking Table'!$AB221)^2-(4*(996.798*'BMP P Tracking Table'!$AB221)*-'BMP P Tracking Table'!$AX221)))/(2*(996.798*'BMP P Tracking Table'!$AB221)),IF(SUM('BMP P Tracking Table'!$X221:$AA221)=0,'BMP P Tracking Table'!$AX221/(-3630*'BMP P Tracking Table'!$V221),(-(3630*'BMP P Tracking Table'!$V221+20.691*'BMP P Tracking Table'!$AA221-216.711*'BMP P Tracking Table'!$Z221-83.853*'BMP P Tracking Table'!$Y221-42.834*'BMP P Tracking Table'!$X221)+SQRT((3630*'BMP P Tracking Table'!$V221+20.691*'BMP P Tracking Table'!$AA221-216.711*'BMP P Tracking Table'!$Z221-83.853*'BMP P Tracking Table'!$Y221-42.834*'BMP P Tracking Table'!$X221)^2-(4*(149.919*'BMP P Tracking Table'!$X221+236.676*'BMP P Tracking Table'!$Y221+726*'BMP P Tracking Table'!$Z221+996.798*'BMP P Tracking Table'!$AA221)*-'BMP P Tracking Table'!$AX221)))/(2*(149.919*'BMP P Tracking Table'!$X221+236.676*'BMP P Tracking Table'!$Y221+726*'BMP P Tracking Table'!$Z221+996.798*'BMP P Tracking Table'!$AA221)))))),"")</f>
        <v/>
      </c>
      <c r="BB221" s="102" t="str">
        <f>IFERROR((VLOOKUP(CONCATENATE('BMP P Tracking Table'!$AW221," ",'BMP P Tracking Table'!$AY221),'Performance Curves'!$C$1:$L$46,_xlfn.SINGLE(MATCH('BMP P Tracking Table'!$BA221,'Performance Curves'!$D$1:$L$1,1))+2,FALSE)-VLOOKUP(CONCATENATE('BMP P Tracking Table'!$AW221," ",'BMP P Tracking Table'!$AY221),'Performance Curves'!$C$1:$L$46,_xlfn.SINGLE(MATCH('BMP P Tracking Table'!$BA221,'Performance Curves'!$D$1:$L$1,1))+1,FALSE)),"")</f>
        <v/>
      </c>
      <c r="BC221" s="102" t="str">
        <f>IFERROR(('BMP P Tracking Table'!$BA221-INDEX('Performance Curves'!$D$1:$L$1,1,MATCH('BMP P Tracking Table'!$BA221,'Performance Curves'!$D$1:$L$1,1)))/(INDEX('Performance Curves'!$D$1:$L$1,1,MATCH('BMP P Tracking Table'!$BA221,'Performance Curves'!$D$1:$L$1,1)+1)-INDEX('Performance Curves'!$D$1:$L$1,1,MATCH('BMP P Tracking Table'!$BA221,'Performance Curves'!$D$1:$L$1,1))),"")</f>
        <v/>
      </c>
      <c r="BD221" s="103" t="str" cm="1">
        <f t="array" ref="BD221">IFERROR(IF('BMP P Tracking Table'!$BA221=2,VLOOKUP(CONCATENATE('BMP P Tracking Table'!$AW221," ",'BMP P Tracking Table'!$AY221),'Performance Curves'!$C$1:$L$44,_xlfn.SINGLE(MATCH('BMP P Tracking Table'!$BA221,'Performance Curves'!$D$1:$L$1,1))+1,FALSE),'BMP P Tracking Table'!$BB221*'BMP P Tracking Table'!$BC221+VLOOKUP(CONCATENATE('BMP P Tracking Table'!$AW221," ",'BMP P Tracking Table'!$AY221),'Performance Curves'!$C$1:$L$44,_xlfn.SINGLE(MATCH('BMP P Tracking Table'!$BA221,'Performance Curves'!$D$1:$L$1,1))+1,FALSE)),"")</f>
        <v/>
      </c>
      <c r="BE221" s="104" t="str">
        <f>IFERROR('BMP P Tracking Table'!$BD221*'BMP P Tracking Table'!$AZ221,"")</f>
        <v/>
      </c>
      <c r="BF221" s="98"/>
      <c r="BG221" s="37">
        <f t="shared" ref="BG221:BG284" si="36">IFERROR(BE221+BF221,0)</f>
        <v>0</v>
      </c>
    </row>
    <row r="222" spans="2:59" s="36" customFormat="1">
      <c r="B222" s="65"/>
      <c r="C222" s="65"/>
      <c r="D222" s="65"/>
      <c r="E222" s="65"/>
      <c r="F222" s="94"/>
      <c r="G222" s="94"/>
      <c r="H222" s="65"/>
      <c r="I222" s="65"/>
      <c r="J222" s="65"/>
      <c r="K222" s="95"/>
      <c r="L222" s="65"/>
      <c r="M222" s="65"/>
      <c r="N222" s="65"/>
      <c r="O222" s="65"/>
      <c r="P222" s="65"/>
      <c r="Q222" s="65"/>
      <c r="R222" s="65" t="str">
        <f>IFERROR(VLOOKUP('BMP P Tracking Table'!$Q222,Dropdowns!$C$2:$E$15,3,FALSE),"")</f>
        <v/>
      </c>
      <c r="S222" s="65" t="str">
        <f>IFERROR(VLOOKUP('BMP P Tracking Table'!$R222,Dropdowns!$Q$3:$R$23,2,FALSE),"")</f>
        <v/>
      </c>
      <c r="T222" s="65"/>
      <c r="U222" s="65"/>
      <c r="V222" s="65"/>
      <c r="W222" s="65"/>
      <c r="X222" s="65"/>
      <c r="Y222" s="65"/>
      <c r="Z222" s="65"/>
      <c r="AA222" s="65"/>
      <c r="AB222" s="65"/>
      <c r="AC222" s="97"/>
      <c r="AD222" s="65"/>
      <c r="AE222" s="104" t="str">
        <f>IFERROR('BMP P Tracking Table'!$V222*VLOOKUP('BMP P Tracking Table'!$R222,'Loading Rates'!$B$1:$L$24,4,FALSE)+IF('BMP P Tracking Table'!$W222="By HSG",'BMP P Tracking Table'!$X222*VLOOKUP('BMP P Tracking Table'!$R222,'Loading Rates'!$B$1:$L$24,6,FALSE)+'BMP P Tracking Table'!$Y222*VLOOKUP('BMP P Tracking Table'!$R222,'Loading Rates'!$B$1:$L$24,7,FALSE)+'BMP P Tracking Table'!$Z222*VLOOKUP('BMP P Tracking Table'!$R222,'Loading Rates'!$B$1:$L$24,8,FALSE)+'BMP P Tracking Table'!$AA222*VLOOKUP('BMP P Tracking Table'!$R222,'Loading Rates'!$B$1:$L$24,9,FALSE),'BMP P Tracking Table'!$AB222*VLOOKUP('BMP P Tracking Table'!$R222,'Loading Rates'!$B$1:$L$24,10,FALSE)),"")</f>
        <v/>
      </c>
      <c r="AF222" s="104" t="str">
        <f>IFERROR(MIN(2,IF('BMP P Tracking Table'!$W222="Total Pervious",(-(3630*'BMP P Tracking Table'!$V222+20.691*'BMP P Tracking Table'!$AB222)+SQRT((3630*'BMP P Tracking Table'!$V222+20.691*'BMP P Tracking Table'!$AB222)^2-(4*(996.798*'BMP P Tracking Table'!$AB222)*-'BMP P Tracking Table'!$AC222)))/(2*(996.798*'BMP P Tracking Table'!$AB222)),IF(SUM('BMP P Tracking Table'!$X222:$AA222)=0,'BMP P Tracking Table'!$AC222/(-3630*'BMP P Tracking Table'!$V222),(-(3630*'BMP P Tracking Table'!$V222+20.691*'BMP P Tracking Table'!$AA222-216.711*'BMP P Tracking Table'!$Z222-83.853*'BMP P Tracking Table'!$Y222-42.834*'BMP P Tracking Table'!$X222)+SQRT((3630*'BMP P Tracking Table'!$V222+20.691*'BMP P Tracking Table'!$AA222-216.711*'BMP P Tracking Table'!$Z222-83.853*'BMP P Tracking Table'!$Y222-42.834*'BMP P Tracking Table'!$X222)^2-(4*(149.919*'BMP P Tracking Table'!$X222+236.676*'BMP P Tracking Table'!$Y222+726*'BMP P Tracking Table'!$Z222+996.798*'BMP P Tracking Table'!$AA222)*-'BMP P Tracking Table'!$AC222)))/(2*(149.919*'BMP P Tracking Table'!$X222+236.676*'BMP P Tracking Table'!$Y222+726*'BMP P Tracking Table'!$Z222+996.798*'BMP P Tracking Table'!$AA222))))),"")</f>
        <v/>
      </c>
      <c r="AG222" s="104" t="str">
        <f>IFERROR((VLOOKUP(CONCATENATE('BMP P Tracking Table'!$U222," ",'BMP P Tracking Table'!$AD222),'Performance Curves'!$C$1:$L$46,_xlfn.SINGLE(MATCH('BMP P Tracking Table'!$AF222,'Performance Curves'!$D$1:$L$1,1))+2,FALSE)-VLOOKUP(CONCATENATE('BMP P Tracking Table'!$U222," ",'BMP P Tracking Table'!$AD222),'Performance Curves'!$C$1:$L$46,_xlfn.SINGLE(MATCH('BMP P Tracking Table'!$AF222,'Performance Curves'!$D$1:$L$1,1))+1,FALSE)),"")</f>
        <v/>
      </c>
      <c r="AH222" s="104" t="str">
        <f>IFERROR(('BMP P Tracking Table'!$AF222-INDEX('Performance Curves'!$D$1:$L$1,1,MATCH('BMP P Tracking Table'!$AF222,'Performance Curves'!$D$1:$L$1,1)))/(INDEX('Performance Curves'!$D$1:$L$1,1,MATCH('BMP P Tracking Table'!$AF222,'Performance Curves'!$D$1:$L$1,1)+1)-INDEX('Performance Curves'!$D$1:$L$1,1,MATCH('BMP P Tracking Table'!$AF222,'Performance Curves'!$D$1:$L$1,1))),"")</f>
        <v/>
      </c>
      <c r="AI222" s="103" t="str">
        <f>IFERROR(IF('BMP P Tracking Table'!$AF222=2,VLOOKUP(CONCATENATE('BMP P Tracking Table'!$U222," ",'BMP P Tracking Table'!$AD222),'Performance Curves'!$C$1:$L$46,_xlfn.SINGLE(MATCH('BMP P Tracking Table'!$AF222,'Performance Curves'!$D$1:$L$1,1))+1,FALSE),'BMP P Tracking Table'!$AG222*'BMP P Tracking Table'!$AH222+VLOOKUP(CONCATENATE('BMP P Tracking Table'!$U222," ",'BMP P Tracking Table'!$AD222),'Performance Curves'!$C$1:$L$46,_xlfn.SINGLE(MATCH('BMP P Tracking Table'!$AF222,'Performance Curves'!$D$1:$L$1,1))+1,FALSE)),"")</f>
        <v/>
      </c>
      <c r="AJ222" s="104" t="str">
        <f>IFERROR('BMP P Tracking Table'!$AI222*'BMP P Tracking Table'!$AE222,"")</f>
        <v/>
      </c>
      <c r="AK222" s="65"/>
      <c r="AL222" s="98"/>
      <c r="AM222" s="98"/>
      <c r="AN222" s="64">
        <v>1</v>
      </c>
      <c r="AO222" s="102" t="str">
        <f t="shared" si="35"/>
        <v/>
      </c>
      <c r="AP222" s="98"/>
      <c r="AQ222" s="98"/>
      <c r="AR222" s="98"/>
      <c r="AS222" s="98"/>
      <c r="AT222" s="98"/>
      <c r="AU222" s="98"/>
      <c r="AV222" s="98"/>
      <c r="AW222" s="65"/>
      <c r="AX222" s="99"/>
      <c r="AY222" s="99"/>
      <c r="AZ222" s="104" t="str">
        <f>IF('BMP P Tracking Table'!$AL222="Yes",IF('BMP P Tracking Table'!$AM222="No",'BMP P Tracking Table'!$V222*VLOOKUP('BMP P Tracking Table'!$R222,'Loading Rates'!$B$1:$L$24,4,FALSE)+IF('BMP P Tracking Table'!$W222="By HSG",'BMP P Tracking Table'!$X222*VLOOKUP('BMP P Tracking Table'!$R222,'Loading Rates'!$B$1:$L$24,6,FALSE)+'BMP P Tracking Table'!$Y222*VLOOKUP('BMP P Tracking Table'!$R222,'Loading Rates'!$B$1:$L$24,7,FALSE)+'BMP P Tracking Table'!$Z222*VLOOKUP('BMP P Tracking Table'!$R222,'Loading Rates'!$B$1:$L$24,8,FALSE)+'BMP P Tracking Table'!$AA222*VLOOKUP('BMP P Tracking Table'!$R222,'Loading Rates'!$B$1:$L$24,9,FALSE),'BMP P Tracking Table'!$AB222*VLOOKUP('BMP P Tracking Table'!$R222,'Loading Rates'!$B$1:$L$24,10,FALSE)),'BMP P Tracking Table'!$AP222*VLOOKUP('BMP P Tracking Table'!$R222,'Loading Rates'!$B$1:$L$24,4,FALSE)+IF('BMP P Tracking Table'!$AQ222="By HSG",'BMP P Tracking Table'!$AR222*VLOOKUP('BMP P Tracking Table'!$R222,'Loading Rates'!$B$1:$L$24,6,FALSE)+'BMP P Tracking Table'!$AS222*VLOOKUP('BMP P Tracking Table'!$R222,'Loading Rates'!$B$1:$L$24,7,FALSE)+'BMP P Tracking Table'!$AT222*VLOOKUP('BMP P Tracking Table'!$R222,'Loading Rates'!$B$1:$L$24,8,FALSE)+'BMP P Tracking Table'!$AU222*VLOOKUP('BMP P Tracking Table'!$R222,'Loading Rates'!$B$1:$L$24,9,FALSE),'BMP P Tracking Table'!$AV222*VLOOKUP('BMP P Tracking Table'!$R222,'Loading Rates'!$B$1:$L$24,10,FALSE))),"")</f>
        <v/>
      </c>
      <c r="BA222" s="104" t="str">
        <f>IFERROR(IF('BMP P Tracking Table'!$AM222="Yes",MIN(2,IF('BMP P Tracking Table'!$AQ222="Total Pervious",(-(3630*'BMP P Tracking Table'!$AP222+20.691*'BMP P Tracking Table'!$AV222)+SQRT((3630*'BMP P Tracking Table'!$AP222+20.691*'BMP P Tracking Table'!$AV222)^2-(4*(996.798*'BMP P Tracking Table'!$AV222)*-'BMP P Tracking Table'!$AX222)))/(2*(996.798*'BMP P Tracking Table'!$AV222)),IF(SUM('BMP P Tracking Table'!$AR222:$AU222)=0,'BMP P Tracking Table'!$AV222/(-3630*'BMP P Tracking Table'!$AP222),(-(3630*'BMP P Tracking Table'!$AP222+20.691*'BMP P Tracking Table'!$AU222-216.711*'BMP P Tracking Table'!$AT222-83.853*'BMP P Tracking Table'!$AS222-42.834*'BMP P Tracking Table'!$AR222)+SQRT((3630*'BMP P Tracking Table'!$AP222+20.691*'BMP P Tracking Table'!$AU222-216.711*'BMP P Tracking Table'!$AT222-83.853*'BMP P Tracking Table'!$AS222-42.834*'BMP P Tracking Table'!$AR222)^2-(4*(149.919*'BMP P Tracking Table'!$AR222+236.676*'BMP P Tracking Table'!$AS222+726*'BMP P Tracking Table'!$AT222+996.798*'BMP P Tracking Table'!$AU222)*-'BMP P Tracking Table'!$AX222)))/(2*(149.919*'BMP P Tracking Table'!$AR222+236.676*'BMP P Tracking Table'!$AS222+726*'BMP P Tracking Table'!$AT222+996.798*'BMP P Tracking Table'!$AU222))))),MIN(2,IF('BMP P Tracking Table'!$AQ222="Total Pervious",(-(3630*'BMP P Tracking Table'!$V222+20.691*'BMP P Tracking Table'!$AB222)+SQRT((3630*'BMP P Tracking Table'!$V222+20.691*'BMP P Tracking Table'!$AB222)^2-(4*(996.798*'BMP P Tracking Table'!$AB222)*-'BMP P Tracking Table'!$AX222)))/(2*(996.798*'BMP P Tracking Table'!$AB222)),IF(SUM('BMP P Tracking Table'!$X222:$AA222)=0,'BMP P Tracking Table'!$AX222/(-3630*'BMP P Tracking Table'!$V222),(-(3630*'BMP P Tracking Table'!$V222+20.691*'BMP P Tracking Table'!$AA222-216.711*'BMP P Tracking Table'!$Z222-83.853*'BMP P Tracking Table'!$Y222-42.834*'BMP P Tracking Table'!$X222)+SQRT((3630*'BMP P Tracking Table'!$V222+20.691*'BMP P Tracking Table'!$AA222-216.711*'BMP P Tracking Table'!$Z222-83.853*'BMP P Tracking Table'!$Y222-42.834*'BMP P Tracking Table'!$X222)^2-(4*(149.919*'BMP P Tracking Table'!$X222+236.676*'BMP P Tracking Table'!$Y222+726*'BMP P Tracking Table'!$Z222+996.798*'BMP P Tracking Table'!$AA222)*-'BMP P Tracking Table'!$AX222)))/(2*(149.919*'BMP P Tracking Table'!$X222+236.676*'BMP P Tracking Table'!$Y222+726*'BMP P Tracking Table'!$Z222+996.798*'BMP P Tracking Table'!$AA222)))))),"")</f>
        <v/>
      </c>
      <c r="BB222" s="102" t="str">
        <f>IFERROR((VLOOKUP(CONCATENATE('BMP P Tracking Table'!$AW222," ",'BMP P Tracking Table'!$AY222),'Performance Curves'!$C$1:$L$46,_xlfn.SINGLE(MATCH('BMP P Tracking Table'!$BA222,'Performance Curves'!$D$1:$L$1,1))+2,FALSE)-VLOOKUP(CONCATENATE('BMP P Tracking Table'!$AW222," ",'BMP P Tracking Table'!$AY222),'Performance Curves'!$C$1:$L$46,_xlfn.SINGLE(MATCH('BMP P Tracking Table'!$BA222,'Performance Curves'!$D$1:$L$1,1))+1,FALSE)),"")</f>
        <v/>
      </c>
      <c r="BC222" s="102" t="str">
        <f>IFERROR(('BMP P Tracking Table'!$BA222-INDEX('Performance Curves'!$D$1:$L$1,1,MATCH('BMP P Tracking Table'!$BA222,'Performance Curves'!$D$1:$L$1,1)))/(INDEX('Performance Curves'!$D$1:$L$1,1,MATCH('BMP P Tracking Table'!$BA222,'Performance Curves'!$D$1:$L$1,1)+1)-INDEX('Performance Curves'!$D$1:$L$1,1,MATCH('BMP P Tracking Table'!$BA222,'Performance Curves'!$D$1:$L$1,1))),"")</f>
        <v/>
      </c>
      <c r="BD222" s="103" t="str" cm="1">
        <f t="array" ref="BD222">IFERROR(IF('BMP P Tracking Table'!$BA222=2,VLOOKUP(CONCATENATE('BMP P Tracking Table'!$AW222," ",'BMP P Tracking Table'!$AY222),'Performance Curves'!$C$1:$L$44,_xlfn.SINGLE(MATCH('BMP P Tracking Table'!$BA222,'Performance Curves'!$D$1:$L$1,1))+1,FALSE),'BMP P Tracking Table'!$BB222*'BMP P Tracking Table'!$BC222+VLOOKUP(CONCATENATE('BMP P Tracking Table'!$AW222," ",'BMP P Tracking Table'!$AY222),'Performance Curves'!$C$1:$L$44,_xlfn.SINGLE(MATCH('BMP P Tracking Table'!$BA222,'Performance Curves'!$D$1:$L$1,1))+1,FALSE)),"")</f>
        <v/>
      </c>
      <c r="BE222" s="104" t="str">
        <f>IFERROR('BMP P Tracking Table'!$BD222*'BMP P Tracking Table'!$AZ222,"")</f>
        <v/>
      </c>
      <c r="BF222" s="98"/>
      <c r="BG222" s="37">
        <f t="shared" si="36"/>
        <v>0</v>
      </c>
    </row>
    <row r="223" spans="2:59" s="36" customFormat="1">
      <c r="B223" s="65"/>
      <c r="C223" s="65"/>
      <c r="D223" s="65"/>
      <c r="E223" s="65"/>
      <c r="F223" s="94"/>
      <c r="G223" s="94"/>
      <c r="H223" s="65"/>
      <c r="I223" s="65"/>
      <c r="J223" s="65"/>
      <c r="K223" s="95"/>
      <c r="L223" s="65"/>
      <c r="M223" s="65"/>
      <c r="N223" s="65"/>
      <c r="O223" s="65"/>
      <c r="P223" s="65"/>
      <c r="Q223" s="65"/>
      <c r="R223" s="65" t="str">
        <f>IFERROR(VLOOKUP('BMP P Tracking Table'!$Q223,Dropdowns!$C$2:$E$15,3,FALSE),"")</f>
        <v/>
      </c>
      <c r="S223" s="65" t="str">
        <f>IFERROR(VLOOKUP('BMP P Tracking Table'!$R223,Dropdowns!$Q$3:$R$23,2,FALSE),"")</f>
        <v/>
      </c>
      <c r="T223" s="65"/>
      <c r="U223" s="65"/>
      <c r="V223" s="65"/>
      <c r="W223" s="65"/>
      <c r="X223" s="65"/>
      <c r="Y223" s="65"/>
      <c r="Z223" s="65"/>
      <c r="AA223" s="65"/>
      <c r="AB223" s="65"/>
      <c r="AC223" s="97"/>
      <c r="AD223" s="65"/>
      <c r="AE223" s="104" t="str">
        <f>IFERROR('BMP P Tracking Table'!$V223*VLOOKUP('BMP P Tracking Table'!$R223,'Loading Rates'!$B$1:$L$24,4,FALSE)+IF('BMP P Tracking Table'!$W223="By HSG",'BMP P Tracking Table'!$X223*VLOOKUP('BMP P Tracking Table'!$R223,'Loading Rates'!$B$1:$L$24,6,FALSE)+'BMP P Tracking Table'!$Y223*VLOOKUP('BMP P Tracking Table'!$R223,'Loading Rates'!$B$1:$L$24,7,FALSE)+'BMP P Tracking Table'!$Z223*VLOOKUP('BMP P Tracking Table'!$R223,'Loading Rates'!$B$1:$L$24,8,FALSE)+'BMP P Tracking Table'!$AA223*VLOOKUP('BMP P Tracking Table'!$R223,'Loading Rates'!$B$1:$L$24,9,FALSE),'BMP P Tracking Table'!$AB223*VLOOKUP('BMP P Tracking Table'!$R223,'Loading Rates'!$B$1:$L$24,10,FALSE)),"")</f>
        <v/>
      </c>
      <c r="AF223" s="104" t="str">
        <f>IFERROR(MIN(2,IF('BMP P Tracking Table'!$W223="Total Pervious",(-(3630*'BMP P Tracking Table'!$V223+20.691*'BMP P Tracking Table'!$AB223)+SQRT((3630*'BMP P Tracking Table'!$V223+20.691*'BMP P Tracking Table'!$AB223)^2-(4*(996.798*'BMP P Tracking Table'!$AB223)*-'BMP P Tracking Table'!$AC223)))/(2*(996.798*'BMP P Tracking Table'!$AB223)),IF(SUM('BMP P Tracking Table'!$X223:$AA223)=0,'BMP P Tracking Table'!$AC223/(-3630*'BMP P Tracking Table'!$V223),(-(3630*'BMP P Tracking Table'!$V223+20.691*'BMP P Tracking Table'!$AA223-216.711*'BMP P Tracking Table'!$Z223-83.853*'BMP P Tracking Table'!$Y223-42.834*'BMP P Tracking Table'!$X223)+SQRT((3630*'BMP P Tracking Table'!$V223+20.691*'BMP P Tracking Table'!$AA223-216.711*'BMP P Tracking Table'!$Z223-83.853*'BMP P Tracking Table'!$Y223-42.834*'BMP P Tracking Table'!$X223)^2-(4*(149.919*'BMP P Tracking Table'!$X223+236.676*'BMP P Tracking Table'!$Y223+726*'BMP P Tracking Table'!$Z223+996.798*'BMP P Tracking Table'!$AA223)*-'BMP P Tracking Table'!$AC223)))/(2*(149.919*'BMP P Tracking Table'!$X223+236.676*'BMP P Tracking Table'!$Y223+726*'BMP P Tracking Table'!$Z223+996.798*'BMP P Tracking Table'!$AA223))))),"")</f>
        <v/>
      </c>
      <c r="AG223" s="104" t="str">
        <f>IFERROR((VLOOKUP(CONCATENATE('BMP P Tracking Table'!$U223," ",'BMP P Tracking Table'!$AD223),'Performance Curves'!$C$1:$L$46,_xlfn.SINGLE(MATCH('BMP P Tracking Table'!$AF223,'Performance Curves'!$D$1:$L$1,1))+2,FALSE)-VLOOKUP(CONCATENATE('BMP P Tracking Table'!$U223," ",'BMP P Tracking Table'!$AD223),'Performance Curves'!$C$1:$L$46,_xlfn.SINGLE(MATCH('BMP P Tracking Table'!$AF223,'Performance Curves'!$D$1:$L$1,1))+1,FALSE)),"")</f>
        <v/>
      </c>
      <c r="AH223" s="104" t="str">
        <f>IFERROR(('BMP P Tracking Table'!$AF223-INDEX('Performance Curves'!$D$1:$L$1,1,MATCH('BMP P Tracking Table'!$AF223,'Performance Curves'!$D$1:$L$1,1)))/(INDEX('Performance Curves'!$D$1:$L$1,1,MATCH('BMP P Tracking Table'!$AF223,'Performance Curves'!$D$1:$L$1,1)+1)-INDEX('Performance Curves'!$D$1:$L$1,1,MATCH('BMP P Tracking Table'!$AF223,'Performance Curves'!$D$1:$L$1,1))),"")</f>
        <v/>
      </c>
      <c r="AI223" s="103" t="str">
        <f>IFERROR(IF('BMP P Tracking Table'!$AF223=2,VLOOKUP(CONCATENATE('BMP P Tracking Table'!$U223," ",'BMP P Tracking Table'!$AD223),'Performance Curves'!$C$1:$L$46,_xlfn.SINGLE(MATCH('BMP P Tracking Table'!$AF223,'Performance Curves'!$D$1:$L$1,1))+1,FALSE),'BMP P Tracking Table'!$AG223*'BMP P Tracking Table'!$AH223+VLOOKUP(CONCATENATE('BMP P Tracking Table'!$U223," ",'BMP P Tracking Table'!$AD223),'Performance Curves'!$C$1:$L$46,_xlfn.SINGLE(MATCH('BMP P Tracking Table'!$AF223,'Performance Curves'!$D$1:$L$1,1))+1,FALSE)),"")</f>
        <v/>
      </c>
      <c r="AJ223" s="104" t="str">
        <f>IFERROR('BMP P Tracking Table'!$AI223*'BMP P Tracking Table'!$AE223,"")</f>
        <v/>
      </c>
      <c r="AK223" s="65"/>
      <c r="AL223" s="98"/>
      <c r="AM223" s="98"/>
      <c r="AN223" s="64">
        <v>1</v>
      </c>
      <c r="AO223" s="102" t="str">
        <f t="shared" si="35"/>
        <v/>
      </c>
      <c r="AP223" s="98"/>
      <c r="AQ223" s="98"/>
      <c r="AR223" s="98"/>
      <c r="AS223" s="98"/>
      <c r="AT223" s="98"/>
      <c r="AU223" s="98"/>
      <c r="AV223" s="98"/>
      <c r="AW223" s="65"/>
      <c r="AX223" s="99"/>
      <c r="AY223" s="99"/>
      <c r="AZ223" s="104" t="str">
        <f>IF('BMP P Tracking Table'!$AL223="Yes",IF('BMP P Tracking Table'!$AM223="No",'BMP P Tracking Table'!$V223*VLOOKUP('BMP P Tracking Table'!$R223,'Loading Rates'!$B$1:$L$24,4,FALSE)+IF('BMP P Tracking Table'!$W223="By HSG",'BMP P Tracking Table'!$X223*VLOOKUP('BMP P Tracking Table'!$R223,'Loading Rates'!$B$1:$L$24,6,FALSE)+'BMP P Tracking Table'!$Y223*VLOOKUP('BMP P Tracking Table'!$R223,'Loading Rates'!$B$1:$L$24,7,FALSE)+'BMP P Tracking Table'!$Z223*VLOOKUP('BMP P Tracking Table'!$R223,'Loading Rates'!$B$1:$L$24,8,FALSE)+'BMP P Tracking Table'!$AA223*VLOOKUP('BMP P Tracking Table'!$R223,'Loading Rates'!$B$1:$L$24,9,FALSE),'BMP P Tracking Table'!$AB223*VLOOKUP('BMP P Tracking Table'!$R223,'Loading Rates'!$B$1:$L$24,10,FALSE)),'BMP P Tracking Table'!$AP223*VLOOKUP('BMP P Tracking Table'!$R223,'Loading Rates'!$B$1:$L$24,4,FALSE)+IF('BMP P Tracking Table'!$AQ223="By HSG",'BMP P Tracking Table'!$AR223*VLOOKUP('BMP P Tracking Table'!$R223,'Loading Rates'!$B$1:$L$24,6,FALSE)+'BMP P Tracking Table'!$AS223*VLOOKUP('BMP P Tracking Table'!$R223,'Loading Rates'!$B$1:$L$24,7,FALSE)+'BMP P Tracking Table'!$AT223*VLOOKUP('BMP P Tracking Table'!$R223,'Loading Rates'!$B$1:$L$24,8,FALSE)+'BMP P Tracking Table'!$AU223*VLOOKUP('BMP P Tracking Table'!$R223,'Loading Rates'!$B$1:$L$24,9,FALSE),'BMP P Tracking Table'!$AV223*VLOOKUP('BMP P Tracking Table'!$R223,'Loading Rates'!$B$1:$L$24,10,FALSE))),"")</f>
        <v/>
      </c>
      <c r="BA223" s="104" t="str">
        <f>IFERROR(IF('BMP P Tracking Table'!$AM223="Yes",MIN(2,IF('BMP P Tracking Table'!$AQ223="Total Pervious",(-(3630*'BMP P Tracking Table'!$AP223+20.691*'BMP P Tracking Table'!$AV223)+SQRT((3630*'BMP P Tracking Table'!$AP223+20.691*'BMP P Tracking Table'!$AV223)^2-(4*(996.798*'BMP P Tracking Table'!$AV223)*-'BMP P Tracking Table'!$AX223)))/(2*(996.798*'BMP P Tracking Table'!$AV223)),IF(SUM('BMP P Tracking Table'!$AR223:$AU223)=0,'BMP P Tracking Table'!$AV223/(-3630*'BMP P Tracking Table'!$AP223),(-(3630*'BMP P Tracking Table'!$AP223+20.691*'BMP P Tracking Table'!$AU223-216.711*'BMP P Tracking Table'!$AT223-83.853*'BMP P Tracking Table'!$AS223-42.834*'BMP P Tracking Table'!$AR223)+SQRT((3630*'BMP P Tracking Table'!$AP223+20.691*'BMP P Tracking Table'!$AU223-216.711*'BMP P Tracking Table'!$AT223-83.853*'BMP P Tracking Table'!$AS223-42.834*'BMP P Tracking Table'!$AR223)^2-(4*(149.919*'BMP P Tracking Table'!$AR223+236.676*'BMP P Tracking Table'!$AS223+726*'BMP P Tracking Table'!$AT223+996.798*'BMP P Tracking Table'!$AU223)*-'BMP P Tracking Table'!$AX223)))/(2*(149.919*'BMP P Tracking Table'!$AR223+236.676*'BMP P Tracking Table'!$AS223+726*'BMP P Tracking Table'!$AT223+996.798*'BMP P Tracking Table'!$AU223))))),MIN(2,IF('BMP P Tracking Table'!$AQ223="Total Pervious",(-(3630*'BMP P Tracking Table'!$V223+20.691*'BMP P Tracking Table'!$AB223)+SQRT((3630*'BMP P Tracking Table'!$V223+20.691*'BMP P Tracking Table'!$AB223)^2-(4*(996.798*'BMP P Tracking Table'!$AB223)*-'BMP P Tracking Table'!$AX223)))/(2*(996.798*'BMP P Tracking Table'!$AB223)),IF(SUM('BMP P Tracking Table'!$X223:$AA223)=0,'BMP P Tracking Table'!$AX223/(-3630*'BMP P Tracking Table'!$V223),(-(3630*'BMP P Tracking Table'!$V223+20.691*'BMP P Tracking Table'!$AA223-216.711*'BMP P Tracking Table'!$Z223-83.853*'BMP P Tracking Table'!$Y223-42.834*'BMP P Tracking Table'!$X223)+SQRT((3630*'BMP P Tracking Table'!$V223+20.691*'BMP P Tracking Table'!$AA223-216.711*'BMP P Tracking Table'!$Z223-83.853*'BMP P Tracking Table'!$Y223-42.834*'BMP P Tracking Table'!$X223)^2-(4*(149.919*'BMP P Tracking Table'!$X223+236.676*'BMP P Tracking Table'!$Y223+726*'BMP P Tracking Table'!$Z223+996.798*'BMP P Tracking Table'!$AA223)*-'BMP P Tracking Table'!$AX223)))/(2*(149.919*'BMP P Tracking Table'!$X223+236.676*'BMP P Tracking Table'!$Y223+726*'BMP P Tracking Table'!$Z223+996.798*'BMP P Tracking Table'!$AA223)))))),"")</f>
        <v/>
      </c>
      <c r="BB223" s="102" t="str">
        <f>IFERROR((VLOOKUP(CONCATENATE('BMP P Tracking Table'!$AW223," ",'BMP P Tracking Table'!$AY223),'Performance Curves'!$C$1:$L$46,_xlfn.SINGLE(MATCH('BMP P Tracking Table'!$BA223,'Performance Curves'!$D$1:$L$1,1))+2,FALSE)-VLOOKUP(CONCATENATE('BMP P Tracking Table'!$AW223," ",'BMP P Tracking Table'!$AY223),'Performance Curves'!$C$1:$L$46,_xlfn.SINGLE(MATCH('BMP P Tracking Table'!$BA223,'Performance Curves'!$D$1:$L$1,1))+1,FALSE)),"")</f>
        <v/>
      </c>
      <c r="BC223" s="102" t="str">
        <f>IFERROR(('BMP P Tracking Table'!$BA223-INDEX('Performance Curves'!$D$1:$L$1,1,MATCH('BMP P Tracking Table'!$BA223,'Performance Curves'!$D$1:$L$1,1)))/(INDEX('Performance Curves'!$D$1:$L$1,1,MATCH('BMP P Tracking Table'!$BA223,'Performance Curves'!$D$1:$L$1,1)+1)-INDEX('Performance Curves'!$D$1:$L$1,1,MATCH('BMP P Tracking Table'!$BA223,'Performance Curves'!$D$1:$L$1,1))),"")</f>
        <v/>
      </c>
      <c r="BD223" s="103" t="str" cm="1">
        <f t="array" ref="BD223">IFERROR(IF('BMP P Tracking Table'!$BA223=2,VLOOKUP(CONCATENATE('BMP P Tracking Table'!$AW223," ",'BMP P Tracking Table'!$AY223),'Performance Curves'!$C$1:$L$44,_xlfn.SINGLE(MATCH('BMP P Tracking Table'!$BA223,'Performance Curves'!$D$1:$L$1,1))+1,FALSE),'BMP P Tracking Table'!$BB223*'BMP P Tracking Table'!$BC223+VLOOKUP(CONCATENATE('BMP P Tracking Table'!$AW223," ",'BMP P Tracking Table'!$AY223),'Performance Curves'!$C$1:$L$44,_xlfn.SINGLE(MATCH('BMP P Tracking Table'!$BA223,'Performance Curves'!$D$1:$L$1,1))+1,FALSE)),"")</f>
        <v/>
      </c>
      <c r="BE223" s="104" t="str">
        <f>IFERROR('BMP P Tracking Table'!$BD223*'BMP P Tracking Table'!$AZ223,"")</f>
        <v/>
      </c>
      <c r="BF223" s="98"/>
      <c r="BG223" s="37">
        <f t="shared" si="36"/>
        <v>0</v>
      </c>
    </row>
    <row r="224" spans="2:59" s="36" customFormat="1">
      <c r="B224" s="65"/>
      <c r="C224" s="65"/>
      <c r="D224" s="65"/>
      <c r="E224" s="65"/>
      <c r="F224" s="94"/>
      <c r="G224" s="94"/>
      <c r="H224" s="65"/>
      <c r="I224" s="65"/>
      <c r="J224" s="65"/>
      <c r="K224" s="95"/>
      <c r="L224" s="65"/>
      <c r="M224" s="65"/>
      <c r="N224" s="65"/>
      <c r="O224" s="65"/>
      <c r="P224" s="65"/>
      <c r="Q224" s="65"/>
      <c r="R224" s="65" t="str">
        <f>IFERROR(VLOOKUP('BMP P Tracking Table'!$Q224,Dropdowns!$C$2:$E$15,3,FALSE),"")</f>
        <v/>
      </c>
      <c r="S224" s="65" t="str">
        <f>IFERROR(VLOOKUP('BMP P Tracking Table'!$R224,Dropdowns!$Q$3:$R$23,2,FALSE),"")</f>
        <v/>
      </c>
      <c r="T224" s="65"/>
      <c r="U224" s="65"/>
      <c r="V224" s="65"/>
      <c r="W224" s="65"/>
      <c r="X224" s="65"/>
      <c r="Y224" s="65"/>
      <c r="Z224" s="65"/>
      <c r="AA224" s="65"/>
      <c r="AB224" s="65"/>
      <c r="AC224" s="97"/>
      <c r="AD224" s="65"/>
      <c r="AE224" s="104" t="str">
        <f>IFERROR('BMP P Tracking Table'!$V224*VLOOKUP('BMP P Tracking Table'!$R224,'Loading Rates'!$B$1:$L$24,4,FALSE)+IF('BMP P Tracking Table'!$W224="By HSG",'BMP P Tracking Table'!$X224*VLOOKUP('BMP P Tracking Table'!$R224,'Loading Rates'!$B$1:$L$24,6,FALSE)+'BMP P Tracking Table'!$Y224*VLOOKUP('BMP P Tracking Table'!$R224,'Loading Rates'!$B$1:$L$24,7,FALSE)+'BMP P Tracking Table'!$Z224*VLOOKUP('BMP P Tracking Table'!$R224,'Loading Rates'!$B$1:$L$24,8,FALSE)+'BMP P Tracking Table'!$AA224*VLOOKUP('BMP P Tracking Table'!$R224,'Loading Rates'!$B$1:$L$24,9,FALSE),'BMP P Tracking Table'!$AB224*VLOOKUP('BMP P Tracking Table'!$R224,'Loading Rates'!$B$1:$L$24,10,FALSE)),"")</f>
        <v/>
      </c>
      <c r="AF224" s="104" t="str">
        <f>IFERROR(MIN(2,IF('BMP P Tracking Table'!$W224="Total Pervious",(-(3630*'BMP P Tracking Table'!$V224+20.691*'BMP P Tracking Table'!$AB224)+SQRT((3630*'BMP P Tracking Table'!$V224+20.691*'BMP P Tracking Table'!$AB224)^2-(4*(996.798*'BMP P Tracking Table'!$AB224)*-'BMP P Tracking Table'!$AC224)))/(2*(996.798*'BMP P Tracking Table'!$AB224)),IF(SUM('BMP P Tracking Table'!$X224:$AA224)=0,'BMP P Tracking Table'!$AC224/(-3630*'BMP P Tracking Table'!$V224),(-(3630*'BMP P Tracking Table'!$V224+20.691*'BMP P Tracking Table'!$AA224-216.711*'BMP P Tracking Table'!$Z224-83.853*'BMP P Tracking Table'!$Y224-42.834*'BMP P Tracking Table'!$X224)+SQRT((3630*'BMP P Tracking Table'!$V224+20.691*'BMP P Tracking Table'!$AA224-216.711*'BMP P Tracking Table'!$Z224-83.853*'BMP P Tracking Table'!$Y224-42.834*'BMP P Tracking Table'!$X224)^2-(4*(149.919*'BMP P Tracking Table'!$X224+236.676*'BMP P Tracking Table'!$Y224+726*'BMP P Tracking Table'!$Z224+996.798*'BMP P Tracking Table'!$AA224)*-'BMP P Tracking Table'!$AC224)))/(2*(149.919*'BMP P Tracking Table'!$X224+236.676*'BMP P Tracking Table'!$Y224+726*'BMP P Tracking Table'!$Z224+996.798*'BMP P Tracking Table'!$AA224))))),"")</f>
        <v/>
      </c>
      <c r="AG224" s="104" t="str">
        <f>IFERROR((VLOOKUP(CONCATENATE('BMP P Tracking Table'!$U224," ",'BMP P Tracking Table'!$AD224),'Performance Curves'!$C$1:$L$46,_xlfn.SINGLE(MATCH('BMP P Tracking Table'!$AF224,'Performance Curves'!$D$1:$L$1,1))+2,FALSE)-VLOOKUP(CONCATENATE('BMP P Tracking Table'!$U224," ",'BMP P Tracking Table'!$AD224),'Performance Curves'!$C$1:$L$46,_xlfn.SINGLE(MATCH('BMP P Tracking Table'!$AF224,'Performance Curves'!$D$1:$L$1,1))+1,FALSE)),"")</f>
        <v/>
      </c>
      <c r="AH224" s="104" t="str">
        <f>IFERROR(('BMP P Tracking Table'!$AF224-INDEX('Performance Curves'!$D$1:$L$1,1,MATCH('BMP P Tracking Table'!$AF224,'Performance Curves'!$D$1:$L$1,1)))/(INDEX('Performance Curves'!$D$1:$L$1,1,MATCH('BMP P Tracking Table'!$AF224,'Performance Curves'!$D$1:$L$1,1)+1)-INDEX('Performance Curves'!$D$1:$L$1,1,MATCH('BMP P Tracking Table'!$AF224,'Performance Curves'!$D$1:$L$1,1))),"")</f>
        <v/>
      </c>
      <c r="AI224" s="103" t="str">
        <f>IFERROR(IF('BMP P Tracking Table'!$AF224=2,VLOOKUP(CONCATENATE('BMP P Tracking Table'!$U224," ",'BMP P Tracking Table'!$AD224),'Performance Curves'!$C$1:$L$46,_xlfn.SINGLE(MATCH('BMP P Tracking Table'!$AF224,'Performance Curves'!$D$1:$L$1,1))+1,FALSE),'BMP P Tracking Table'!$AG224*'BMP P Tracking Table'!$AH224+VLOOKUP(CONCATENATE('BMP P Tracking Table'!$U224," ",'BMP P Tracking Table'!$AD224),'Performance Curves'!$C$1:$L$46,_xlfn.SINGLE(MATCH('BMP P Tracking Table'!$AF224,'Performance Curves'!$D$1:$L$1,1))+1,FALSE)),"")</f>
        <v/>
      </c>
      <c r="AJ224" s="104" t="str">
        <f>IFERROR('BMP P Tracking Table'!$AI224*'BMP P Tracking Table'!$AE224,"")</f>
        <v/>
      </c>
      <c r="AK224" s="65"/>
      <c r="AL224" s="98"/>
      <c r="AM224" s="98"/>
      <c r="AN224" s="64">
        <v>1</v>
      </c>
      <c r="AO224" s="102" t="str">
        <f t="shared" si="35"/>
        <v/>
      </c>
      <c r="AP224" s="98"/>
      <c r="AQ224" s="98"/>
      <c r="AR224" s="98"/>
      <c r="AS224" s="98"/>
      <c r="AT224" s="98"/>
      <c r="AU224" s="98"/>
      <c r="AV224" s="98"/>
      <c r="AW224" s="65"/>
      <c r="AX224" s="99"/>
      <c r="AY224" s="99"/>
      <c r="AZ224" s="104" t="str">
        <f>IF('BMP P Tracking Table'!$AL224="Yes",IF('BMP P Tracking Table'!$AM224="No",'BMP P Tracking Table'!$V224*VLOOKUP('BMP P Tracking Table'!$R224,'Loading Rates'!$B$1:$L$24,4,FALSE)+IF('BMP P Tracking Table'!$W224="By HSG",'BMP P Tracking Table'!$X224*VLOOKUP('BMP P Tracking Table'!$R224,'Loading Rates'!$B$1:$L$24,6,FALSE)+'BMP P Tracking Table'!$Y224*VLOOKUP('BMP P Tracking Table'!$R224,'Loading Rates'!$B$1:$L$24,7,FALSE)+'BMP P Tracking Table'!$Z224*VLOOKUP('BMP P Tracking Table'!$R224,'Loading Rates'!$B$1:$L$24,8,FALSE)+'BMP P Tracking Table'!$AA224*VLOOKUP('BMP P Tracking Table'!$R224,'Loading Rates'!$B$1:$L$24,9,FALSE),'BMP P Tracking Table'!$AB224*VLOOKUP('BMP P Tracking Table'!$R224,'Loading Rates'!$B$1:$L$24,10,FALSE)),'BMP P Tracking Table'!$AP224*VLOOKUP('BMP P Tracking Table'!$R224,'Loading Rates'!$B$1:$L$24,4,FALSE)+IF('BMP P Tracking Table'!$AQ224="By HSG",'BMP P Tracking Table'!$AR224*VLOOKUP('BMP P Tracking Table'!$R224,'Loading Rates'!$B$1:$L$24,6,FALSE)+'BMP P Tracking Table'!$AS224*VLOOKUP('BMP P Tracking Table'!$R224,'Loading Rates'!$B$1:$L$24,7,FALSE)+'BMP P Tracking Table'!$AT224*VLOOKUP('BMP P Tracking Table'!$R224,'Loading Rates'!$B$1:$L$24,8,FALSE)+'BMP P Tracking Table'!$AU224*VLOOKUP('BMP P Tracking Table'!$R224,'Loading Rates'!$B$1:$L$24,9,FALSE),'BMP P Tracking Table'!$AV224*VLOOKUP('BMP P Tracking Table'!$R224,'Loading Rates'!$B$1:$L$24,10,FALSE))),"")</f>
        <v/>
      </c>
      <c r="BA224" s="104" t="str">
        <f>IFERROR(IF('BMP P Tracking Table'!$AM224="Yes",MIN(2,IF('BMP P Tracking Table'!$AQ224="Total Pervious",(-(3630*'BMP P Tracking Table'!$AP224+20.691*'BMP P Tracking Table'!$AV224)+SQRT((3630*'BMP P Tracking Table'!$AP224+20.691*'BMP P Tracking Table'!$AV224)^2-(4*(996.798*'BMP P Tracking Table'!$AV224)*-'BMP P Tracking Table'!$AX224)))/(2*(996.798*'BMP P Tracking Table'!$AV224)),IF(SUM('BMP P Tracking Table'!$AR224:$AU224)=0,'BMP P Tracking Table'!$AV224/(-3630*'BMP P Tracking Table'!$AP224),(-(3630*'BMP P Tracking Table'!$AP224+20.691*'BMP P Tracking Table'!$AU224-216.711*'BMP P Tracking Table'!$AT224-83.853*'BMP P Tracking Table'!$AS224-42.834*'BMP P Tracking Table'!$AR224)+SQRT((3630*'BMP P Tracking Table'!$AP224+20.691*'BMP P Tracking Table'!$AU224-216.711*'BMP P Tracking Table'!$AT224-83.853*'BMP P Tracking Table'!$AS224-42.834*'BMP P Tracking Table'!$AR224)^2-(4*(149.919*'BMP P Tracking Table'!$AR224+236.676*'BMP P Tracking Table'!$AS224+726*'BMP P Tracking Table'!$AT224+996.798*'BMP P Tracking Table'!$AU224)*-'BMP P Tracking Table'!$AX224)))/(2*(149.919*'BMP P Tracking Table'!$AR224+236.676*'BMP P Tracking Table'!$AS224+726*'BMP P Tracking Table'!$AT224+996.798*'BMP P Tracking Table'!$AU224))))),MIN(2,IF('BMP P Tracking Table'!$AQ224="Total Pervious",(-(3630*'BMP P Tracking Table'!$V224+20.691*'BMP P Tracking Table'!$AB224)+SQRT((3630*'BMP P Tracking Table'!$V224+20.691*'BMP P Tracking Table'!$AB224)^2-(4*(996.798*'BMP P Tracking Table'!$AB224)*-'BMP P Tracking Table'!$AX224)))/(2*(996.798*'BMP P Tracking Table'!$AB224)),IF(SUM('BMP P Tracking Table'!$X224:$AA224)=0,'BMP P Tracking Table'!$AX224/(-3630*'BMP P Tracking Table'!$V224),(-(3630*'BMP P Tracking Table'!$V224+20.691*'BMP P Tracking Table'!$AA224-216.711*'BMP P Tracking Table'!$Z224-83.853*'BMP P Tracking Table'!$Y224-42.834*'BMP P Tracking Table'!$X224)+SQRT((3630*'BMP P Tracking Table'!$V224+20.691*'BMP P Tracking Table'!$AA224-216.711*'BMP P Tracking Table'!$Z224-83.853*'BMP P Tracking Table'!$Y224-42.834*'BMP P Tracking Table'!$X224)^2-(4*(149.919*'BMP P Tracking Table'!$X224+236.676*'BMP P Tracking Table'!$Y224+726*'BMP P Tracking Table'!$Z224+996.798*'BMP P Tracking Table'!$AA224)*-'BMP P Tracking Table'!$AX224)))/(2*(149.919*'BMP P Tracking Table'!$X224+236.676*'BMP P Tracking Table'!$Y224+726*'BMP P Tracking Table'!$Z224+996.798*'BMP P Tracking Table'!$AA224)))))),"")</f>
        <v/>
      </c>
      <c r="BB224" s="102" t="str">
        <f>IFERROR((VLOOKUP(CONCATENATE('BMP P Tracking Table'!$AW224," ",'BMP P Tracking Table'!$AY224),'Performance Curves'!$C$1:$L$46,_xlfn.SINGLE(MATCH('BMP P Tracking Table'!$BA224,'Performance Curves'!$D$1:$L$1,1))+2,FALSE)-VLOOKUP(CONCATENATE('BMP P Tracking Table'!$AW224," ",'BMP P Tracking Table'!$AY224),'Performance Curves'!$C$1:$L$46,_xlfn.SINGLE(MATCH('BMP P Tracking Table'!$BA224,'Performance Curves'!$D$1:$L$1,1))+1,FALSE)),"")</f>
        <v/>
      </c>
      <c r="BC224" s="102" t="str">
        <f>IFERROR(('BMP P Tracking Table'!$BA224-INDEX('Performance Curves'!$D$1:$L$1,1,MATCH('BMP P Tracking Table'!$BA224,'Performance Curves'!$D$1:$L$1,1)))/(INDEX('Performance Curves'!$D$1:$L$1,1,MATCH('BMP P Tracking Table'!$BA224,'Performance Curves'!$D$1:$L$1,1)+1)-INDEX('Performance Curves'!$D$1:$L$1,1,MATCH('BMP P Tracking Table'!$BA224,'Performance Curves'!$D$1:$L$1,1))),"")</f>
        <v/>
      </c>
      <c r="BD224" s="103" t="str" cm="1">
        <f t="array" ref="BD224">IFERROR(IF('BMP P Tracking Table'!$BA224=2,VLOOKUP(CONCATENATE('BMP P Tracking Table'!$AW224," ",'BMP P Tracking Table'!$AY224),'Performance Curves'!$C$1:$L$44,_xlfn.SINGLE(MATCH('BMP P Tracking Table'!$BA224,'Performance Curves'!$D$1:$L$1,1))+1,FALSE),'BMP P Tracking Table'!$BB224*'BMP P Tracking Table'!$BC224+VLOOKUP(CONCATENATE('BMP P Tracking Table'!$AW224," ",'BMP P Tracking Table'!$AY224),'Performance Curves'!$C$1:$L$44,_xlfn.SINGLE(MATCH('BMP P Tracking Table'!$BA224,'Performance Curves'!$D$1:$L$1,1))+1,FALSE)),"")</f>
        <v/>
      </c>
      <c r="BE224" s="104" t="str">
        <f>IFERROR('BMP P Tracking Table'!$BD224*'BMP P Tracking Table'!$AZ224,"")</f>
        <v/>
      </c>
      <c r="BF224" s="98"/>
      <c r="BG224" s="37">
        <f t="shared" si="36"/>
        <v>0</v>
      </c>
    </row>
    <row r="225" spans="2:59" s="36" customFormat="1">
      <c r="B225" s="65"/>
      <c r="C225" s="65"/>
      <c r="D225" s="65"/>
      <c r="E225" s="65"/>
      <c r="F225" s="94"/>
      <c r="G225" s="94"/>
      <c r="H225" s="65"/>
      <c r="I225" s="65"/>
      <c r="J225" s="65"/>
      <c r="K225" s="95"/>
      <c r="L225" s="65"/>
      <c r="M225" s="65"/>
      <c r="N225" s="65"/>
      <c r="O225" s="65"/>
      <c r="P225" s="65"/>
      <c r="Q225" s="65"/>
      <c r="R225" s="65" t="str">
        <f>IFERROR(VLOOKUP('BMP P Tracking Table'!$Q225,Dropdowns!$C$2:$E$15,3,FALSE),"")</f>
        <v/>
      </c>
      <c r="S225" s="65" t="str">
        <f>IFERROR(VLOOKUP('BMP P Tracking Table'!$R225,Dropdowns!$Q$3:$R$23,2,FALSE),"")</f>
        <v/>
      </c>
      <c r="T225" s="65"/>
      <c r="U225" s="65"/>
      <c r="V225" s="65"/>
      <c r="W225" s="65"/>
      <c r="X225" s="65"/>
      <c r="Y225" s="65"/>
      <c r="Z225" s="65"/>
      <c r="AA225" s="65"/>
      <c r="AB225" s="65"/>
      <c r="AC225" s="97"/>
      <c r="AD225" s="65"/>
      <c r="AE225" s="104" t="str">
        <f>IFERROR('BMP P Tracking Table'!$V225*VLOOKUP('BMP P Tracking Table'!$R225,'Loading Rates'!$B$1:$L$24,4,FALSE)+IF('BMP P Tracking Table'!$W225="By HSG",'BMP P Tracking Table'!$X225*VLOOKUP('BMP P Tracking Table'!$R225,'Loading Rates'!$B$1:$L$24,6,FALSE)+'BMP P Tracking Table'!$Y225*VLOOKUP('BMP P Tracking Table'!$R225,'Loading Rates'!$B$1:$L$24,7,FALSE)+'BMP P Tracking Table'!$Z225*VLOOKUP('BMP P Tracking Table'!$R225,'Loading Rates'!$B$1:$L$24,8,FALSE)+'BMP P Tracking Table'!$AA225*VLOOKUP('BMP P Tracking Table'!$R225,'Loading Rates'!$B$1:$L$24,9,FALSE),'BMP P Tracking Table'!$AB225*VLOOKUP('BMP P Tracking Table'!$R225,'Loading Rates'!$B$1:$L$24,10,FALSE)),"")</f>
        <v/>
      </c>
      <c r="AF225" s="104" t="str">
        <f>IFERROR(MIN(2,IF('BMP P Tracking Table'!$W225="Total Pervious",(-(3630*'BMP P Tracking Table'!$V225+20.691*'BMP P Tracking Table'!$AB225)+SQRT((3630*'BMP P Tracking Table'!$V225+20.691*'BMP P Tracking Table'!$AB225)^2-(4*(996.798*'BMP P Tracking Table'!$AB225)*-'BMP P Tracking Table'!$AC225)))/(2*(996.798*'BMP P Tracking Table'!$AB225)),IF(SUM('BMP P Tracking Table'!$X225:$AA225)=0,'BMP P Tracking Table'!$AC225/(-3630*'BMP P Tracking Table'!$V225),(-(3630*'BMP P Tracking Table'!$V225+20.691*'BMP P Tracking Table'!$AA225-216.711*'BMP P Tracking Table'!$Z225-83.853*'BMP P Tracking Table'!$Y225-42.834*'BMP P Tracking Table'!$X225)+SQRT((3630*'BMP P Tracking Table'!$V225+20.691*'BMP P Tracking Table'!$AA225-216.711*'BMP P Tracking Table'!$Z225-83.853*'BMP P Tracking Table'!$Y225-42.834*'BMP P Tracking Table'!$X225)^2-(4*(149.919*'BMP P Tracking Table'!$X225+236.676*'BMP P Tracking Table'!$Y225+726*'BMP P Tracking Table'!$Z225+996.798*'BMP P Tracking Table'!$AA225)*-'BMP P Tracking Table'!$AC225)))/(2*(149.919*'BMP P Tracking Table'!$X225+236.676*'BMP P Tracking Table'!$Y225+726*'BMP P Tracking Table'!$Z225+996.798*'BMP P Tracking Table'!$AA225))))),"")</f>
        <v/>
      </c>
      <c r="AG225" s="104" t="str">
        <f>IFERROR((VLOOKUP(CONCATENATE('BMP P Tracking Table'!$U225," ",'BMP P Tracking Table'!$AD225),'Performance Curves'!$C$1:$L$46,_xlfn.SINGLE(MATCH('BMP P Tracking Table'!$AF225,'Performance Curves'!$D$1:$L$1,1))+2,FALSE)-VLOOKUP(CONCATENATE('BMP P Tracking Table'!$U225," ",'BMP P Tracking Table'!$AD225),'Performance Curves'!$C$1:$L$46,_xlfn.SINGLE(MATCH('BMP P Tracking Table'!$AF225,'Performance Curves'!$D$1:$L$1,1))+1,FALSE)),"")</f>
        <v/>
      </c>
      <c r="AH225" s="104" t="str">
        <f>IFERROR(('BMP P Tracking Table'!$AF225-INDEX('Performance Curves'!$D$1:$L$1,1,MATCH('BMP P Tracking Table'!$AF225,'Performance Curves'!$D$1:$L$1,1)))/(INDEX('Performance Curves'!$D$1:$L$1,1,MATCH('BMP P Tracking Table'!$AF225,'Performance Curves'!$D$1:$L$1,1)+1)-INDEX('Performance Curves'!$D$1:$L$1,1,MATCH('BMP P Tracking Table'!$AF225,'Performance Curves'!$D$1:$L$1,1))),"")</f>
        <v/>
      </c>
      <c r="AI225" s="103" t="str">
        <f>IFERROR(IF('BMP P Tracking Table'!$AF225=2,VLOOKUP(CONCATENATE('BMP P Tracking Table'!$U225," ",'BMP P Tracking Table'!$AD225),'Performance Curves'!$C$1:$L$46,_xlfn.SINGLE(MATCH('BMP P Tracking Table'!$AF225,'Performance Curves'!$D$1:$L$1,1))+1,FALSE),'BMP P Tracking Table'!$AG225*'BMP P Tracking Table'!$AH225+VLOOKUP(CONCATENATE('BMP P Tracking Table'!$U225," ",'BMP P Tracking Table'!$AD225),'Performance Curves'!$C$1:$L$46,_xlfn.SINGLE(MATCH('BMP P Tracking Table'!$AF225,'Performance Curves'!$D$1:$L$1,1))+1,FALSE)),"")</f>
        <v/>
      </c>
      <c r="AJ225" s="104" t="str">
        <f>IFERROR('BMP P Tracking Table'!$AI225*'BMP P Tracking Table'!$AE225,"")</f>
        <v/>
      </c>
      <c r="AK225" s="65"/>
      <c r="AL225" s="98"/>
      <c r="AM225" s="98"/>
      <c r="AN225" s="64">
        <v>1</v>
      </c>
      <c r="AO225" s="102" t="str">
        <f t="shared" si="35"/>
        <v/>
      </c>
      <c r="AP225" s="98"/>
      <c r="AQ225" s="98"/>
      <c r="AR225" s="98"/>
      <c r="AS225" s="98"/>
      <c r="AT225" s="98"/>
      <c r="AU225" s="98"/>
      <c r="AV225" s="98"/>
      <c r="AW225" s="65"/>
      <c r="AX225" s="99"/>
      <c r="AY225" s="99"/>
      <c r="AZ225" s="104" t="str">
        <f>IF('BMP P Tracking Table'!$AL225="Yes",IF('BMP P Tracking Table'!$AM225="No",'BMP P Tracking Table'!$V225*VLOOKUP('BMP P Tracking Table'!$R225,'Loading Rates'!$B$1:$L$24,4,FALSE)+IF('BMP P Tracking Table'!$W225="By HSG",'BMP P Tracking Table'!$X225*VLOOKUP('BMP P Tracking Table'!$R225,'Loading Rates'!$B$1:$L$24,6,FALSE)+'BMP P Tracking Table'!$Y225*VLOOKUP('BMP P Tracking Table'!$R225,'Loading Rates'!$B$1:$L$24,7,FALSE)+'BMP P Tracking Table'!$Z225*VLOOKUP('BMP P Tracking Table'!$R225,'Loading Rates'!$B$1:$L$24,8,FALSE)+'BMP P Tracking Table'!$AA225*VLOOKUP('BMP P Tracking Table'!$R225,'Loading Rates'!$B$1:$L$24,9,FALSE),'BMP P Tracking Table'!$AB225*VLOOKUP('BMP P Tracking Table'!$R225,'Loading Rates'!$B$1:$L$24,10,FALSE)),'BMP P Tracking Table'!$AP225*VLOOKUP('BMP P Tracking Table'!$R225,'Loading Rates'!$B$1:$L$24,4,FALSE)+IF('BMP P Tracking Table'!$AQ225="By HSG",'BMP P Tracking Table'!$AR225*VLOOKUP('BMP P Tracking Table'!$R225,'Loading Rates'!$B$1:$L$24,6,FALSE)+'BMP P Tracking Table'!$AS225*VLOOKUP('BMP P Tracking Table'!$R225,'Loading Rates'!$B$1:$L$24,7,FALSE)+'BMP P Tracking Table'!$AT225*VLOOKUP('BMP P Tracking Table'!$R225,'Loading Rates'!$B$1:$L$24,8,FALSE)+'BMP P Tracking Table'!$AU225*VLOOKUP('BMP P Tracking Table'!$R225,'Loading Rates'!$B$1:$L$24,9,FALSE),'BMP P Tracking Table'!$AV225*VLOOKUP('BMP P Tracking Table'!$R225,'Loading Rates'!$B$1:$L$24,10,FALSE))),"")</f>
        <v/>
      </c>
      <c r="BA225" s="104" t="str">
        <f>IFERROR(IF('BMP P Tracking Table'!$AM225="Yes",MIN(2,IF('BMP P Tracking Table'!$AQ225="Total Pervious",(-(3630*'BMP P Tracking Table'!$AP225+20.691*'BMP P Tracking Table'!$AV225)+SQRT((3630*'BMP P Tracking Table'!$AP225+20.691*'BMP P Tracking Table'!$AV225)^2-(4*(996.798*'BMP P Tracking Table'!$AV225)*-'BMP P Tracking Table'!$AX225)))/(2*(996.798*'BMP P Tracking Table'!$AV225)),IF(SUM('BMP P Tracking Table'!$AR225:$AU225)=0,'BMP P Tracking Table'!$AV225/(-3630*'BMP P Tracking Table'!$AP225),(-(3630*'BMP P Tracking Table'!$AP225+20.691*'BMP P Tracking Table'!$AU225-216.711*'BMP P Tracking Table'!$AT225-83.853*'BMP P Tracking Table'!$AS225-42.834*'BMP P Tracking Table'!$AR225)+SQRT((3630*'BMP P Tracking Table'!$AP225+20.691*'BMP P Tracking Table'!$AU225-216.711*'BMP P Tracking Table'!$AT225-83.853*'BMP P Tracking Table'!$AS225-42.834*'BMP P Tracking Table'!$AR225)^2-(4*(149.919*'BMP P Tracking Table'!$AR225+236.676*'BMP P Tracking Table'!$AS225+726*'BMP P Tracking Table'!$AT225+996.798*'BMP P Tracking Table'!$AU225)*-'BMP P Tracking Table'!$AX225)))/(2*(149.919*'BMP P Tracking Table'!$AR225+236.676*'BMP P Tracking Table'!$AS225+726*'BMP P Tracking Table'!$AT225+996.798*'BMP P Tracking Table'!$AU225))))),MIN(2,IF('BMP P Tracking Table'!$AQ225="Total Pervious",(-(3630*'BMP P Tracking Table'!$V225+20.691*'BMP P Tracking Table'!$AB225)+SQRT((3630*'BMP P Tracking Table'!$V225+20.691*'BMP P Tracking Table'!$AB225)^2-(4*(996.798*'BMP P Tracking Table'!$AB225)*-'BMP P Tracking Table'!$AX225)))/(2*(996.798*'BMP P Tracking Table'!$AB225)),IF(SUM('BMP P Tracking Table'!$X225:$AA225)=0,'BMP P Tracking Table'!$AX225/(-3630*'BMP P Tracking Table'!$V225),(-(3630*'BMP P Tracking Table'!$V225+20.691*'BMP P Tracking Table'!$AA225-216.711*'BMP P Tracking Table'!$Z225-83.853*'BMP P Tracking Table'!$Y225-42.834*'BMP P Tracking Table'!$X225)+SQRT((3630*'BMP P Tracking Table'!$V225+20.691*'BMP P Tracking Table'!$AA225-216.711*'BMP P Tracking Table'!$Z225-83.853*'BMP P Tracking Table'!$Y225-42.834*'BMP P Tracking Table'!$X225)^2-(4*(149.919*'BMP P Tracking Table'!$X225+236.676*'BMP P Tracking Table'!$Y225+726*'BMP P Tracking Table'!$Z225+996.798*'BMP P Tracking Table'!$AA225)*-'BMP P Tracking Table'!$AX225)))/(2*(149.919*'BMP P Tracking Table'!$X225+236.676*'BMP P Tracking Table'!$Y225+726*'BMP P Tracking Table'!$Z225+996.798*'BMP P Tracking Table'!$AA225)))))),"")</f>
        <v/>
      </c>
      <c r="BB225" s="102" t="str">
        <f>IFERROR((VLOOKUP(CONCATENATE('BMP P Tracking Table'!$AW225," ",'BMP P Tracking Table'!$AY225),'Performance Curves'!$C$1:$L$46,_xlfn.SINGLE(MATCH('BMP P Tracking Table'!$BA225,'Performance Curves'!$D$1:$L$1,1))+2,FALSE)-VLOOKUP(CONCATENATE('BMP P Tracking Table'!$AW225," ",'BMP P Tracking Table'!$AY225),'Performance Curves'!$C$1:$L$46,_xlfn.SINGLE(MATCH('BMP P Tracking Table'!$BA225,'Performance Curves'!$D$1:$L$1,1))+1,FALSE)),"")</f>
        <v/>
      </c>
      <c r="BC225" s="102" t="str">
        <f>IFERROR(('BMP P Tracking Table'!$BA225-INDEX('Performance Curves'!$D$1:$L$1,1,MATCH('BMP P Tracking Table'!$BA225,'Performance Curves'!$D$1:$L$1,1)))/(INDEX('Performance Curves'!$D$1:$L$1,1,MATCH('BMP P Tracking Table'!$BA225,'Performance Curves'!$D$1:$L$1,1)+1)-INDEX('Performance Curves'!$D$1:$L$1,1,MATCH('BMP P Tracking Table'!$BA225,'Performance Curves'!$D$1:$L$1,1))),"")</f>
        <v/>
      </c>
      <c r="BD225" s="103" t="str" cm="1">
        <f t="array" ref="BD225">IFERROR(IF('BMP P Tracking Table'!$BA225=2,VLOOKUP(CONCATENATE('BMP P Tracking Table'!$AW225," ",'BMP P Tracking Table'!$AY225),'Performance Curves'!$C$1:$L$44,_xlfn.SINGLE(MATCH('BMP P Tracking Table'!$BA225,'Performance Curves'!$D$1:$L$1,1))+1,FALSE),'BMP P Tracking Table'!$BB225*'BMP P Tracking Table'!$BC225+VLOOKUP(CONCATENATE('BMP P Tracking Table'!$AW225," ",'BMP P Tracking Table'!$AY225),'Performance Curves'!$C$1:$L$44,_xlfn.SINGLE(MATCH('BMP P Tracking Table'!$BA225,'Performance Curves'!$D$1:$L$1,1))+1,FALSE)),"")</f>
        <v/>
      </c>
      <c r="BE225" s="104" t="str">
        <f>IFERROR('BMP P Tracking Table'!$BD225*'BMP P Tracking Table'!$AZ225,"")</f>
        <v/>
      </c>
      <c r="BF225" s="98"/>
      <c r="BG225" s="37">
        <f t="shared" si="36"/>
        <v>0</v>
      </c>
    </row>
    <row r="226" spans="2:59" s="36" customFormat="1">
      <c r="B226" s="65"/>
      <c r="C226" s="65"/>
      <c r="D226" s="65"/>
      <c r="E226" s="65"/>
      <c r="F226" s="94"/>
      <c r="G226" s="94"/>
      <c r="H226" s="65"/>
      <c r="I226" s="65"/>
      <c r="J226" s="65"/>
      <c r="K226" s="95"/>
      <c r="L226" s="65"/>
      <c r="M226" s="65"/>
      <c r="N226" s="65"/>
      <c r="O226" s="65"/>
      <c r="P226" s="65"/>
      <c r="Q226" s="65"/>
      <c r="R226" s="65" t="str">
        <f>IFERROR(VLOOKUP('BMP P Tracking Table'!$Q226,Dropdowns!$C$2:$E$15,3,FALSE),"")</f>
        <v/>
      </c>
      <c r="S226" s="65" t="str">
        <f>IFERROR(VLOOKUP('BMP P Tracking Table'!$R226,Dropdowns!$Q$3:$R$23,2,FALSE),"")</f>
        <v/>
      </c>
      <c r="T226" s="65"/>
      <c r="U226" s="65"/>
      <c r="V226" s="65"/>
      <c r="W226" s="65"/>
      <c r="X226" s="65"/>
      <c r="Y226" s="65"/>
      <c r="Z226" s="65"/>
      <c r="AA226" s="65"/>
      <c r="AB226" s="65"/>
      <c r="AC226" s="97"/>
      <c r="AD226" s="65"/>
      <c r="AE226" s="104" t="str">
        <f>IFERROR('BMP P Tracking Table'!$V226*VLOOKUP('BMP P Tracking Table'!$R226,'Loading Rates'!$B$1:$L$24,4,FALSE)+IF('BMP P Tracking Table'!$W226="By HSG",'BMP P Tracking Table'!$X226*VLOOKUP('BMP P Tracking Table'!$R226,'Loading Rates'!$B$1:$L$24,6,FALSE)+'BMP P Tracking Table'!$Y226*VLOOKUP('BMP P Tracking Table'!$R226,'Loading Rates'!$B$1:$L$24,7,FALSE)+'BMP P Tracking Table'!$Z226*VLOOKUP('BMP P Tracking Table'!$R226,'Loading Rates'!$B$1:$L$24,8,FALSE)+'BMP P Tracking Table'!$AA226*VLOOKUP('BMP P Tracking Table'!$R226,'Loading Rates'!$B$1:$L$24,9,FALSE),'BMP P Tracking Table'!$AB226*VLOOKUP('BMP P Tracking Table'!$R226,'Loading Rates'!$B$1:$L$24,10,FALSE)),"")</f>
        <v/>
      </c>
      <c r="AF226" s="104" t="str">
        <f>IFERROR(MIN(2,IF('BMP P Tracking Table'!$W226="Total Pervious",(-(3630*'BMP P Tracking Table'!$V226+20.691*'BMP P Tracking Table'!$AB226)+SQRT((3630*'BMP P Tracking Table'!$V226+20.691*'BMP P Tracking Table'!$AB226)^2-(4*(996.798*'BMP P Tracking Table'!$AB226)*-'BMP P Tracking Table'!$AC226)))/(2*(996.798*'BMP P Tracking Table'!$AB226)),IF(SUM('BMP P Tracking Table'!$X226:$AA226)=0,'BMP P Tracking Table'!$AC226/(-3630*'BMP P Tracking Table'!$V226),(-(3630*'BMP P Tracking Table'!$V226+20.691*'BMP P Tracking Table'!$AA226-216.711*'BMP P Tracking Table'!$Z226-83.853*'BMP P Tracking Table'!$Y226-42.834*'BMP P Tracking Table'!$X226)+SQRT((3630*'BMP P Tracking Table'!$V226+20.691*'BMP P Tracking Table'!$AA226-216.711*'BMP P Tracking Table'!$Z226-83.853*'BMP P Tracking Table'!$Y226-42.834*'BMP P Tracking Table'!$X226)^2-(4*(149.919*'BMP P Tracking Table'!$X226+236.676*'BMP P Tracking Table'!$Y226+726*'BMP P Tracking Table'!$Z226+996.798*'BMP P Tracking Table'!$AA226)*-'BMP P Tracking Table'!$AC226)))/(2*(149.919*'BMP P Tracking Table'!$X226+236.676*'BMP P Tracking Table'!$Y226+726*'BMP P Tracking Table'!$Z226+996.798*'BMP P Tracking Table'!$AA226))))),"")</f>
        <v/>
      </c>
      <c r="AG226" s="104" t="str">
        <f>IFERROR((VLOOKUP(CONCATENATE('BMP P Tracking Table'!$U226," ",'BMP P Tracking Table'!$AD226),'Performance Curves'!$C$1:$L$46,_xlfn.SINGLE(MATCH('BMP P Tracking Table'!$AF226,'Performance Curves'!$D$1:$L$1,1))+2,FALSE)-VLOOKUP(CONCATENATE('BMP P Tracking Table'!$U226," ",'BMP P Tracking Table'!$AD226),'Performance Curves'!$C$1:$L$46,_xlfn.SINGLE(MATCH('BMP P Tracking Table'!$AF226,'Performance Curves'!$D$1:$L$1,1))+1,FALSE)),"")</f>
        <v/>
      </c>
      <c r="AH226" s="104" t="str">
        <f>IFERROR(('BMP P Tracking Table'!$AF226-INDEX('Performance Curves'!$D$1:$L$1,1,MATCH('BMP P Tracking Table'!$AF226,'Performance Curves'!$D$1:$L$1,1)))/(INDEX('Performance Curves'!$D$1:$L$1,1,MATCH('BMP P Tracking Table'!$AF226,'Performance Curves'!$D$1:$L$1,1)+1)-INDEX('Performance Curves'!$D$1:$L$1,1,MATCH('BMP P Tracking Table'!$AF226,'Performance Curves'!$D$1:$L$1,1))),"")</f>
        <v/>
      </c>
      <c r="AI226" s="103" t="str">
        <f>IFERROR(IF('BMP P Tracking Table'!$AF226=2,VLOOKUP(CONCATENATE('BMP P Tracking Table'!$U226," ",'BMP P Tracking Table'!$AD226),'Performance Curves'!$C$1:$L$46,_xlfn.SINGLE(MATCH('BMP P Tracking Table'!$AF226,'Performance Curves'!$D$1:$L$1,1))+1,FALSE),'BMP P Tracking Table'!$AG226*'BMP P Tracking Table'!$AH226+VLOOKUP(CONCATENATE('BMP P Tracking Table'!$U226," ",'BMP P Tracking Table'!$AD226),'Performance Curves'!$C$1:$L$46,_xlfn.SINGLE(MATCH('BMP P Tracking Table'!$AF226,'Performance Curves'!$D$1:$L$1,1))+1,FALSE)),"")</f>
        <v/>
      </c>
      <c r="AJ226" s="104" t="str">
        <f>IFERROR('BMP P Tracking Table'!$AI226*'BMP P Tracking Table'!$AE226,"")</f>
        <v/>
      </c>
      <c r="AK226" s="65"/>
      <c r="AL226" s="98"/>
      <c r="AM226" s="98"/>
      <c r="AN226" s="64">
        <v>1</v>
      </c>
      <c r="AO226" s="102" t="str">
        <f t="shared" si="35"/>
        <v/>
      </c>
      <c r="AP226" s="98"/>
      <c r="AQ226" s="98"/>
      <c r="AR226" s="98"/>
      <c r="AS226" s="98"/>
      <c r="AT226" s="98"/>
      <c r="AU226" s="98"/>
      <c r="AV226" s="98"/>
      <c r="AW226" s="65"/>
      <c r="AX226" s="99"/>
      <c r="AY226" s="99"/>
      <c r="AZ226" s="104" t="str">
        <f>IF('BMP P Tracking Table'!$AL226="Yes",IF('BMP P Tracking Table'!$AM226="No",'BMP P Tracking Table'!$V226*VLOOKUP('BMP P Tracking Table'!$R226,'Loading Rates'!$B$1:$L$24,4,FALSE)+IF('BMP P Tracking Table'!$W226="By HSG",'BMP P Tracking Table'!$X226*VLOOKUP('BMP P Tracking Table'!$R226,'Loading Rates'!$B$1:$L$24,6,FALSE)+'BMP P Tracking Table'!$Y226*VLOOKUP('BMP P Tracking Table'!$R226,'Loading Rates'!$B$1:$L$24,7,FALSE)+'BMP P Tracking Table'!$Z226*VLOOKUP('BMP P Tracking Table'!$R226,'Loading Rates'!$B$1:$L$24,8,FALSE)+'BMP P Tracking Table'!$AA226*VLOOKUP('BMP P Tracking Table'!$R226,'Loading Rates'!$B$1:$L$24,9,FALSE),'BMP P Tracking Table'!$AB226*VLOOKUP('BMP P Tracking Table'!$R226,'Loading Rates'!$B$1:$L$24,10,FALSE)),'BMP P Tracking Table'!$AP226*VLOOKUP('BMP P Tracking Table'!$R226,'Loading Rates'!$B$1:$L$24,4,FALSE)+IF('BMP P Tracking Table'!$AQ226="By HSG",'BMP P Tracking Table'!$AR226*VLOOKUP('BMP P Tracking Table'!$R226,'Loading Rates'!$B$1:$L$24,6,FALSE)+'BMP P Tracking Table'!$AS226*VLOOKUP('BMP P Tracking Table'!$R226,'Loading Rates'!$B$1:$L$24,7,FALSE)+'BMP P Tracking Table'!$AT226*VLOOKUP('BMP P Tracking Table'!$R226,'Loading Rates'!$B$1:$L$24,8,FALSE)+'BMP P Tracking Table'!$AU226*VLOOKUP('BMP P Tracking Table'!$R226,'Loading Rates'!$B$1:$L$24,9,FALSE),'BMP P Tracking Table'!$AV226*VLOOKUP('BMP P Tracking Table'!$R226,'Loading Rates'!$B$1:$L$24,10,FALSE))),"")</f>
        <v/>
      </c>
      <c r="BA226" s="104" t="str">
        <f>IFERROR(IF('BMP P Tracking Table'!$AM226="Yes",MIN(2,IF('BMP P Tracking Table'!$AQ226="Total Pervious",(-(3630*'BMP P Tracking Table'!$AP226+20.691*'BMP P Tracking Table'!$AV226)+SQRT((3630*'BMP P Tracking Table'!$AP226+20.691*'BMP P Tracking Table'!$AV226)^2-(4*(996.798*'BMP P Tracking Table'!$AV226)*-'BMP P Tracking Table'!$AX226)))/(2*(996.798*'BMP P Tracking Table'!$AV226)),IF(SUM('BMP P Tracking Table'!$AR226:$AU226)=0,'BMP P Tracking Table'!$AV226/(-3630*'BMP P Tracking Table'!$AP226),(-(3630*'BMP P Tracking Table'!$AP226+20.691*'BMP P Tracking Table'!$AU226-216.711*'BMP P Tracking Table'!$AT226-83.853*'BMP P Tracking Table'!$AS226-42.834*'BMP P Tracking Table'!$AR226)+SQRT((3630*'BMP P Tracking Table'!$AP226+20.691*'BMP P Tracking Table'!$AU226-216.711*'BMP P Tracking Table'!$AT226-83.853*'BMP P Tracking Table'!$AS226-42.834*'BMP P Tracking Table'!$AR226)^2-(4*(149.919*'BMP P Tracking Table'!$AR226+236.676*'BMP P Tracking Table'!$AS226+726*'BMP P Tracking Table'!$AT226+996.798*'BMP P Tracking Table'!$AU226)*-'BMP P Tracking Table'!$AX226)))/(2*(149.919*'BMP P Tracking Table'!$AR226+236.676*'BMP P Tracking Table'!$AS226+726*'BMP P Tracking Table'!$AT226+996.798*'BMP P Tracking Table'!$AU226))))),MIN(2,IF('BMP P Tracking Table'!$AQ226="Total Pervious",(-(3630*'BMP P Tracking Table'!$V226+20.691*'BMP P Tracking Table'!$AB226)+SQRT((3630*'BMP P Tracking Table'!$V226+20.691*'BMP P Tracking Table'!$AB226)^2-(4*(996.798*'BMP P Tracking Table'!$AB226)*-'BMP P Tracking Table'!$AX226)))/(2*(996.798*'BMP P Tracking Table'!$AB226)),IF(SUM('BMP P Tracking Table'!$X226:$AA226)=0,'BMP P Tracking Table'!$AX226/(-3630*'BMP P Tracking Table'!$V226),(-(3630*'BMP P Tracking Table'!$V226+20.691*'BMP P Tracking Table'!$AA226-216.711*'BMP P Tracking Table'!$Z226-83.853*'BMP P Tracking Table'!$Y226-42.834*'BMP P Tracking Table'!$X226)+SQRT((3630*'BMP P Tracking Table'!$V226+20.691*'BMP P Tracking Table'!$AA226-216.711*'BMP P Tracking Table'!$Z226-83.853*'BMP P Tracking Table'!$Y226-42.834*'BMP P Tracking Table'!$X226)^2-(4*(149.919*'BMP P Tracking Table'!$X226+236.676*'BMP P Tracking Table'!$Y226+726*'BMP P Tracking Table'!$Z226+996.798*'BMP P Tracking Table'!$AA226)*-'BMP P Tracking Table'!$AX226)))/(2*(149.919*'BMP P Tracking Table'!$X226+236.676*'BMP P Tracking Table'!$Y226+726*'BMP P Tracking Table'!$Z226+996.798*'BMP P Tracking Table'!$AA226)))))),"")</f>
        <v/>
      </c>
      <c r="BB226" s="102" t="str">
        <f>IFERROR((VLOOKUP(CONCATENATE('BMP P Tracking Table'!$AW226," ",'BMP P Tracking Table'!$AY226),'Performance Curves'!$C$1:$L$46,_xlfn.SINGLE(MATCH('BMP P Tracking Table'!$BA226,'Performance Curves'!$D$1:$L$1,1))+2,FALSE)-VLOOKUP(CONCATENATE('BMP P Tracking Table'!$AW226," ",'BMP P Tracking Table'!$AY226),'Performance Curves'!$C$1:$L$46,_xlfn.SINGLE(MATCH('BMP P Tracking Table'!$BA226,'Performance Curves'!$D$1:$L$1,1))+1,FALSE)),"")</f>
        <v/>
      </c>
      <c r="BC226" s="102" t="str">
        <f>IFERROR(('BMP P Tracking Table'!$BA226-INDEX('Performance Curves'!$D$1:$L$1,1,MATCH('BMP P Tracking Table'!$BA226,'Performance Curves'!$D$1:$L$1,1)))/(INDEX('Performance Curves'!$D$1:$L$1,1,MATCH('BMP P Tracking Table'!$BA226,'Performance Curves'!$D$1:$L$1,1)+1)-INDEX('Performance Curves'!$D$1:$L$1,1,MATCH('BMP P Tracking Table'!$BA226,'Performance Curves'!$D$1:$L$1,1))),"")</f>
        <v/>
      </c>
      <c r="BD226" s="103" t="str" cm="1">
        <f t="array" ref="BD226">IFERROR(IF('BMP P Tracking Table'!$BA226=2,VLOOKUP(CONCATENATE('BMP P Tracking Table'!$AW226," ",'BMP P Tracking Table'!$AY226),'Performance Curves'!$C$1:$L$44,_xlfn.SINGLE(MATCH('BMP P Tracking Table'!$BA226,'Performance Curves'!$D$1:$L$1,1))+1,FALSE),'BMP P Tracking Table'!$BB226*'BMP P Tracking Table'!$BC226+VLOOKUP(CONCATENATE('BMP P Tracking Table'!$AW226," ",'BMP P Tracking Table'!$AY226),'Performance Curves'!$C$1:$L$44,_xlfn.SINGLE(MATCH('BMP P Tracking Table'!$BA226,'Performance Curves'!$D$1:$L$1,1))+1,FALSE)),"")</f>
        <v/>
      </c>
      <c r="BE226" s="104" t="str">
        <f>IFERROR('BMP P Tracking Table'!$BD226*'BMP P Tracking Table'!$AZ226,"")</f>
        <v/>
      </c>
      <c r="BF226" s="98"/>
      <c r="BG226" s="37">
        <f t="shared" si="36"/>
        <v>0</v>
      </c>
    </row>
    <row r="227" spans="2:59" s="36" customFormat="1">
      <c r="B227" s="65"/>
      <c r="C227" s="65"/>
      <c r="D227" s="65"/>
      <c r="E227" s="65"/>
      <c r="F227" s="94"/>
      <c r="G227" s="94"/>
      <c r="H227" s="65"/>
      <c r="I227" s="65"/>
      <c r="J227" s="65"/>
      <c r="K227" s="95"/>
      <c r="L227" s="65"/>
      <c r="M227" s="65"/>
      <c r="N227" s="65"/>
      <c r="O227" s="65"/>
      <c r="P227" s="65"/>
      <c r="Q227" s="65"/>
      <c r="R227" s="65" t="str">
        <f>IFERROR(VLOOKUP('BMP P Tracking Table'!$Q227,Dropdowns!$C$2:$E$15,3,FALSE),"")</f>
        <v/>
      </c>
      <c r="S227" s="65" t="str">
        <f>IFERROR(VLOOKUP('BMP P Tracking Table'!$R227,Dropdowns!$Q$3:$R$23,2,FALSE),"")</f>
        <v/>
      </c>
      <c r="T227" s="65"/>
      <c r="U227" s="65"/>
      <c r="V227" s="65"/>
      <c r="W227" s="65"/>
      <c r="X227" s="65"/>
      <c r="Y227" s="65"/>
      <c r="Z227" s="65"/>
      <c r="AA227" s="65"/>
      <c r="AB227" s="65"/>
      <c r="AC227" s="97"/>
      <c r="AD227" s="65"/>
      <c r="AE227" s="104" t="str">
        <f>IFERROR('BMP P Tracking Table'!$V227*VLOOKUP('BMP P Tracking Table'!$R227,'Loading Rates'!$B$1:$L$24,4,FALSE)+IF('BMP P Tracking Table'!$W227="By HSG",'BMP P Tracking Table'!$X227*VLOOKUP('BMP P Tracking Table'!$R227,'Loading Rates'!$B$1:$L$24,6,FALSE)+'BMP P Tracking Table'!$Y227*VLOOKUP('BMP P Tracking Table'!$R227,'Loading Rates'!$B$1:$L$24,7,FALSE)+'BMP P Tracking Table'!$Z227*VLOOKUP('BMP P Tracking Table'!$R227,'Loading Rates'!$B$1:$L$24,8,FALSE)+'BMP P Tracking Table'!$AA227*VLOOKUP('BMP P Tracking Table'!$R227,'Loading Rates'!$B$1:$L$24,9,FALSE),'BMP P Tracking Table'!$AB227*VLOOKUP('BMP P Tracking Table'!$R227,'Loading Rates'!$B$1:$L$24,10,FALSE)),"")</f>
        <v/>
      </c>
      <c r="AF227" s="104" t="str">
        <f>IFERROR(MIN(2,IF('BMP P Tracking Table'!$W227="Total Pervious",(-(3630*'BMP P Tracking Table'!$V227+20.691*'BMP P Tracking Table'!$AB227)+SQRT((3630*'BMP P Tracking Table'!$V227+20.691*'BMP P Tracking Table'!$AB227)^2-(4*(996.798*'BMP P Tracking Table'!$AB227)*-'BMP P Tracking Table'!$AC227)))/(2*(996.798*'BMP P Tracking Table'!$AB227)),IF(SUM('BMP P Tracking Table'!$X227:$AA227)=0,'BMP P Tracking Table'!$AC227/(-3630*'BMP P Tracking Table'!$V227),(-(3630*'BMP P Tracking Table'!$V227+20.691*'BMP P Tracking Table'!$AA227-216.711*'BMP P Tracking Table'!$Z227-83.853*'BMP P Tracking Table'!$Y227-42.834*'BMP P Tracking Table'!$X227)+SQRT((3630*'BMP P Tracking Table'!$V227+20.691*'BMP P Tracking Table'!$AA227-216.711*'BMP P Tracking Table'!$Z227-83.853*'BMP P Tracking Table'!$Y227-42.834*'BMP P Tracking Table'!$X227)^2-(4*(149.919*'BMP P Tracking Table'!$X227+236.676*'BMP P Tracking Table'!$Y227+726*'BMP P Tracking Table'!$Z227+996.798*'BMP P Tracking Table'!$AA227)*-'BMP P Tracking Table'!$AC227)))/(2*(149.919*'BMP P Tracking Table'!$X227+236.676*'BMP P Tracking Table'!$Y227+726*'BMP P Tracking Table'!$Z227+996.798*'BMP P Tracking Table'!$AA227))))),"")</f>
        <v/>
      </c>
      <c r="AG227" s="104" t="str">
        <f>IFERROR((VLOOKUP(CONCATENATE('BMP P Tracking Table'!$U227," ",'BMP P Tracking Table'!$AD227),'Performance Curves'!$C$1:$L$46,_xlfn.SINGLE(MATCH('BMP P Tracking Table'!$AF227,'Performance Curves'!$D$1:$L$1,1))+2,FALSE)-VLOOKUP(CONCATENATE('BMP P Tracking Table'!$U227," ",'BMP P Tracking Table'!$AD227),'Performance Curves'!$C$1:$L$46,_xlfn.SINGLE(MATCH('BMP P Tracking Table'!$AF227,'Performance Curves'!$D$1:$L$1,1))+1,FALSE)),"")</f>
        <v/>
      </c>
      <c r="AH227" s="104" t="str">
        <f>IFERROR(('BMP P Tracking Table'!$AF227-INDEX('Performance Curves'!$D$1:$L$1,1,MATCH('BMP P Tracking Table'!$AF227,'Performance Curves'!$D$1:$L$1,1)))/(INDEX('Performance Curves'!$D$1:$L$1,1,MATCH('BMP P Tracking Table'!$AF227,'Performance Curves'!$D$1:$L$1,1)+1)-INDEX('Performance Curves'!$D$1:$L$1,1,MATCH('BMP P Tracking Table'!$AF227,'Performance Curves'!$D$1:$L$1,1))),"")</f>
        <v/>
      </c>
      <c r="AI227" s="103" t="str">
        <f>IFERROR(IF('BMP P Tracking Table'!$AF227=2,VLOOKUP(CONCATENATE('BMP P Tracking Table'!$U227," ",'BMP P Tracking Table'!$AD227),'Performance Curves'!$C$1:$L$46,_xlfn.SINGLE(MATCH('BMP P Tracking Table'!$AF227,'Performance Curves'!$D$1:$L$1,1))+1,FALSE),'BMP P Tracking Table'!$AG227*'BMP P Tracking Table'!$AH227+VLOOKUP(CONCATENATE('BMP P Tracking Table'!$U227," ",'BMP P Tracking Table'!$AD227),'Performance Curves'!$C$1:$L$46,_xlfn.SINGLE(MATCH('BMP P Tracking Table'!$AF227,'Performance Curves'!$D$1:$L$1,1))+1,FALSE)),"")</f>
        <v/>
      </c>
      <c r="AJ227" s="104" t="str">
        <f>IFERROR('BMP P Tracking Table'!$AI227*'BMP P Tracking Table'!$AE227,"")</f>
        <v/>
      </c>
      <c r="AK227" s="65"/>
      <c r="AL227" s="98"/>
      <c r="AM227" s="98"/>
      <c r="AN227" s="64">
        <v>1</v>
      </c>
      <c r="AO227" s="102" t="str">
        <f t="shared" si="35"/>
        <v/>
      </c>
      <c r="AP227" s="98"/>
      <c r="AQ227" s="98"/>
      <c r="AR227" s="98"/>
      <c r="AS227" s="98"/>
      <c r="AT227" s="98"/>
      <c r="AU227" s="98"/>
      <c r="AV227" s="98"/>
      <c r="AW227" s="65"/>
      <c r="AX227" s="99"/>
      <c r="AY227" s="99"/>
      <c r="AZ227" s="104" t="str">
        <f>IF('BMP P Tracking Table'!$AL227="Yes",IF('BMP P Tracking Table'!$AM227="No",'BMP P Tracking Table'!$V227*VLOOKUP('BMP P Tracking Table'!$R227,'Loading Rates'!$B$1:$L$24,4,FALSE)+IF('BMP P Tracking Table'!$W227="By HSG",'BMP P Tracking Table'!$X227*VLOOKUP('BMP P Tracking Table'!$R227,'Loading Rates'!$B$1:$L$24,6,FALSE)+'BMP P Tracking Table'!$Y227*VLOOKUP('BMP P Tracking Table'!$R227,'Loading Rates'!$B$1:$L$24,7,FALSE)+'BMP P Tracking Table'!$Z227*VLOOKUP('BMP P Tracking Table'!$R227,'Loading Rates'!$B$1:$L$24,8,FALSE)+'BMP P Tracking Table'!$AA227*VLOOKUP('BMP P Tracking Table'!$R227,'Loading Rates'!$B$1:$L$24,9,FALSE),'BMP P Tracking Table'!$AB227*VLOOKUP('BMP P Tracking Table'!$R227,'Loading Rates'!$B$1:$L$24,10,FALSE)),'BMP P Tracking Table'!$AP227*VLOOKUP('BMP P Tracking Table'!$R227,'Loading Rates'!$B$1:$L$24,4,FALSE)+IF('BMP P Tracking Table'!$AQ227="By HSG",'BMP P Tracking Table'!$AR227*VLOOKUP('BMP P Tracking Table'!$R227,'Loading Rates'!$B$1:$L$24,6,FALSE)+'BMP P Tracking Table'!$AS227*VLOOKUP('BMP P Tracking Table'!$R227,'Loading Rates'!$B$1:$L$24,7,FALSE)+'BMP P Tracking Table'!$AT227*VLOOKUP('BMP P Tracking Table'!$R227,'Loading Rates'!$B$1:$L$24,8,FALSE)+'BMP P Tracking Table'!$AU227*VLOOKUP('BMP P Tracking Table'!$R227,'Loading Rates'!$B$1:$L$24,9,FALSE),'BMP P Tracking Table'!$AV227*VLOOKUP('BMP P Tracking Table'!$R227,'Loading Rates'!$B$1:$L$24,10,FALSE))),"")</f>
        <v/>
      </c>
      <c r="BA227" s="104" t="str">
        <f>IFERROR(IF('BMP P Tracking Table'!$AM227="Yes",MIN(2,IF('BMP P Tracking Table'!$AQ227="Total Pervious",(-(3630*'BMP P Tracking Table'!$AP227+20.691*'BMP P Tracking Table'!$AV227)+SQRT((3630*'BMP P Tracking Table'!$AP227+20.691*'BMP P Tracking Table'!$AV227)^2-(4*(996.798*'BMP P Tracking Table'!$AV227)*-'BMP P Tracking Table'!$AX227)))/(2*(996.798*'BMP P Tracking Table'!$AV227)),IF(SUM('BMP P Tracking Table'!$AR227:$AU227)=0,'BMP P Tracking Table'!$AV227/(-3630*'BMP P Tracking Table'!$AP227),(-(3630*'BMP P Tracking Table'!$AP227+20.691*'BMP P Tracking Table'!$AU227-216.711*'BMP P Tracking Table'!$AT227-83.853*'BMP P Tracking Table'!$AS227-42.834*'BMP P Tracking Table'!$AR227)+SQRT((3630*'BMP P Tracking Table'!$AP227+20.691*'BMP P Tracking Table'!$AU227-216.711*'BMP P Tracking Table'!$AT227-83.853*'BMP P Tracking Table'!$AS227-42.834*'BMP P Tracking Table'!$AR227)^2-(4*(149.919*'BMP P Tracking Table'!$AR227+236.676*'BMP P Tracking Table'!$AS227+726*'BMP P Tracking Table'!$AT227+996.798*'BMP P Tracking Table'!$AU227)*-'BMP P Tracking Table'!$AX227)))/(2*(149.919*'BMP P Tracking Table'!$AR227+236.676*'BMP P Tracking Table'!$AS227+726*'BMP P Tracking Table'!$AT227+996.798*'BMP P Tracking Table'!$AU227))))),MIN(2,IF('BMP P Tracking Table'!$AQ227="Total Pervious",(-(3630*'BMP P Tracking Table'!$V227+20.691*'BMP P Tracking Table'!$AB227)+SQRT((3630*'BMP P Tracking Table'!$V227+20.691*'BMP P Tracking Table'!$AB227)^2-(4*(996.798*'BMP P Tracking Table'!$AB227)*-'BMP P Tracking Table'!$AX227)))/(2*(996.798*'BMP P Tracking Table'!$AB227)),IF(SUM('BMP P Tracking Table'!$X227:$AA227)=0,'BMP P Tracking Table'!$AX227/(-3630*'BMP P Tracking Table'!$V227),(-(3630*'BMP P Tracking Table'!$V227+20.691*'BMP P Tracking Table'!$AA227-216.711*'BMP P Tracking Table'!$Z227-83.853*'BMP P Tracking Table'!$Y227-42.834*'BMP P Tracking Table'!$X227)+SQRT((3630*'BMP P Tracking Table'!$V227+20.691*'BMP P Tracking Table'!$AA227-216.711*'BMP P Tracking Table'!$Z227-83.853*'BMP P Tracking Table'!$Y227-42.834*'BMP P Tracking Table'!$X227)^2-(4*(149.919*'BMP P Tracking Table'!$X227+236.676*'BMP P Tracking Table'!$Y227+726*'BMP P Tracking Table'!$Z227+996.798*'BMP P Tracking Table'!$AA227)*-'BMP P Tracking Table'!$AX227)))/(2*(149.919*'BMP P Tracking Table'!$X227+236.676*'BMP P Tracking Table'!$Y227+726*'BMP P Tracking Table'!$Z227+996.798*'BMP P Tracking Table'!$AA227)))))),"")</f>
        <v/>
      </c>
      <c r="BB227" s="102" t="str">
        <f>IFERROR((VLOOKUP(CONCATENATE('BMP P Tracking Table'!$AW227," ",'BMP P Tracking Table'!$AY227),'Performance Curves'!$C$1:$L$46,_xlfn.SINGLE(MATCH('BMP P Tracking Table'!$BA227,'Performance Curves'!$D$1:$L$1,1))+2,FALSE)-VLOOKUP(CONCATENATE('BMP P Tracking Table'!$AW227," ",'BMP P Tracking Table'!$AY227),'Performance Curves'!$C$1:$L$46,_xlfn.SINGLE(MATCH('BMP P Tracking Table'!$BA227,'Performance Curves'!$D$1:$L$1,1))+1,FALSE)),"")</f>
        <v/>
      </c>
      <c r="BC227" s="102" t="str">
        <f>IFERROR(('BMP P Tracking Table'!$BA227-INDEX('Performance Curves'!$D$1:$L$1,1,MATCH('BMP P Tracking Table'!$BA227,'Performance Curves'!$D$1:$L$1,1)))/(INDEX('Performance Curves'!$D$1:$L$1,1,MATCH('BMP P Tracking Table'!$BA227,'Performance Curves'!$D$1:$L$1,1)+1)-INDEX('Performance Curves'!$D$1:$L$1,1,MATCH('BMP P Tracking Table'!$BA227,'Performance Curves'!$D$1:$L$1,1))),"")</f>
        <v/>
      </c>
      <c r="BD227" s="103" t="str" cm="1">
        <f t="array" ref="BD227">IFERROR(IF('BMP P Tracking Table'!$BA227=2,VLOOKUP(CONCATENATE('BMP P Tracking Table'!$AW227," ",'BMP P Tracking Table'!$AY227),'Performance Curves'!$C$1:$L$44,_xlfn.SINGLE(MATCH('BMP P Tracking Table'!$BA227,'Performance Curves'!$D$1:$L$1,1))+1,FALSE),'BMP P Tracking Table'!$BB227*'BMP P Tracking Table'!$BC227+VLOOKUP(CONCATENATE('BMP P Tracking Table'!$AW227," ",'BMP P Tracking Table'!$AY227),'Performance Curves'!$C$1:$L$44,_xlfn.SINGLE(MATCH('BMP P Tracking Table'!$BA227,'Performance Curves'!$D$1:$L$1,1))+1,FALSE)),"")</f>
        <v/>
      </c>
      <c r="BE227" s="104" t="str">
        <f>IFERROR('BMP P Tracking Table'!$BD227*'BMP P Tracking Table'!$AZ227,"")</f>
        <v/>
      </c>
      <c r="BF227" s="98"/>
      <c r="BG227" s="37">
        <f t="shared" si="36"/>
        <v>0</v>
      </c>
    </row>
    <row r="228" spans="2:59" s="36" customFormat="1">
      <c r="B228" s="65"/>
      <c r="C228" s="65"/>
      <c r="D228" s="65"/>
      <c r="E228" s="65"/>
      <c r="F228" s="94"/>
      <c r="G228" s="94"/>
      <c r="H228" s="65"/>
      <c r="I228" s="65"/>
      <c r="J228" s="65"/>
      <c r="K228" s="95"/>
      <c r="L228" s="65"/>
      <c r="M228" s="65"/>
      <c r="N228" s="65"/>
      <c r="O228" s="65"/>
      <c r="P228" s="65"/>
      <c r="Q228" s="65"/>
      <c r="R228" s="65" t="str">
        <f>IFERROR(VLOOKUP('BMP P Tracking Table'!$Q228,Dropdowns!$C$2:$E$15,3,FALSE),"")</f>
        <v/>
      </c>
      <c r="S228" s="65" t="str">
        <f>IFERROR(VLOOKUP('BMP P Tracking Table'!$R228,Dropdowns!$Q$3:$R$23,2,FALSE),"")</f>
        <v/>
      </c>
      <c r="T228" s="65"/>
      <c r="U228" s="65"/>
      <c r="V228" s="65"/>
      <c r="W228" s="65"/>
      <c r="X228" s="65"/>
      <c r="Y228" s="65"/>
      <c r="Z228" s="65"/>
      <c r="AA228" s="65"/>
      <c r="AB228" s="65"/>
      <c r="AC228" s="97"/>
      <c r="AD228" s="65"/>
      <c r="AE228" s="104" t="str">
        <f>IFERROR('BMP P Tracking Table'!$V228*VLOOKUP('BMP P Tracking Table'!$R228,'Loading Rates'!$B$1:$L$24,4,FALSE)+IF('BMP P Tracking Table'!$W228="By HSG",'BMP P Tracking Table'!$X228*VLOOKUP('BMP P Tracking Table'!$R228,'Loading Rates'!$B$1:$L$24,6,FALSE)+'BMP P Tracking Table'!$Y228*VLOOKUP('BMP P Tracking Table'!$R228,'Loading Rates'!$B$1:$L$24,7,FALSE)+'BMP P Tracking Table'!$Z228*VLOOKUP('BMP P Tracking Table'!$R228,'Loading Rates'!$B$1:$L$24,8,FALSE)+'BMP P Tracking Table'!$AA228*VLOOKUP('BMP P Tracking Table'!$R228,'Loading Rates'!$B$1:$L$24,9,FALSE),'BMP P Tracking Table'!$AB228*VLOOKUP('BMP P Tracking Table'!$R228,'Loading Rates'!$B$1:$L$24,10,FALSE)),"")</f>
        <v/>
      </c>
      <c r="AF228" s="104" t="str">
        <f>IFERROR(MIN(2,IF('BMP P Tracking Table'!$W228="Total Pervious",(-(3630*'BMP P Tracking Table'!$V228+20.691*'BMP P Tracking Table'!$AB228)+SQRT((3630*'BMP P Tracking Table'!$V228+20.691*'BMP P Tracking Table'!$AB228)^2-(4*(996.798*'BMP P Tracking Table'!$AB228)*-'BMP P Tracking Table'!$AC228)))/(2*(996.798*'BMP P Tracking Table'!$AB228)),IF(SUM('BMP P Tracking Table'!$X228:$AA228)=0,'BMP P Tracking Table'!$AC228/(-3630*'BMP P Tracking Table'!$V228),(-(3630*'BMP P Tracking Table'!$V228+20.691*'BMP P Tracking Table'!$AA228-216.711*'BMP P Tracking Table'!$Z228-83.853*'BMP P Tracking Table'!$Y228-42.834*'BMP P Tracking Table'!$X228)+SQRT((3630*'BMP P Tracking Table'!$V228+20.691*'BMP P Tracking Table'!$AA228-216.711*'BMP P Tracking Table'!$Z228-83.853*'BMP P Tracking Table'!$Y228-42.834*'BMP P Tracking Table'!$X228)^2-(4*(149.919*'BMP P Tracking Table'!$X228+236.676*'BMP P Tracking Table'!$Y228+726*'BMP P Tracking Table'!$Z228+996.798*'BMP P Tracking Table'!$AA228)*-'BMP P Tracking Table'!$AC228)))/(2*(149.919*'BMP P Tracking Table'!$X228+236.676*'BMP P Tracking Table'!$Y228+726*'BMP P Tracking Table'!$Z228+996.798*'BMP P Tracking Table'!$AA228))))),"")</f>
        <v/>
      </c>
      <c r="AG228" s="104" t="str">
        <f>IFERROR((VLOOKUP(CONCATENATE('BMP P Tracking Table'!$U228," ",'BMP P Tracking Table'!$AD228),'Performance Curves'!$C$1:$L$46,_xlfn.SINGLE(MATCH('BMP P Tracking Table'!$AF228,'Performance Curves'!$D$1:$L$1,1))+2,FALSE)-VLOOKUP(CONCATENATE('BMP P Tracking Table'!$U228," ",'BMP P Tracking Table'!$AD228),'Performance Curves'!$C$1:$L$46,_xlfn.SINGLE(MATCH('BMP P Tracking Table'!$AF228,'Performance Curves'!$D$1:$L$1,1))+1,FALSE)),"")</f>
        <v/>
      </c>
      <c r="AH228" s="104" t="str">
        <f>IFERROR(('BMP P Tracking Table'!$AF228-INDEX('Performance Curves'!$D$1:$L$1,1,MATCH('BMP P Tracking Table'!$AF228,'Performance Curves'!$D$1:$L$1,1)))/(INDEX('Performance Curves'!$D$1:$L$1,1,MATCH('BMP P Tracking Table'!$AF228,'Performance Curves'!$D$1:$L$1,1)+1)-INDEX('Performance Curves'!$D$1:$L$1,1,MATCH('BMP P Tracking Table'!$AF228,'Performance Curves'!$D$1:$L$1,1))),"")</f>
        <v/>
      </c>
      <c r="AI228" s="103" t="str">
        <f>IFERROR(IF('BMP P Tracking Table'!$AF228=2,VLOOKUP(CONCATENATE('BMP P Tracking Table'!$U228," ",'BMP P Tracking Table'!$AD228),'Performance Curves'!$C$1:$L$46,_xlfn.SINGLE(MATCH('BMP P Tracking Table'!$AF228,'Performance Curves'!$D$1:$L$1,1))+1,FALSE),'BMP P Tracking Table'!$AG228*'BMP P Tracking Table'!$AH228+VLOOKUP(CONCATENATE('BMP P Tracking Table'!$U228," ",'BMP P Tracking Table'!$AD228),'Performance Curves'!$C$1:$L$46,_xlfn.SINGLE(MATCH('BMP P Tracking Table'!$AF228,'Performance Curves'!$D$1:$L$1,1))+1,FALSE)),"")</f>
        <v/>
      </c>
      <c r="AJ228" s="104" t="str">
        <f>IFERROR('BMP P Tracking Table'!$AI228*'BMP P Tracking Table'!$AE228,"")</f>
        <v/>
      </c>
      <c r="AK228" s="65"/>
      <c r="AL228" s="98"/>
      <c r="AM228" s="98"/>
      <c r="AN228" s="64">
        <v>1</v>
      </c>
      <c r="AO228" s="102" t="str">
        <f t="shared" si="35"/>
        <v/>
      </c>
      <c r="AP228" s="98"/>
      <c r="AQ228" s="98"/>
      <c r="AR228" s="98"/>
      <c r="AS228" s="98"/>
      <c r="AT228" s="98"/>
      <c r="AU228" s="98"/>
      <c r="AV228" s="98"/>
      <c r="AW228" s="65"/>
      <c r="AX228" s="99"/>
      <c r="AY228" s="99"/>
      <c r="AZ228" s="104" t="str">
        <f>IF('BMP P Tracking Table'!$AL228="Yes",IF('BMP P Tracking Table'!$AM228="No",'BMP P Tracking Table'!$V228*VLOOKUP('BMP P Tracking Table'!$R228,'Loading Rates'!$B$1:$L$24,4,FALSE)+IF('BMP P Tracking Table'!$W228="By HSG",'BMP P Tracking Table'!$X228*VLOOKUP('BMP P Tracking Table'!$R228,'Loading Rates'!$B$1:$L$24,6,FALSE)+'BMP P Tracking Table'!$Y228*VLOOKUP('BMP P Tracking Table'!$R228,'Loading Rates'!$B$1:$L$24,7,FALSE)+'BMP P Tracking Table'!$Z228*VLOOKUP('BMP P Tracking Table'!$R228,'Loading Rates'!$B$1:$L$24,8,FALSE)+'BMP P Tracking Table'!$AA228*VLOOKUP('BMP P Tracking Table'!$R228,'Loading Rates'!$B$1:$L$24,9,FALSE),'BMP P Tracking Table'!$AB228*VLOOKUP('BMP P Tracking Table'!$R228,'Loading Rates'!$B$1:$L$24,10,FALSE)),'BMP P Tracking Table'!$AP228*VLOOKUP('BMP P Tracking Table'!$R228,'Loading Rates'!$B$1:$L$24,4,FALSE)+IF('BMP P Tracking Table'!$AQ228="By HSG",'BMP P Tracking Table'!$AR228*VLOOKUP('BMP P Tracking Table'!$R228,'Loading Rates'!$B$1:$L$24,6,FALSE)+'BMP P Tracking Table'!$AS228*VLOOKUP('BMP P Tracking Table'!$R228,'Loading Rates'!$B$1:$L$24,7,FALSE)+'BMP P Tracking Table'!$AT228*VLOOKUP('BMP P Tracking Table'!$R228,'Loading Rates'!$B$1:$L$24,8,FALSE)+'BMP P Tracking Table'!$AU228*VLOOKUP('BMP P Tracking Table'!$R228,'Loading Rates'!$B$1:$L$24,9,FALSE),'BMP P Tracking Table'!$AV228*VLOOKUP('BMP P Tracking Table'!$R228,'Loading Rates'!$B$1:$L$24,10,FALSE))),"")</f>
        <v/>
      </c>
      <c r="BA228" s="104" t="str">
        <f>IFERROR(IF('BMP P Tracking Table'!$AM228="Yes",MIN(2,IF('BMP P Tracking Table'!$AQ228="Total Pervious",(-(3630*'BMP P Tracking Table'!$AP228+20.691*'BMP P Tracking Table'!$AV228)+SQRT((3630*'BMP P Tracking Table'!$AP228+20.691*'BMP P Tracking Table'!$AV228)^2-(4*(996.798*'BMP P Tracking Table'!$AV228)*-'BMP P Tracking Table'!$AX228)))/(2*(996.798*'BMP P Tracking Table'!$AV228)),IF(SUM('BMP P Tracking Table'!$AR228:$AU228)=0,'BMP P Tracking Table'!$AV228/(-3630*'BMP P Tracking Table'!$AP228),(-(3630*'BMP P Tracking Table'!$AP228+20.691*'BMP P Tracking Table'!$AU228-216.711*'BMP P Tracking Table'!$AT228-83.853*'BMP P Tracking Table'!$AS228-42.834*'BMP P Tracking Table'!$AR228)+SQRT((3630*'BMP P Tracking Table'!$AP228+20.691*'BMP P Tracking Table'!$AU228-216.711*'BMP P Tracking Table'!$AT228-83.853*'BMP P Tracking Table'!$AS228-42.834*'BMP P Tracking Table'!$AR228)^2-(4*(149.919*'BMP P Tracking Table'!$AR228+236.676*'BMP P Tracking Table'!$AS228+726*'BMP P Tracking Table'!$AT228+996.798*'BMP P Tracking Table'!$AU228)*-'BMP P Tracking Table'!$AX228)))/(2*(149.919*'BMP P Tracking Table'!$AR228+236.676*'BMP P Tracking Table'!$AS228+726*'BMP P Tracking Table'!$AT228+996.798*'BMP P Tracking Table'!$AU228))))),MIN(2,IF('BMP P Tracking Table'!$AQ228="Total Pervious",(-(3630*'BMP P Tracking Table'!$V228+20.691*'BMP P Tracking Table'!$AB228)+SQRT((3630*'BMP P Tracking Table'!$V228+20.691*'BMP P Tracking Table'!$AB228)^2-(4*(996.798*'BMP P Tracking Table'!$AB228)*-'BMP P Tracking Table'!$AX228)))/(2*(996.798*'BMP P Tracking Table'!$AB228)),IF(SUM('BMP P Tracking Table'!$X228:$AA228)=0,'BMP P Tracking Table'!$AX228/(-3630*'BMP P Tracking Table'!$V228),(-(3630*'BMP P Tracking Table'!$V228+20.691*'BMP P Tracking Table'!$AA228-216.711*'BMP P Tracking Table'!$Z228-83.853*'BMP P Tracking Table'!$Y228-42.834*'BMP P Tracking Table'!$X228)+SQRT((3630*'BMP P Tracking Table'!$V228+20.691*'BMP P Tracking Table'!$AA228-216.711*'BMP P Tracking Table'!$Z228-83.853*'BMP P Tracking Table'!$Y228-42.834*'BMP P Tracking Table'!$X228)^2-(4*(149.919*'BMP P Tracking Table'!$X228+236.676*'BMP P Tracking Table'!$Y228+726*'BMP P Tracking Table'!$Z228+996.798*'BMP P Tracking Table'!$AA228)*-'BMP P Tracking Table'!$AX228)))/(2*(149.919*'BMP P Tracking Table'!$X228+236.676*'BMP P Tracking Table'!$Y228+726*'BMP P Tracking Table'!$Z228+996.798*'BMP P Tracking Table'!$AA228)))))),"")</f>
        <v/>
      </c>
      <c r="BB228" s="102" t="str">
        <f>IFERROR((VLOOKUP(CONCATENATE('BMP P Tracking Table'!$AW228," ",'BMP P Tracking Table'!$AY228),'Performance Curves'!$C$1:$L$46,_xlfn.SINGLE(MATCH('BMP P Tracking Table'!$BA228,'Performance Curves'!$D$1:$L$1,1))+2,FALSE)-VLOOKUP(CONCATENATE('BMP P Tracking Table'!$AW228," ",'BMP P Tracking Table'!$AY228),'Performance Curves'!$C$1:$L$46,_xlfn.SINGLE(MATCH('BMP P Tracking Table'!$BA228,'Performance Curves'!$D$1:$L$1,1))+1,FALSE)),"")</f>
        <v/>
      </c>
      <c r="BC228" s="102" t="str">
        <f>IFERROR(('BMP P Tracking Table'!$BA228-INDEX('Performance Curves'!$D$1:$L$1,1,MATCH('BMP P Tracking Table'!$BA228,'Performance Curves'!$D$1:$L$1,1)))/(INDEX('Performance Curves'!$D$1:$L$1,1,MATCH('BMP P Tracking Table'!$BA228,'Performance Curves'!$D$1:$L$1,1)+1)-INDEX('Performance Curves'!$D$1:$L$1,1,MATCH('BMP P Tracking Table'!$BA228,'Performance Curves'!$D$1:$L$1,1))),"")</f>
        <v/>
      </c>
      <c r="BD228" s="103" t="str" cm="1">
        <f t="array" ref="BD228">IFERROR(IF('BMP P Tracking Table'!$BA228=2,VLOOKUP(CONCATENATE('BMP P Tracking Table'!$AW228," ",'BMP P Tracking Table'!$AY228),'Performance Curves'!$C$1:$L$44,_xlfn.SINGLE(MATCH('BMP P Tracking Table'!$BA228,'Performance Curves'!$D$1:$L$1,1))+1,FALSE),'BMP P Tracking Table'!$BB228*'BMP P Tracking Table'!$BC228+VLOOKUP(CONCATENATE('BMP P Tracking Table'!$AW228," ",'BMP P Tracking Table'!$AY228),'Performance Curves'!$C$1:$L$44,_xlfn.SINGLE(MATCH('BMP P Tracking Table'!$BA228,'Performance Curves'!$D$1:$L$1,1))+1,FALSE)),"")</f>
        <v/>
      </c>
      <c r="BE228" s="104" t="str">
        <f>IFERROR('BMP P Tracking Table'!$BD228*'BMP P Tracking Table'!$AZ228,"")</f>
        <v/>
      </c>
      <c r="BF228" s="98"/>
      <c r="BG228" s="37">
        <f t="shared" si="36"/>
        <v>0</v>
      </c>
    </row>
    <row r="229" spans="2:59" s="36" customFormat="1">
      <c r="B229" s="65"/>
      <c r="C229" s="65"/>
      <c r="D229" s="65"/>
      <c r="E229" s="65"/>
      <c r="F229" s="94"/>
      <c r="G229" s="94"/>
      <c r="H229" s="65"/>
      <c r="I229" s="65"/>
      <c r="J229" s="65"/>
      <c r="K229" s="95"/>
      <c r="L229" s="65"/>
      <c r="M229" s="65"/>
      <c r="N229" s="65"/>
      <c r="O229" s="65"/>
      <c r="P229" s="65"/>
      <c r="Q229" s="65"/>
      <c r="R229" s="65" t="str">
        <f>IFERROR(VLOOKUP('BMP P Tracking Table'!$Q229,Dropdowns!$C$2:$E$15,3,FALSE),"")</f>
        <v/>
      </c>
      <c r="S229" s="65" t="str">
        <f>IFERROR(VLOOKUP('BMP P Tracking Table'!$R229,Dropdowns!$Q$3:$R$23,2,FALSE),"")</f>
        <v/>
      </c>
      <c r="T229" s="65"/>
      <c r="U229" s="65"/>
      <c r="V229" s="65"/>
      <c r="W229" s="65"/>
      <c r="X229" s="65"/>
      <c r="Y229" s="65"/>
      <c r="Z229" s="65"/>
      <c r="AA229" s="65"/>
      <c r="AB229" s="65"/>
      <c r="AC229" s="97"/>
      <c r="AD229" s="65"/>
      <c r="AE229" s="104" t="str">
        <f>IFERROR('BMP P Tracking Table'!$V229*VLOOKUP('BMP P Tracking Table'!$R229,'Loading Rates'!$B$1:$L$24,4,FALSE)+IF('BMP P Tracking Table'!$W229="By HSG",'BMP P Tracking Table'!$X229*VLOOKUP('BMP P Tracking Table'!$R229,'Loading Rates'!$B$1:$L$24,6,FALSE)+'BMP P Tracking Table'!$Y229*VLOOKUP('BMP P Tracking Table'!$R229,'Loading Rates'!$B$1:$L$24,7,FALSE)+'BMP P Tracking Table'!$Z229*VLOOKUP('BMP P Tracking Table'!$R229,'Loading Rates'!$B$1:$L$24,8,FALSE)+'BMP P Tracking Table'!$AA229*VLOOKUP('BMP P Tracking Table'!$R229,'Loading Rates'!$B$1:$L$24,9,FALSE),'BMP P Tracking Table'!$AB229*VLOOKUP('BMP P Tracking Table'!$R229,'Loading Rates'!$B$1:$L$24,10,FALSE)),"")</f>
        <v/>
      </c>
      <c r="AF229" s="104" t="str">
        <f>IFERROR(MIN(2,IF('BMP P Tracking Table'!$W229="Total Pervious",(-(3630*'BMP P Tracking Table'!$V229+20.691*'BMP P Tracking Table'!$AB229)+SQRT((3630*'BMP P Tracking Table'!$V229+20.691*'BMP P Tracking Table'!$AB229)^2-(4*(996.798*'BMP P Tracking Table'!$AB229)*-'BMP P Tracking Table'!$AC229)))/(2*(996.798*'BMP P Tracking Table'!$AB229)),IF(SUM('BMP P Tracking Table'!$X229:$AA229)=0,'BMP P Tracking Table'!$AC229/(-3630*'BMP P Tracking Table'!$V229),(-(3630*'BMP P Tracking Table'!$V229+20.691*'BMP P Tracking Table'!$AA229-216.711*'BMP P Tracking Table'!$Z229-83.853*'BMP P Tracking Table'!$Y229-42.834*'BMP P Tracking Table'!$X229)+SQRT((3630*'BMP P Tracking Table'!$V229+20.691*'BMP P Tracking Table'!$AA229-216.711*'BMP P Tracking Table'!$Z229-83.853*'BMP P Tracking Table'!$Y229-42.834*'BMP P Tracking Table'!$X229)^2-(4*(149.919*'BMP P Tracking Table'!$X229+236.676*'BMP P Tracking Table'!$Y229+726*'BMP P Tracking Table'!$Z229+996.798*'BMP P Tracking Table'!$AA229)*-'BMP P Tracking Table'!$AC229)))/(2*(149.919*'BMP P Tracking Table'!$X229+236.676*'BMP P Tracking Table'!$Y229+726*'BMP P Tracking Table'!$Z229+996.798*'BMP P Tracking Table'!$AA229))))),"")</f>
        <v/>
      </c>
      <c r="AG229" s="104" t="str">
        <f>IFERROR((VLOOKUP(CONCATENATE('BMP P Tracking Table'!$U229," ",'BMP P Tracking Table'!$AD229),'Performance Curves'!$C$1:$L$46,_xlfn.SINGLE(MATCH('BMP P Tracking Table'!$AF229,'Performance Curves'!$D$1:$L$1,1))+2,FALSE)-VLOOKUP(CONCATENATE('BMP P Tracking Table'!$U229," ",'BMP P Tracking Table'!$AD229),'Performance Curves'!$C$1:$L$46,_xlfn.SINGLE(MATCH('BMP P Tracking Table'!$AF229,'Performance Curves'!$D$1:$L$1,1))+1,FALSE)),"")</f>
        <v/>
      </c>
      <c r="AH229" s="104" t="str">
        <f>IFERROR(('BMP P Tracking Table'!$AF229-INDEX('Performance Curves'!$D$1:$L$1,1,MATCH('BMP P Tracking Table'!$AF229,'Performance Curves'!$D$1:$L$1,1)))/(INDEX('Performance Curves'!$D$1:$L$1,1,MATCH('BMP P Tracking Table'!$AF229,'Performance Curves'!$D$1:$L$1,1)+1)-INDEX('Performance Curves'!$D$1:$L$1,1,MATCH('BMP P Tracking Table'!$AF229,'Performance Curves'!$D$1:$L$1,1))),"")</f>
        <v/>
      </c>
      <c r="AI229" s="103" t="str">
        <f>IFERROR(IF('BMP P Tracking Table'!$AF229=2,VLOOKUP(CONCATENATE('BMP P Tracking Table'!$U229," ",'BMP P Tracking Table'!$AD229),'Performance Curves'!$C$1:$L$46,_xlfn.SINGLE(MATCH('BMP P Tracking Table'!$AF229,'Performance Curves'!$D$1:$L$1,1))+1,FALSE),'BMP P Tracking Table'!$AG229*'BMP P Tracking Table'!$AH229+VLOOKUP(CONCATENATE('BMP P Tracking Table'!$U229," ",'BMP P Tracking Table'!$AD229),'Performance Curves'!$C$1:$L$46,_xlfn.SINGLE(MATCH('BMP P Tracking Table'!$AF229,'Performance Curves'!$D$1:$L$1,1))+1,FALSE)),"")</f>
        <v/>
      </c>
      <c r="AJ229" s="104" t="str">
        <f>IFERROR('BMP P Tracking Table'!$AI229*'BMP P Tracking Table'!$AE229,"")</f>
        <v/>
      </c>
      <c r="AK229" s="65"/>
      <c r="AL229" s="98"/>
      <c r="AM229" s="98"/>
      <c r="AN229" s="64">
        <v>1</v>
      </c>
      <c r="AO229" s="102" t="str">
        <f t="shared" si="35"/>
        <v/>
      </c>
      <c r="AP229" s="98"/>
      <c r="AQ229" s="98"/>
      <c r="AR229" s="98"/>
      <c r="AS229" s="98"/>
      <c r="AT229" s="98"/>
      <c r="AU229" s="98"/>
      <c r="AV229" s="98"/>
      <c r="AW229" s="65"/>
      <c r="AX229" s="99"/>
      <c r="AY229" s="99"/>
      <c r="AZ229" s="104" t="str">
        <f>IF('BMP P Tracking Table'!$AL229="Yes",IF('BMP P Tracking Table'!$AM229="No",'BMP P Tracking Table'!$V229*VLOOKUP('BMP P Tracking Table'!$R229,'Loading Rates'!$B$1:$L$24,4,FALSE)+IF('BMP P Tracking Table'!$W229="By HSG",'BMP P Tracking Table'!$X229*VLOOKUP('BMP P Tracking Table'!$R229,'Loading Rates'!$B$1:$L$24,6,FALSE)+'BMP P Tracking Table'!$Y229*VLOOKUP('BMP P Tracking Table'!$R229,'Loading Rates'!$B$1:$L$24,7,FALSE)+'BMP P Tracking Table'!$Z229*VLOOKUP('BMP P Tracking Table'!$R229,'Loading Rates'!$B$1:$L$24,8,FALSE)+'BMP P Tracking Table'!$AA229*VLOOKUP('BMP P Tracking Table'!$R229,'Loading Rates'!$B$1:$L$24,9,FALSE),'BMP P Tracking Table'!$AB229*VLOOKUP('BMP P Tracking Table'!$R229,'Loading Rates'!$B$1:$L$24,10,FALSE)),'BMP P Tracking Table'!$AP229*VLOOKUP('BMP P Tracking Table'!$R229,'Loading Rates'!$B$1:$L$24,4,FALSE)+IF('BMP P Tracking Table'!$AQ229="By HSG",'BMP P Tracking Table'!$AR229*VLOOKUP('BMP P Tracking Table'!$R229,'Loading Rates'!$B$1:$L$24,6,FALSE)+'BMP P Tracking Table'!$AS229*VLOOKUP('BMP P Tracking Table'!$R229,'Loading Rates'!$B$1:$L$24,7,FALSE)+'BMP P Tracking Table'!$AT229*VLOOKUP('BMP P Tracking Table'!$R229,'Loading Rates'!$B$1:$L$24,8,FALSE)+'BMP P Tracking Table'!$AU229*VLOOKUP('BMP P Tracking Table'!$R229,'Loading Rates'!$B$1:$L$24,9,FALSE),'BMP P Tracking Table'!$AV229*VLOOKUP('BMP P Tracking Table'!$R229,'Loading Rates'!$B$1:$L$24,10,FALSE))),"")</f>
        <v/>
      </c>
      <c r="BA229" s="104" t="str">
        <f>IFERROR(IF('BMP P Tracking Table'!$AM229="Yes",MIN(2,IF('BMP P Tracking Table'!$AQ229="Total Pervious",(-(3630*'BMP P Tracking Table'!$AP229+20.691*'BMP P Tracking Table'!$AV229)+SQRT((3630*'BMP P Tracking Table'!$AP229+20.691*'BMP P Tracking Table'!$AV229)^2-(4*(996.798*'BMP P Tracking Table'!$AV229)*-'BMP P Tracking Table'!$AX229)))/(2*(996.798*'BMP P Tracking Table'!$AV229)),IF(SUM('BMP P Tracking Table'!$AR229:$AU229)=0,'BMP P Tracking Table'!$AV229/(-3630*'BMP P Tracking Table'!$AP229),(-(3630*'BMP P Tracking Table'!$AP229+20.691*'BMP P Tracking Table'!$AU229-216.711*'BMP P Tracking Table'!$AT229-83.853*'BMP P Tracking Table'!$AS229-42.834*'BMP P Tracking Table'!$AR229)+SQRT((3630*'BMP P Tracking Table'!$AP229+20.691*'BMP P Tracking Table'!$AU229-216.711*'BMP P Tracking Table'!$AT229-83.853*'BMP P Tracking Table'!$AS229-42.834*'BMP P Tracking Table'!$AR229)^2-(4*(149.919*'BMP P Tracking Table'!$AR229+236.676*'BMP P Tracking Table'!$AS229+726*'BMP P Tracking Table'!$AT229+996.798*'BMP P Tracking Table'!$AU229)*-'BMP P Tracking Table'!$AX229)))/(2*(149.919*'BMP P Tracking Table'!$AR229+236.676*'BMP P Tracking Table'!$AS229+726*'BMP P Tracking Table'!$AT229+996.798*'BMP P Tracking Table'!$AU229))))),MIN(2,IF('BMP P Tracking Table'!$AQ229="Total Pervious",(-(3630*'BMP P Tracking Table'!$V229+20.691*'BMP P Tracking Table'!$AB229)+SQRT((3630*'BMP P Tracking Table'!$V229+20.691*'BMP P Tracking Table'!$AB229)^2-(4*(996.798*'BMP P Tracking Table'!$AB229)*-'BMP P Tracking Table'!$AX229)))/(2*(996.798*'BMP P Tracking Table'!$AB229)),IF(SUM('BMP P Tracking Table'!$X229:$AA229)=0,'BMP P Tracking Table'!$AX229/(-3630*'BMP P Tracking Table'!$V229),(-(3630*'BMP P Tracking Table'!$V229+20.691*'BMP P Tracking Table'!$AA229-216.711*'BMP P Tracking Table'!$Z229-83.853*'BMP P Tracking Table'!$Y229-42.834*'BMP P Tracking Table'!$X229)+SQRT((3630*'BMP P Tracking Table'!$V229+20.691*'BMP P Tracking Table'!$AA229-216.711*'BMP P Tracking Table'!$Z229-83.853*'BMP P Tracking Table'!$Y229-42.834*'BMP P Tracking Table'!$X229)^2-(4*(149.919*'BMP P Tracking Table'!$X229+236.676*'BMP P Tracking Table'!$Y229+726*'BMP P Tracking Table'!$Z229+996.798*'BMP P Tracking Table'!$AA229)*-'BMP P Tracking Table'!$AX229)))/(2*(149.919*'BMP P Tracking Table'!$X229+236.676*'BMP P Tracking Table'!$Y229+726*'BMP P Tracking Table'!$Z229+996.798*'BMP P Tracking Table'!$AA229)))))),"")</f>
        <v/>
      </c>
      <c r="BB229" s="102" t="str">
        <f>IFERROR((VLOOKUP(CONCATENATE('BMP P Tracking Table'!$AW229," ",'BMP P Tracking Table'!$AY229),'Performance Curves'!$C$1:$L$46,_xlfn.SINGLE(MATCH('BMP P Tracking Table'!$BA229,'Performance Curves'!$D$1:$L$1,1))+2,FALSE)-VLOOKUP(CONCATENATE('BMP P Tracking Table'!$AW229," ",'BMP P Tracking Table'!$AY229),'Performance Curves'!$C$1:$L$46,_xlfn.SINGLE(MATCH('BMP P Tracking Table'!$BA229,'Performance Curves'!$D$1:$L$1,1))+1,FALSE)),"")</f>
        <v/>
      </c>
      <c r="BC229" s="102" t="str">
        <f>IFERROR(('BMP P Tracking Table'!$BA229-INDEX('Performance Curves'!$D$1:$L$1,1,MATCH('BMP P Tracking Table'!$BA229,'Performance Curves'!$D$1:$L$1,1)))/(INDEX('Performance Curves'!$D$1:$L$1,1,MATCH('BMP P Tracking Table'!$BA229,'Performance Curves'!$D$1:$L$1,1)+1)-INDEX('Performance Curves'!$D$1:$L$1,1,MATCH('BMP P Tracking Table'!$BA229,'Performance Curves'!$D$1:$L$1,1))),"")</f>
        <v/>
      </c>
      <c r="BD229" s="103" t="str" cm="1">
        <f t="array" ref="BD229">IFERROR(IF('BMP P Tracking Table'!$BA229=2,VLOOKUP(CONCATENATE('BMP P Tracking Table'!$AW229," ",'BMP P Tracking Table'!$AY229),'Performance Curves'!$C$1:$L$44,_xlfn.SINGLE(MATCH('BMP P Tracking Table'!$BA229,'Performance Curves'!$D$1:$L$1,1))+1,FALSE),'BMP P Tracking Table'!$BB229*'BMP P Tracking Table'!$BC229+VLOOKUP(CONCATENATE('BMP P Tracking Table'!$AW229," ",'BMP P Tracking Table'!$AY229),'Performance Curves'!$C$1:$L$44,_xlfn.SINGLE(MATCH('BMP P Tracking Table'!$BA229,'Performance Curves'!$D$1:$L$1,1))+1,FALSE)),"")</f>
        <v/>
      </c>
      <c r="BE229" s="104" t="str">
        <f>IFERROR('BMP P Tracking Table'!$BD229*'BMP P Tracking Table'!$AZ229,"")</f>
        <v/>
      </c>
      <c r="BF229" s="98"/>
      <c r="BG229" s="37">
        <f t="shared" si="36"/>
        <v>0</v>
      </c>
    </row>
    <row r="230" spans="2:59" s="36" customFormat="1">
      <c r="B230" s="65"/>
      <c r="C230" s="65"/>
      <c r="D230" s="65"/>
      <c r="E230" s="65"/>
      <c r="F230" s="94"/>
      <c r="G230" s="94"/>
      <c r="H230" s="65"/>
      <c r="I230" s="65"/>
      <c r="J230" s="65"/>
      <c r="K230" s="95"/>
      <c r="L230" s="65"/>
      <c r="M230" s="65"/>
      <c r="N230" s="65"/>
      <c r="O230" s="65"/>
      <c r="P230" s="65"/>
      <c r="Q230" s="65"/>
      <c r="R230" s="65" t="str">
        <f>IFERROR(VLOOKUP('BMP P Tracking Table'!$Q230,Dropdowns!$C$2:$E$15,3,FALSE),"")</f>
        <v/>
      </c>
      <c r="S230" s="65" t="str">
        <f>IFERROR(VLOOKUP('BMP P Tracking Table'!$R230,Dropdowns!$Q$3:$R$23,2,FALSE),"")</f>
        <v/>
      </c>
      <c r="T230" s="65"/>
      <c r="U230" s="65"/>
      <c r="V230" s="65"/>
      <c r="W230" s="65"/>
      <c r="X230" s="65"/>
      <c r="Y230" s="65"/>
      <c r="Z230" s="65"/>
      <c r="AA230" s="65"/>
      <c r="AB230" s="65"/>
      <c r="AC230" s="97"/>
      <c r="AD230" s="65"/>
      <c r="AE230" s="104" t="str">
        <f>IFERROR('BMP P Tracking Table'!$V230*VLOOKUP('BMP P Tracking Table'!$R230,'Loading Rates'!$B$1:$L$24,4,FALSE)+IF('BMP P Tracking Table'!$W230="By HSG",'BMP P Tracking Table'!$X230*VLOOKUP('BMP P Tracking Table'!$R230,'Loading Rates'!$B$1:$L$24,6,FALSE)+'BMP P Tracking Table'!$Y230*VLOOKUP('BMP P Tracking Table'!$R230,'Loading Rates'!$B$1:$L$24,7,FALSE)+'BMP P Tracking Table'!$Z230*VLOOKUP('BMP P Tracking Table'!$R230,'Loading Rates'!$B$1:$L$24,8,FALSE)+'BMP P Tracking Table'!$AA230*VLOOKUP('BMP P Tracking Table'!$R230,'Loading Rates'!$B$1:$L$24,9,FALSE),'BMP P Tracking Table'!$AB230*VLOOKUP('BMP P Tracking Table'!$R230,'Loading Rates'!$B$1:$L$24,10,FALSE)),"")</f>
        <v/>
      </c>
      <c r="AF230" s="104" t="str">
        <f>IFERROR(MIN(2,IF('BMP P Tracking Table'!$W230="Total Pervious",(-(3630*'BMP P Tracking Table'!$V230+20.691*'BMP P Tracking Table'!$AB230)+SQRT((3630*'BMP P Tracking Table'!$V230+20.691*'BMP P Tracking Table'!$AB230)^2-(4*(996.798*'BMP P Tracking Table'!$AB230)*-'BMP P Tracking Table'!$AC230)))/(2*(996.798*'BMP P Tracking Table'!$AB230)),IF(SUM('BMP P Tracking Table'!$X230:$AA230)=0,'BMP P Tracking Table'!$AC230/(-3630*'BMP P Tracking Table'!$V230),(-(3630*'BMP P Tracking Table'!$V230+20.691*'BMP P Tracking Table'!$AA230-216.711*'BMP P Tracking Table'!$Z230-83.853*'BMP P Tracking Table'!$Y230-42.834*'BMP P Tracking Table'!$X230)+SQRT((3630*'BMP P Tracking Table'!$V230+20.691*'BMP P Tracking Table'!$AA230-216.711*'BMP P Tracking Table'!$Z230-83.853*'BMP P Tracking Table'!$Y230-42.834*'BMP P Tracking Table'!$X230)^2-(4*(149.919*'BMP P Tracking Table'!$X230+236.676*'BMP P Tracking Table'!$Y230+726*'BMP P Tracking Table'!$Z230+996.798*'BMP P Tracking Table'!$AA230)*-'BMP P Tracking Table'!$AC230)))/(2*(149.919*'BMP P Tracking Table'!$X230+236.676*'BMP P Tracking Table'!$Y230+726*'BMP P Tracking Table'!$Z230+996.798*'BMP P Tracking Table'!$AA230))))),"")</f>
        <v/>
      </c>
      <c r="AG230" s="104" t="str">
        <f>IFERROR((VLOOKUP(CONCATENATE('BMP P Tracking Table'!$U230," ",'BMP P Tracking Table'!$AD230),'Performance Curves'!$C$1:$L$46,_xlfn.SINGLE(MATCH('BMP P Tracking Table'!$AF230,'Performance Curves'!$D$1:$L$1,1))+2,FALSE)-VLOOKUP(CONCATENATE('BMP P Tracking Table'!$U230," ",'BMP P Tracking Table'!$AD230),'Performance Curves'!$C$1:$L$46,_xlfn.SINGLE(MATCH('BMP P Tracking Table'!$AF230,'Performance Curves'!$D$1:$L$1,1))+1,FALSE)),"")</f>
        <v/>
      </c>
      <c r="AH230" s="104" t="str">
        <f>IFERROR(('BMP P Tracking Table'!$AF230-INDEX('Performance Curves'!$D$1:$L$1,1,MATCH('BMP P Tracking Table'!$AF230,'Performance Curves'!$D$1:$L$1,1)))/(INDEX('Performance Curves'!$D$1:$L$1,1,MATCH('BMP P Tracking Table'!$AF230,'Performance Curves'!$D$1:$L$1,1)+1)-INDEX('Performance Curves'!$D$1:$L$1,1,MATCH('BMP P Tracking Table'!$AF230,'Performance Curves'!$D$1:$L$1,1))),"")</f>
        <v/>
      </c>
      <c r="AI230" s="103" t="str">
        <f>IFERROR(IF('BMP P Tracking Table'!$AF230=2,VLOOKUP(CONCATENATE('BMP P Tracking Table'!$U230," ",'BMP P Tracking Table'!$AD230),'Performance Curves'!$C$1:$L$46,_xlfn.SINGLE(MATCH('BMP P Tracking Table'!$AF230,'Performance Curves'!$D$1:$L$1,1))+1,FALSE),'BMP P Tracking Table'!$AG230*'BMP P Tracking Table'!$AH230+VLOOKUP(CONCATENATE('BMP P Tracking Table'!$U230," ",'BMP P Tracking Table'!$AD230),'Performance Curves'!$C$1:$L$46,_xlfn.SINGLE(MATCH('BMP P Tracking Table'!$AF230,'Performance Curves'!$D$1:$L$1,1))+1,FALSE)),"")</f>
        <v/>
      </c>
      <c r="AJ230" s="104" t="str">
        <f>IFERROR('BMP P Tracking Table'!$AI230*'BMP P Tracking Table'!$AE230,"")</f>
        <v/>
      </c>
      <c r="AK230" s="65"/>
      <c r="AL230" s="98"/>
      <c r="AM230" s="98"/>
      <c r="AN230" s="64">
        <v>1</v>
      </c>
      <c r="AO230" s="102" t="str">
        <f t="shared" si="35"/>
        <v/>
      </c>
      <c r="AP230" s="98"/>
      <c r="AQ230" s="98"/>
      <c r="AR230" s="98"/>
      <c r="AS230" s="98"/>
      <c r="AT230" s="98"/>
      <c r="AU230" s="98"/>
      <c r="AV230" s="98"/>
      <c r="AW230" s="65"/>
      <c r="AX230" s="99"/>
      <c r="AY230" s="99"/>
      <c r="AZ230" s="104" t="str">
        <f>IF('BMP P Tracking Table'!$AL230="Yes",IF('BMP P Tracking Table'!$AM230="No",'BMP P Tracking Table'!$V230*VLOOKUP('BMP P Tracking Table'!$R230,'Loading Rates'!$B$1:$L$24,4,FALSE)+IF('BMP P Tracking Table'!$W230="By HSG",'BMP P Tracking Table'!$X230*VLOOKUP('BMP P Tracking Table'!$R230,'Loading Rates'!$B$1:$L$24,6,FALSE)+'BMP P Tracking Table'!$Y230*VLOOKUP('BMP P Tracking Table'!$R230,'Loading Rates'!$B$1:$L$24,7,FALSE)+'BMP P Tracking Table'!$Z230*VLOOKUP('BMP P Tracking Table'!$R230,'Loading Rates'!$B$1:$L$24,8,FALSE)+'BMP P Tracking Table'!$AA230*VLOOKUP('BMP P Tracking Table'!$R230,'Loading Rates'!$B$1:$L$24,9,FALSE),'BMP P Tracking Table'!$AB230*VLOOKUP('BMP P Tracking Table'!$R230,'Loading Rates'!$B$1:$L$24,10,FALSE)),'BMP P Tracking Table'!$AP230*VLOOKUP('BMP P Tracking Table'!$R230,'Loading Rates'!$B$1:$L$24,4,FALSE)+IF('BMP P Tracking Table'!$AQ230="By HSG",'BMP P Tracking Table'!$AR230*VLOOKUP('BMP P Tracking Table'!$R230,'Loading Rates'!$B$1:$L$24,6,FALSE)+'BMP P Tracking Table'!$AS230*VLOOKUP('BMP P Tracking Table'!$R230,'Loading Rates'!$B$1:$L$24,7,FALSE)+'BMP P Tracking Table'!$AT230*VLOOKUP('BMP P Tracking Table'!$R230,'Loading Rates'!$B$1:$L$24,8,FALSE)+'BMP P Tracking Table'!$AU230*VLOOKUP('BMP P Tracking Table'!$R230,'Loading Rates'!$B$1:$L$24,9,FALSE),'BMP P Tracking Table'!$AV230*VLOOKUP('BMP P Tracking Table'!$R230,'Loading Rates'!$B$1:$L$24,10,FALSE))),"")</f>
        <v/>
      </c>
      <c r="BA230" s="104" t="str">
        <f>IFERROR(IF('BMP P Tracking Table'!$AM230="Yes",MIN(2,IF('BMP P Tracking Table'!$AQ230="Total Pervious",(-(3630*'BMP P Tracking Table'!$AP230+20.691*'BMP P Tracking Table'!$AV230)+SQRT((3630*'BMP P Tracking Table'!$AP230+20.691*'BMP P Tracking Table'!$AV230)^2-(4*(996.798*'BMP P Tracking Table'!$AV230)*-'BMP P Tracking Table'!$AX230)))/(2*(996.798*'BMP P Tracking Table'!$AV230)),IF(SUM('BMP P Tracking Table'!$AR230:$AU230)=0,'BMP P Tracking Table'!$AV230/(-3630*'BMP P Tracking Table'!$AP230),(-(3630*'BMP P Tracking Table'!$AP230+20.691*'BMP P Tracking Table'!$AU230-216.711*'BMP P Tracking Table'!$AT230-83.853*'BMP P Tracking Table'!$AS230-42.834*'BMP P Tracking Table'!$AR230)+SQRT((3630*'BMP P Tracking Table'!$AP230+20.691*'BMP P Tracking Table'!$AU230-216.711*'BMP P Tracking Table'!$AT230-83.853*'BMP P Tracking Table'!$AS230-42.834*'BMP P Tracking Table'!$AR230)^2-(4*(149.919*'BMP P Tracking Table'!$AR230+236.676*'BMP P Tracking Table'!$AS230+726*'BMP P Tracking Table'!$AT230+996.798*'BMP P Tracking Table'!$AU230)*-'BMP P Tracking Table'!$AX230)))/(2*(149.919*'BMP P Tracking Table'!$AR230+236.676*'BMP P Tracking Table'!$AS230+726*'BMP P Tracking Table'!$AT230+996.798*'BMP P Tracking Table'!$AU230))))),MIN(2,IF('BMP P Tracking Table'!$AQ230="Total Pervious",(-(3630*'BMP P Tracking Table'!$V230+20.691*'BMP P Tracking Table'!$AB230)+SQRT((3630*'BMP P Tracking Table'!$V230+20.691*'BMP P Tracking Table'!$AB230)^2-(4*(996.798*'BMP P Tracking Table'!$AB230)*-'BMP P Tracking Table'!$AX230)))/(2*(996.798*'BMP P Tracking Table'!$AB230)),IF(SUM('BMP P Tracking Table'!$X230:$AA230)=0,'BMP P Tracking Table'!$AX230/(-3630*'BMP P Tracking Table'!$V230),(-(3630*'BMP P Tracking Table'!$V230+20.691*'BMP P Tracking Table'!$AA230-216.711*'BMP P Tracking Table'!$Z230-83.853*'BMP P Tracking Table'!$Y230-42.834*'BMP P Tracking Table'!$X230)+SQRT((3630*'BMP P Tracking Table'!$V230+20.691*'BMP P Tracking Table'!$AA230-216.711*'BMP P Tracking Table'!$Z230-83.853*'BMP P Tracking Table'!$Y230-42.834*'BMP P Tracking Table'!$X230)^2-(4*(149.919*'BMP P Tracking Table'!$X230+236.676*'BMP P Tracking Table'!$Y230+726*'BMP P Tracking Table'!$Z230+996.798*'BMP P Tracking Table'!$AA230)*-'BMP P Tracking Table'!$AX230)))/(2*(149.919*'BMP P Tracking Table'!$X230+236.676*'BMP P Tracking Table'!$Y230+726*'BMP P Tracking Table'!$Z230+996.798*'BMP P Tracking Table'!$AA230)))))),"")</f>
        <v/>
      </c>
      <c r="BB230" s="102" t="str">
        <f>IFERROR((VLOOKUP(CONCATENATE('BMP P Tracking Table'!$AW230," ",'BMP P Tracking Table'!$AY230),'Performance Curves'!$C$1:$L$46,_xlfn.SINGLE(MATCH('BMP P Tracking Table'!$BA230,'Performance Curves'!$D$1:$L$1,1))+2,FALSE)-VLOOKUP(CONCATENATE('BMP P Tracking Table'!$AW230," ",'BMP P Tracking Table'!$AY230),'Performance Curves'!$C$1:$L$46,_xlfn.SINGLE(MATCH('BMP P Tracking Table'!$BA230,'Performance Curves'!$D$1:$L$1,1))+1,FALSE)),"")</f>
        <v/>
      </c>
      <c r="BC230" s="102" t="str">
        <f>IFERROR(('BMP P Tracking Table'!$BA230-INDEX('Performance Curves'!$D$1:$L$1,1,MATCH('BMP P Tracking Table'!$BA230,'Performance Curves'!$D$1:$L$1,1)))/(INDEX('Performance Curves'!$D$1:$L$1,1,MATCH('BMP P Tracking Table'!$BA230,'Performance Curves'!$D$1:$L$1,1)+1)-INDEX('Performance Curves'!$D$1:$L$1,1,MATCH('BMP P Tracking Table'!$BA230,'Performance Curves'!$D$1:$L$1,1))),"")</f>
        <v/>
      </c>
      <c r="BD230" s="103" t="str" cm="1">
        <f t="array" ref="BD230">IFERROR(IF('BMP P Tracking Table'!$BA230=2,VLOOKUP(CONCATENATE('BMP P Tracking Table'!$AW230," ",'BMP P Tracking Table'!$AY230),'Performance Curves'!$C$1:$L$44,_xlfn.SINGLE(MATCH('BMP P Tracking Table'!$BA230,'Performance Curves'!$D$1:$L$1,1))+1,FALSE),'BMP P Tracking Table'!$BB230*'BMP P Tracking Table'!$BC230+VLOOKUP(CONCATENATE('BMP P Tracking Table'!$AW230," ",'BMP P Tracking Table'!$AY230),'Performance Curves'!$C$1:$L$44,_xlfn.SINGLE(MATCH('BMP P Tracking Table'!$BA230,'Performance Curves'!$D$1:$L$1,1))+1,FALSE)),"")</f>
        <v/>
      </c>
      <c r="BE230" s="104" t="str">
        <f>IFERROR('BMP P Tracking Table'!$BD230*'BMP P Tracking Table'!$AZ230,"")</f>
        <v/>
      </c>
      <c r="BF230" s="98"/>
      <c r="BG230" s="37">
        <f t="shared" si="36"/>
        <v>0</v>
      </c>
    </row>
    <row r="231" spans="2:59" s="36" customFormat="1">
      <c r="B231" s="65"/>
      <c r="C231" s="65"/>
      <c r="D231" s="65"/>
      <c r="E231" s="65"/>
      <c r="F231" s="94"/>
      <c r="G231" s="94"/>
      <c r="H231" s="65"/>
      <c r="I231" s="65"/>
      <c r="J231" s="65"/>
      <c r="K231" s="95"/>
      <c r="L231" s="65"/>
      <c r="M231" s="65"/>
      <c r="N231" s="65"/>
      <c r="O231" s="65"/>
      <c r="P231" s="65"/>
      <c r="Q231" s="65"/>
      <c r="R231" s="65" t="str">
        <f>IFERROR(VLOOKUP('BMP P Tracking Table'!$Q231,Dropdowns!$C$2:$E$15,3,FALSE),"")</f>
        <v/>
      </c>
      <c r="S231" s="65" t="str">
        <f>IFERROR(VLOOKUP('BMP P Tracking Table'!$R231,Dropdowns!$Q$3:$R$23,2,FALSE),"")</f>
        <v/>
      </c>
      <c r="T231" s="65"/>
      <c r="U231" s="65"/>
      <c r="V231" s="65"/>
      <c r="W231" s="65"/>
      <c r="X231" s="65"/>
      <c r="Y231" s="65"/>
      <c r="Z231" s="65"/>
      <c r="AA231" s="65"/>
      <c r="AB231" s="65"/>
      <c r="AC231" s="97"/>
      <c r="AD231" s="65"/>
      <c r="AE231" s="104" t="str">
        <f>IFERROR('BMP P Tracking Table'!$V231*VLOOKUP('BMP P Tracking Table'!$R231,'Loading Rates'!$B$1:$L$24,4,FALSE)+IF('BMP P Tracking Table'!$W231="By HSG",'BMP P Tracking Table'!$X231*VLOOKUP('BMP P Tracking Table'!$R231,'Loading Rates'!$B$1:$L$24,6,FALSE)+'BMP P Tracking Table'!$Y231*VLOOKUP('BMP P Tracking Table'!$R231,'Loading Rates'!$B$1:$L$24,7,FALSE)+'BMP P Tracking Table'!$Z231*VLOOKUP('BMP P Tracking Table'!$R231,'Loading Rates'!$B$1:$L$24,8,FALSE)+'BMP P Tracking Table'!$AA231*VLOOKUP('BMP P Tracking Table'!$R231,'Loading Rates'!$B$1:$L$24,9,FALSE),'BMP P Tracking Table'!$AB231*VLOOKUP('BMP P Tracking Table'!$R231,'Loading Rates'!$B$1:$L$24,10,FALSE)),"")</f>
        <v/>
      </c>
      <c r="AF231" s="104" t="str">
        <f>IFERROR(MIN(2,IF('BMP P Tracking Table'!$W231="Total Pervious",(-(3630*'BMP P Tracking Table'!$V231+20.691*'BMP P Tracking Table'!$AB231)+SQRT((3630*'BMP P Tracking Table'!$V231+20.691*'BMP P Tracking Table'!$AB231)^2-(4*(996.798*'BMP P Tracking Table'!$AB231)*-'BMP P Tracking Table'!$AC231)))/(2*(996.798*'BMP P Tracking Table'!$AB231)),IF(SUM('BMP P Tracking Table'!$X231:$AA231)=0,'BMP P Tracking Table'!$AC231/(-3630*'BMP P Tracking Table'!$V231),(-(3630*'BMP P Tracking Table'!$V231+20.691*'BMP P Tracking Table'!$AA231-216.711*'BMP P Tracking Table'!$Z231-83.853*'BMP P Tracking Table'!$Y231-42.834*'BMP P Tracking Table'!$X231)+SQRT((3630*'BMP P Tracking Table'!$V231+20.691*'BMP P Tracking Table'!$AA231-216.711*'BMP P Tracking Table'!$Z231-83.853*'BMP P Tracking Table'!$Y231-42.834*'BMP P Tracking Table'!$X231)^2-(4*(149.919*'BMP P Tracking Table'!$X231+236.676*'BMP P Tracking Table'!$Y231+726*'BMP P Tracking Table'!$Z231+996.798*'BMP P Tracking Table'!$AA231)*-'BMP P Tracking Table'!$AC231)))/(2*(149.919*'BMP P Tracking Table'!$X231+236.676*'BMP P Tracking Table'!$Y231+726*'BMP P Tracking Table'!$Z231+996.798*'BMP P Tracking Table'!$AA231))))),"")</f>
        <v/>
      </c>
      <c r="AG231" s="104" t="str">
        <f>IFERROR((VLOOKUP(CONCATENATE('BMP P Tracking Table'!$U231," ",'BMP P Tracking Table'!$AD231),'Performance Curves'!$C$1:$L$46,_xlfn.SINGLE(MATCH('BMP P Tracking Table'!$AF231,'Performance Curves'!$D$1:$L$1,1))+2,FALSE)-VLOOKUP(CONCATENATE('BMP P Tracking Table'!$U231," ",'BMP P Tracking Table'!$AD231),'Performance Curves'!$C$1:$L$46,_xlfn.SINGLE(MATCH('BMP P Tracking Table'!$AF231,'Performance Curves'!$D$1:$L$1,1))+1,FALSE)),"")</f>
        <v/>
      </c>
      <c r="AH231" s="104" t="str">
        <f>IFERROR(('BMP P Tracking Table'!$AF231-INDEX('Performance Curves'!$D$1:$L$1,1,MATCH('BMP P Tracking Table'!$AF231,'Performance Curves'!$D$1:$L$1,1)))/(INDEX('Performance Curves'!$D$1:$L$1,1,MATCH('BMP P Tracking Table'!$AF231,'Performance Curves'!$D$1:$L$1,1)+1)-INDEX('Performance Curves'!$D$1:$L$1,1,MATCH('BMP P Tracking Table'!$AF231,'Performance Curves'!$D$1:$L$1,1))),"")</f>
        <v/>
      </c>
      <c r="AI231" s="103" t="str">
        <f>IFERROR(IF('BMP P Tracking Table'!$AF231=2,VLOOKUP(CONCATENATE('BMP P Tracking Table'!$U231," ",'BMP P Tracking Table'!$AD231),'Performance Curves'!$C$1:$L$46,_xlfn.SINGLE(MATCH('BMP P Tracking Table'!$AF231,'Performance Curves'!$D$1:$L$1,1))+1,FALSE),'BMP P Tracking Table'!$AG231*'BMP P Tracking Table'!$AH231+VLOOKUP(CONCATENATE('BMP P Tracking Table'!$U231," ",'BMP P Tracking Table'!$AD231),'Performance Curves'!$C$1:$L$46,_xlfn.SINGLE(MATCH('BMP P Tracking Table'!$AF231,'Performance Curves'!$D$1:$L$1,1))+1,FALSE)),"")</f>
        <v/>
      </c>
      <c r="AJ231" s="104" t="str">
        <f>IFERROR('BMP P Tracking Table'!$AI231*'BMP P Tracking Table'!$AE231,"")</f>
        <v/>
      </c>
      <c r="AK231" s="65"/>
      <c r="AL231" s="98"/>
      <c r="AM231" s="98"/>
      <c r="AN231" s="64">
        <v>1</v>
      </c>
      <c r="AO231" s="102" t="str">
        <f t="shared" si="35"/>
        <v/>
      </c>
      <c r="AP231" s="98"/>
      <c r="AQ231" s="98"/>
      <c r="AR231" s="98"/>
      <c r="AS231" s="98"/>
      <c r="AT231" s="98"/>
      <c r="AU231" s="98"/>
      <c r="AV231" s="98"/>
      <c r="AW231" s="65"/>
      <c r="AX231" s="99"/>
      <c r="AY231" s="99"/>
      <c r="AZ231" s="104" t="str">
        <f>IF('BMP P Tracking Table'!$AL231="Yes",IF('BMP P Tracking Table'!$AM231="No",'BMP P Tracking Table'!$V231*VLOOKUP('BMP P Tracking Table'!$R231,'Loading Rates'!$B$1:$L$24,4,FALSE)+IF('BMP P Tracking Table'!$W231="By HSG",'BMP P Tracking Table'!$X231*VLOOKUP('BMP P Tracking Table'!$R231,'Loading Rates'!$B$1:$L$24,6,FALSE)+'BMP P Tracking Table'!$Y231*VLOOKUP('BMP P Tracking Table'!$R231,'Loading Rates'!$B$1:$L$24,7,FALSE)+'BMP P Tracking Table'!$Z231*VLOOKUP('BMP P Tracking Table'!$R231,'Loading Rates'!$B$1:$L$24,8,FALSE)+'BMP P Tracking Table'!$AA231*VLOOKUP('BMP P Tracking Table'!$R231,'Loading Rates'!$B$1:$L$24,9,FALSE),'BMP P Tracking Table'!$AB231*VLOOKUP('BMP P Tracking Table'!$R231,'Loading Rates'!$B$1:$L$24,10,FALSE)),'BMP P Tracking Table'!$AP231*VLOOKUP('BMP P Tracking Table'!$R231,'Loading Rates'!$B$1:$L$24,4,FALSE)+IF('BMP P Tracking Table'!$AQ231="By HSG",'BMP P Tracking Table'!$AR231*VLOOKUP('BMP P Tracking Table'!$R231,'Loading Rates'!$B$1:$L$24,6,FALSE)+'BMP P Tracking Table'!$AS231*VLOOKUP('BMP P Tracking Table'!$R231,'Loading Rates'!$B$1:$L$24,7,FALSE)+'BMP P Tracking Table'!$AT231*VLOOKUP('BMP P Tracking Table'!$R231,'Loading Rates'!$B$1:$L$24,8,FALSE)+'BMP P Tracking Table'!$AU231*VLOOKUP('BMP P Tracking Table'!$R231,'Loading Rates'!$B$1:$L$24,9,FALSE),'BMP P Tracking Table'!$AV231*VLOOKUP('BMP P Tracking Table'!$R231,'Loading Rates'!$B$1:$L$24,10,FALSE))),"")</f>
        <v/>
      </c>
      <c r="BA231" s="104" t="str">
        <f>IFERROR(IF('BMP P Tracking Table'!$AM231="Yes",MIN(2,IF('BMP P Tracking Table'!$AQ231="Total Pervious",(-(3630*'BMP P Tracking Table'!$AP231+20.691*'BMP P Tracking Table'!$AV231)+SQRT((3630*'BMP P Tracking Table'!$AP231+20.691*'BMP P Tracking Table'!$AV231)^2-(4*(996.798*'BMP P Tracking Table'!$AV231)*-'BMP P Tracking Table'!$AX231)))/(2*(996.798*'BMP P Tracking Table'!$AV231)),IF(SUM('BMP P Tracking Table'!$AR231:$AU231)=0,'BMP P Tracking Table'!$AV231/(-3630*'BMP P Tracking Table'!$AP231),(-(3630*'BMP P Tracking Table'!$AP231+20.691*'BMP P Tracking Table'!$AU231-216.711*'BMP P Tracking Table'!$AT231-83.853*'BMP P Tracking Table'!$AS231-42.834*'BMP P Tracking Table'!$AR231)+SQRT((3630*'BMP P Tracking Table'!$AP231+20.691*'BMP P Tracking Table'!$AU231-216.711*'BMP P Tracking Table'!$AT231-83.853*'BMP P Tracking Table'!$AS231-42.834*'BMP P Tracking Table'!$AR231)^2-(4*(149.919*'BMP P Tracking Table'!$AR231+236.676*'BMP P Tracking Table'!$AS231+726*'BMP P Tracking Table'!$AT231+996.798*'BMP P Tracking Table'!$AU231)*-'BMP P Tracking Table'!$AX231)))/(2*(149.919*'BMP P Tracking Table'!$AR231+236.676*'BMP P Tracking Table'!$AS231+726*'BMP P Tracking Table'!$AT231+996.798*'BMP P Tracking Table'!$AU231))))),MIN(2,IF('BMP P Tracking Table'!$AQ231="Total Pervious",(-(3630*'BMP P Tracking Table'!$V231+20.691*'BMP P Tracking Table'!$AB231)+SQRT((3630*'BMP P Tracking Table'!$V231+20.691*'BMP P Tracking Table'!$AB231)^2-(4*(996.798*'BMP P Tracking Table'!$AB231)*-'BMP P Tracking Table'!$AX231)))/(2*(996.798*'BMP P Tracking Table'!$AB231)),IF(SUM('BMP P Tracking Table'!$X231:$AA231)=0,'BMP P Tracking Table'!$AX231/(-3630*'BMP P Tracking Table'!$V231),(-(3630*'BMP P Tracking Table'!$V231+20.691*'BMP P Tracking Table'!$AA231-216.711*'BMP P Tracking Table'!$Z231-83.853*'BMP P Tracking Table'!$Y231-42.834*'BMP P Tracking Table'!$X231)+SQRT((3630*'BMP P Tracking Table'!$V231+20.691*'BMP P Tracking Table'!$AA231-216.711*'BMP P Tracking Table'!$Z231-83.853*'BMP P Tracking Table'!$Y231-42.834*'BMP P Tracking Table'!$X231)^2-(4*(149.919*'BMP P Tracking Table'!$X231+236.676*'BMP P Tracking Table'!$Y231+726*'BMP P Tracking Table'!$Z231+996.798*'BMP P Tracking Table'!$AA231)*-'BMP P Tracking Table'!$AX231)))/(2*(149.919*'BMP P Tracking Table'!$X231+236.676*'BMP P Tracking Table'!$Y231+726*'BMP P Tracking Table'!$Z231+996.798*'BMP P Tracking Table'!$AA231)))))),"")</f>
        <v/>
      </c>
      <c r="BB231" s="102" t="str">
        <f>IFERROR((VLOOKUP(CONCATENATE('BMP P Tracking Table'!$AW231," ",'BMP P Tracking Table'!$AY231),'Performance Curves'!$C$1:$L$46,_xlfn.SINGLE(MATCH('BMP P Tracking Table'!$BA231,'Performance Curves'!$D$1:$L$1,1))+2,FALSE)-VLOOKUP(CONCATENATE('BMP P Tracking Table'!$AW231," ",'BMP P Tracking Table'!$AY231),'Performance Curves'!$C$1:$L$46,_xlfn.SINGLE(MATCH('BMP P Tracking Table'!$BA231,'Performance Curves'!$D$1:$L$1,1))+1,FALSE)),"")</f>
        <v/>
      </c>
      <c r="BC231" s="102" t="str">
        <f>IFERROR(('BMP P Tracking Table'!$BA231-INDEX('Performance Curves'!$D$1:$L$1,1,MATCH('BMP P Tracking Table'!$BA231,'Performance Curves'!$D$1:$L$1,1)))/(INDEX('Performance Curves'!$D$1:$L$1,1,MATCH('BMP P Tracking Table'!$BA231,'Performance Curves'!$D$1:$L$1,1)+1)-INDEX('Performance Curves'!$D$1:$L$1,1,MATCH('BMP P Tracking Table'!$BA231,'Performance Curves'!$D$1:$L$1,1))),"")</f>
        <v/>
      </c>
      <c r="BD231" s="103" t="str" cm="1">
        <f t="array" ref="BD231">IFERROR(IF('BMP P Tracking Table'!$BA231=2,VLOOKUP(CONCATENATE('BMP P Tracking Table'!$AW231," ",'BMP P Tracking Table'!$AY231),'Performance Curves'!$C$1:$L$44,_xlfn.SINGLE(MATCH('BMP P Tracking Table'!$BA231,'Performance Curves'!$D$1:$L$1,1))+1,FALSE),'BMP P Tracking Table'!$BB231*'BMP P Tracking Table'!$BC231+VLOOKUP(CONCATENATE('BMP P Tracking Table'!$AW231," ",'BMP P Tracking Table'!$AY231),'Performance Curves'!$C$1:$L$44,_xlfn.SINGLE(MATCH('BMP P Tracking Table'!$BA231,'Performance Curves'!$D$1:$L$1,1))+1,FALSE)),"")</f>
        <v/>
      </c>
      <c r="BE231" s="104" t="str">
        <f>IFERROR('BMP P Tracking Table'!$BD231*'BMP P Tracking Table'!$AZ231,"")</f>
        <v/>
      </c>
      <c r="BF231" s="98"/>
      <c r="BG231" s="37">
        <f t="shared" si="36"/>
        <v>0</v>
      </c>
    </row>
    <row r="232" spans="2:59" s="36" customFormat="1">
      <c r="B232" s="65"/>
      <c r="C232" s="65"/>
      <c r="D232" s="65"/>
      <c r="E232" s="65"/>
      <c r="F232" s="94"/>
      <c r="G232" s="94"/>
      <c r="H232" s="65"/>
      <c r="I232" s="65"/>
      <c r="J232" s="65"/>
      <c r="K232" s="95"/>
      <c r="L232" s="65"/>
      <c r="M232" s="65"/>
      <c r="N232" s="65"/>
      <c r="O232" s="65"/>
      <c r="P232" s="65"/>
      <c r="Q232" s="65"/>
      <c r="R232" s="65" t="str">
        <f>IFERROR(VLOOKUP('BMP P Tracking Table'!$Q232,Dropdowns!$C$2:$E$15,3,FALSE),"")</f>
        <v/>
      </c>
      <c r="S232" s="65" t="str">
        <f>IFERROR(VLOOKUP('BMP P Tracking Table'!$R232,Dropdowns!$Q$3:$R$23,2,FALSE),"")</f>
        <v/>
      </c>
      <c r="T232" s="65"/>
      <c r="U232" s="65"/>
      <c r="V232" s="65"/>
      <c r="W232" s="65"/>
      <c r="X232" s="65"/>
      <c r="Y232" s="65"/>
      <c r="Z232" s="65"/>
      <c r="AA232" s="65"/>
      <c r="AB232" s="65"/>
      <c r="AC232" s="97"/>
      <c r="AD232" s="65"/>
      <c r="AE232" s="104" t="str">
        <f>IFERROR('BMP P Tracking Table'!$V232*VLOOKUP('BMP P Tracking Table'!$R232,'Loading Rates'!$B$1:$L$24,4,FALSE)+IF('BMP P Tracking Table'!$W232="By HSG",'BMP P Tracking Table'!$X232*VLOOKUP('BMP P Tracking Table'!$R232,'Loading Rates'!$B$1:$L$24,6,FALSE)+'BMP P Tracking Table'!$Y232*VLOOKUP('BMP P Tracking Table'!$R232,'Loading Rates'!$B$1:$L$24,7,FALSE)+'BMP P Tracking Table'!$Z232*VLOOKUP('BMP P Tracking Table'!$R232,'Loading Rates'!$B$1:$L$24,8,FALSE)+'BMP P Tracking Table'!$AA232*VLOOKUP('BMP P Tracking Table'!$R232,'Loading Rates'!$B$1:$L$24,9,FALSE),'BMP P Tracking Table'!$AB232*VLOOKUP('BMP P Tracking Table'!$R232,'Loading Rates'!$B$1:$L$24,10,FALSE)),"")</f>
        <v/>
      </c>
      <c r="AF232" s="104" t="str">
        <f>IFERROR(MIN(2,IF('BMP P Tracking Table'!$W232="Total Pervious",(-(3630*'BMP P Tracking Table'!$V232+20.691*'BMP P Tracking Table'!$AB232)+SQRT((3630*'BMP P Tracking Table'!$V232+20.691*'BMP P Tracking Table'!$AB232)^2-(4*(996.798*'BMP P Tracking Table'!$AB232)*-'BMP P Tracking Table'!$AC232)))/(2*(996.798*'BMP P Tracking Table'!$AB232)),IF(SUM('BMP P Tracking Table'!$X232:$AA232)=0,'BMP P Tracking Table'!$AC232/(-3630*'BMP P Tracking Table'!$V232),(-(3630*'BMP P Tracking Table'!$V232+20.691*'BMP P Tracking Table'!$AA232-216.711*'BMP P Tracking Table'!$Z232-83.853*'BMP P Tracking Table'!$Y232-42.834*'BMP P Tracking Table'!$X232)+SQRT((3630*'BMP P Tracking Table'!$V232+20.691*'BMP P Tracking Table'!$AA232-216.711*'BMP P Tracking Table'!$Z232-83.853*'BMP P Tracking Table'!$Y232-42.834*'BMP P Tracking Table'!$X232)^2-(4*(149.919*'BMP P Tracking Table'!$X232+236.676*'BMP P Tracking Table'!$Y232+726*'BMP P Tracking Table'!$Z232+996.798*'BMP P Tracking Table'!$AA232)*-'BMP P Tracking Table'!$AC232)))/(2*(149.919*'BMP P Tracking Table'!$X232+236.676*'BMP P Tracking Table'!$Y232+726*'BMP P Tracking Table'!$Z232+996.798*'BMP P Tracking Table'!$AA232))))),"")</f>
        <v/>
      </c>
      <c r="AG232" s="104" t="str">
        <f>IFERROR((VLOOKUP(CONCATENATE('BMP P Tracking Table'!$U232," ",'BMP P Tracking Table'!$AD232),'Performance Curves'!$C$1:$L$46,_xlfn.SINGLE(MATCH('BMP P Tracking Table'!$AF232,'Performance Curves'!$D$1:$L$1,1))+2,FALSE)-VLOOKUP(CONCATENATE('BMP P Tracking Table'!$U232," ",'BMP P Tracking Table'!$AD232),'Performance Curves'!$C$1:$L$46,_xlfn.SINGLE(MATCH('BMP P Tracking Table'!$AF232,'Performance Curves'!$D$1:$L$1,1))+1,FALSE)),"")</f>
        <v/>
      </c>
      <c r="AH232" s="104" t="str">
        <f>IFERROR(('BMP P Tracking Table'!$AF232-INDEX('Performance Curves'!$D$1:$L$1,1,MATCH('BMP P Tracking Table'!$AF232,'Performance Curves'!$D$1:$L$1,1)))/(INDEX('Performance Curves'!$D$1:$L$1,1,MATCH('BMP P Tracking Table'!$AF232,'Performance Curves'!$D$1:$L$1,1)+1)-INDEX('Performance Curves'!$D$1:$L$1,1,MATCH('BMP P Tracking Table'!$AF232,'Performance Curves'!$D$1:$L$1,1))),"")</f>
        <v/>
      </c>
      <c r="AI232" s="103" t="str">
        <f>IFERROR(IF('BMP P Tracking Table'!$AF232=2,VLOOKUP(CONCATENATE('BMP P Tracking Table'!$U232," ",'BMP P Tracking Table'!$AD232),'Performance Curves'!$C$1:$L$46,_xlfn.SINGLE(MATCH('BMP P Tracking Table'!$AF232,'Performance Curves'!$D$1:$L$1,1))+1,FALSE),'BMP P Tracking Table'!$AG232*'BMP P Tracking Table'!$AH232+VLOOKUP(CONCATENATE('BMP P Tracking Table'!$U232," ",'BMP P Tracking Table'!$AD232),'Performance Curves'!$C$1:$L$46,_xlfn.SINGLE(MATCH('BMP P Tracking Table'!$AF232,'Performance Curves'!$D$1:$L$1,1))+1,FALSE)),"")</f>
        <v/>
      </c>
      <c r="AJ232" s="104" t="str">
        <f>IFERROR('BMP P Tracking Table'!$AI232*'BMP P Tracking Table'!$AE232,"")</f>
        <v/>
      </c>
      <c r="AK232" s="65"/>
      <c r="AL232" s="98"/>
      <c r="AM232" s="98"/>
      <c r="AN232" s="64">
        <v>1</v>
      </c>
      <c r="AO232" s="102" t="str">
        <f t="shared" si="35"/>
        <v/>
      </c>
      <c r="AP232" s="98"/>
      <c r="AQ232" s="98"/>
      <c r="AR232" s="98"/>
      <c r="AS232" s="98"/>
      <c r="AT232" s="98"/>
      <c r="AU232" s="98"/>
      <c r="AV232" s="98"/>
      <c r="AW232" s="65"/>
      <c r="AX232" s="99"/>
      <c r="AY232" s="99"/>
      <c r="AZ232" s="104" t="str">
        <f>IF('BMP P Tracking Table'!$AL232="Yes",IF('BMP P Tracking Table'!$AM232="No",'BMP P Tracking Table'!$V232*VLOOKUP('BMP P Tracking Table'!$R232,'Loading Rates'!$B$1:$L$24,4,FALSE)+IF('BMP P Tracking Table'!$W232="By HSG",'BMP P Tracking Table'!$X232*VLOOKUP('BMP P Tracking Table'!$R232,'Loading Rates'!$B$1:$L$24,6,FALSE)+'BMP P Tracking Table'!$Y232*VLOOKUP('BMP P Tracking Table'!$R232,'Loading Rates'!$B$1:$L$24,7,FALSE)+'BMP P Tracking Table'!$Z232*VLOOKUP('BMP P Tracking Table'!$R232,'Loading Rates'!$B$1:$L$24,8,FALSE)+'BMP P Tracking Table'!$AA232*VLOOKUP('BMP P Tracking Table'!$R232,'Loading Rates'!$B$1:$L$24,9,FALSE),'BMP P Tracking Table'!$AB232*VLOOKUP('BMP P Tracking Table'!$R232,'Loading Rates'!$B$1:$L$24,10,FALSE)),'BMP P Tracking Table'!$AP232*VLOOKUP('BMP P Tracking Table'!$R232,'Loading Rates'!$B$1:$L$24,4,FALSE)+IF('BMP P Tracking Table'!$AQ232="By HSG",'BMP P Tracking Table'!$AR232*VLOOKUP('BMP P Tracking Table'!$R232,'Loading Rates'!$B$1:$L$24,6,FALSE)+'BMP P Tracking Table'!$AS232*VLOOKUP('BMP P Tracking Table'!$R232,'Loading Rates'!$B$1:$L$24,7,FALSE)+'BMP P Tracking Table'!$AT232*VLOOKUP('BMP P Tracking Table'!$R232,'Loading Rates'!$B$1:$L$24,8,FALSE)+'BMP P Tracking Table'!$AU232*VLOOKUP('BMP P Tracking Table'!$R232,'Loading Rates'!$B$1:$L$24,9,FALSE),'BMP P Tracking Table'!$AV232*VLOOKUP('BMP P Tracking Table'!$R232,'Loading Rates'!$B$1:$L$24,10,FALSE))),"")</f>
        <v/>
      </c>
      <c r="BA232" s="104" t="str">
        <f>IFERROR(IF('BMP P Tracking Table'!$AM232="Yes",MIN(2,IF('BMP P Tracking Table'!$AQ232="Total Pervious",(-(3630*'BMP P Tracking Table'!$AP232+20.691*'BMP P Tracking Table'!$AV232)+SQRT((3630*'BMP P Tracking Table'!$AP232+20.691*'BMP P Tracking Table'!$AV232)^2-(4*(996.798*'BMP P Tracking Table'!$AV232)*-'BMP P Tracking Table'!$AX232)))/(2*(996.798*'BMP P Tracking Table'!$AV232)),IF(SUM('BMP P Tracking Table'!$AR232:$AU232)=0,'BMP P Tracking Table'!$AV232/(-3630*'BMP P Tracking Table'!$AP232),(-(3630*'BMP P Tracking Table'!$AP232+20.691*'BMP P Tracking Table'!$AU232-216.711*'BMP P Tracking Table'!$AT232-83.853*'BMP P Tracking Table'!$AS232-42.834*'BMP P Tracking Table'!$AR232)+SQRT((3630*'BMP P Tracking Table'!$AP232+20.691*'BMP P Tracking Table'!$AU232-216.711*'BMP P Tracking Table'!$AT232-83.853*'BMP P Tracking Table'!$AS232-42.834*'BMP P Tracking Table'!$AR232)^2-(4*(149.919*'BMP P Tracking Table'!$AR232+236.676*'BMP P Tracking Table'!$AS232+726*'BMP P Tracking Table'!$AT232+996.798*'BMP P Tracking Table'!$AU232)*-'BMP P Tracking Table'!$AX232)))/(2*(149.919*'BMP P Tracking Table'!$AR232+236.676*'BMP P Tracking Table'!$AS232+726*'BMP P Tracking Table'!$AT232+996.798*'BMP P Tracking Table'!$AU232))))),MIN(2,IF('BMP P Tracking Table'!$AQ232="Total Pervious",(-(3630*'BMP P Tracking Table'!$V232+20.691*'BMP P Tracking Table'!$AB232)+SQRT((3630*'BMP P Tracking Table'!$V232+20.691*'BMP P Tracking Table'!$AB232)^2-(4*(996.798*'BMP P Tracking Table'!$AB232)*-'BMP P Tracking Table'!$AX232)))/(2*(996.798*'BMP P Tracking Table'!$AB232)),IF(SUM('BMP P Tracking Table'!$X232:$AA232)=0,'BMP P Tracking Table'!$AX232/(-3630*'BMP P Tracking Table'!$V232),(-(3630*'BMP P Tracking Table'!$V232+20.691*'BMP P Tracking Table'!$AA232-216.711*'BMP P Tracking Table'!$Z232-83.853*'BMP P Tracking Table'!$Y232-42.834*'BMP P Tracking Table'!$X232)+SQRT((3630*'BMP P Tracking Table'!$V232+20.691*'BMP P Tracking Table'!$AA232-216.711*'BMP P Tracking Table'!$Z232-83.853*'BMP P Tracking Table'!$Y232-42.834*'BMP P Tracking Table'!$X232)^2-(4*(149.919*'BMP P Tracking Table'!$X232+236.676*'BMP P Tracking Table'!$Y232+726*'BMP P Tracking Table'!$Z232+996.798*'BMP P Tracking Table'!$AA232)*-'BMP P Tracking Table'!$AX232)))/(2*(149.919*'BMP P Tracking Table'!$X232+236.676*'BMP P Tracking Table'!$Y232+726*'BMP P Tracking Table'!$Z232+996.798*'BMP P Tracking Table'!$AA232)))))),"")</f>
        <v/>
      </c>
      <c r="BB232" s="102" t="str">
        <f>IFERROR((VLOOKUP(CONCATENATE('BMP P Tracking Table'!$AW232," ",'BMP P Tracking Table'!$AY232),'Performance Curves'!$C$1:$L$46,_xlfn.SINGLE(MATCH('BMP P Tracking Table'!$BA232,'Performance Curves'!$D$1:$L$1,1))+2,FALSE)-VLOOKUP(CONCATENATE('BMP P Tracking Table'!$AW232," ",'BMP P Tracking Table'!$AY232),'Performance Curves'!$C$1:$L$46,_xlfn.SINGLE(MATCH('BMP P Tracking Table'!$BA232,'Performance Curves'!$D$1:$L$1,1))+1,FALSE)),"")</f>
        <v/>
      </c>
      <c r="BC232" s="102" t="str">
        <f>IFERROR(('BMP P Tracking Table'!$BA232-INDEX('Performance Curves'!$D$1:$L$1,1,MATCH('BMP P Tracking Table'!$BA232,'Performance Curves'!$D$1:$L$1,1)))/(INDEX('Performance Curves'!$D$1:$L$1,1,MATCH('BMP P Tracking Table'!$BA232,'Performance Curves'!$D$1:$L$1,1)+1)-INDEX('Performance Curves'!$D$1:$L$1,1,MATCH('BMP P Tracking Table'!$BA232,'Performance Curves'!$D$1:$L$1,1))),"")</f>
        <v/>
      </c>
      <c r="BD232" s="103" t="str" cm="1">
        <f t="array" ref="BD232">IFERROR(IF('BMP P Tracking Table'!$BA232=2,VLOOKUP(CONCATENATE('BMP P Tracking Table'!$AW232," ",'BMP P Tracking Table'!$AY232),'Performance Curves'!$C$1:$L$44,_xlfn.SINGLE(MATCH('BMP P Tracking Table'!$BA232,'Performance Curves'!$D$1:$L$1,1))+1,FALSE),'BMP P Tracking Table'!$BB232*'BMP P Tracking Table'!$BC232+VLOOKUP(CONCATENATE('BMP P Tracking Table'!$AW232," ",'BMP P Tracking Table'!$AY232),'Performance Curves'!$C$1:$L$44,_xlfn.SINGLE(MATCH('BMP P Tracking Table'!$BA232,'Performance Curves'!$D$1:$L$1,1))+1,FALSE)),"")</f>
        <v/>
      </c>
      <c r="BE232" s="104" t="str">
        <f>IFERROR('BMP P Tracking Table'!$BD232*'BMP P Tracking Table'!$AZ232,"")</f>
        <v/>
      </c>
      <c r="BF232" s="98"/>
      <c r="BG232" s="37">
        <f t="shared" si="36"/>
        <v>0</v>
      </c>
    </row>
    <row r="233" spans="2:59" s="36" customFormat="1">
      <c r="B233" s="65"/>
      <c r="C233" s="65"/>
      <c r="D233" s="65"/>
      <c r="E233" s="65"/>
      <c r="F233" s="94"/>
      <c r="G233" s="94"/>
      <c r="H233" s="65"/>
      <c r="I233" s="65"/>
      <c r="J233" s="65"/>
      <c r="K233" s="95"/>
      <c r="L233" s="65"/>
      <c r="M233" s="65"/>
      <c r="N233" s="65"/>
      <c r="O233" s="65"/>
      <c r="P233" s="65"/>
      <c r="Q233" s="65"/>
      <c r="R233" s="65" t="str">
        <f>IFERROR(VLOOKUP('BMP P Tracking Table'!$Q233,Dropdowns!$C$2:$E$15,3,FALSE),"")</f>
        <v/>
      </c>
      <c r="S233" s="65" t="str">
        <f>IFERROR(VLOOKUP('BMP P Tracking Table'!$R233,Dropdowns!$Q$3:$R$23,2,FALSE),"")</f>
        <v/>
      </c>
      <c r="T233" s="65"/>
      <c r="U233" s="65"/>
      <c r="V233" s="65"/>
      <c r="W233" s="65"/>
      <c r="X233" s="65"/>
      <c r="Y233" s="65"/>
      <c r="Z233" s="65"/>
      <c r="AA233" s="65"/>
      <c r="AB233" s="65"/>
      <c r="AC233" s="97"/>
      <c r="AD233" s="65"/>
      <c r="AE233" s="104" t="str">
        <f>IFERROR('BMP P Tracking Table'!$V233*VLOOKUP('BMP P Tracking Table'!$R233,'Loading Rates'!$B$1:$L$24,4,FALSE)+IF('BMP P Tracking Table'!$W233="By HSG",'BMP P Tracking Table'!$X233*VLOOKUP('BMP P Tracking Table'!$R233,'Loading Rates'!$B$1:$L$24,6,FALSE)+'BMP P Tracking Table'!$Y233*VLOOKUP('BMP P Tracking Table'!$R233,'Loading Rates'!$B$1:$L$24,7,FALSE)+'BMP P Tracking Table'!$Z233*VLOOKUP('BMP P Tracking Table'!$R233,'Loading Rates'!$B$1:$L$24,8,FALSE)+'BMP P Tracking Table'!$AA233*VLOOKUP('BMP P Tracking Table'!$R233,'Loading Rates'!$B$1:$L$24,9,FALSE),'BMP P Tracking Table'!$AB233*VLOOKUP('BMP P Tracking Table'!$R233,'Loading Rates'!$B$1:$L$24,10,FALSE)),"")</f>
        <v/>
      </c>
      <c r="AF233" s="104" t="str">
        <f>IFERROR(MIN(2,IF('BMP P Tracking Table'!$W233="Total Pervious",(-(3630*'BMP P Tracking Table'!$V233+20.691*'BMP P Tracking Table'!$AB233)+SQRT((3630*'BMP P Tracking Table'!$V233+20.691*'BMP P Tracking Table'!$AB233)^2-(4*(996.798*'BMP P Tracking Table'!$AB233)*-'BMP P Tracking Table'!$AC233)))/(2*(996.798*'BMP P Tracking Table'!$AB233)),IF(SUM('BMP P Tracking Table'!$X233:$AA233)=0,'BMP P Tracking Table'!$AC233/(-3630*'BMP P Tracking Table'!$V233),(-(3630*'BMP P Tracking Table'!$V233+20.691*'BMP P Tracking Table'!$AA233-216.711*'BMP P Tracking Table'!$Z233-83.853*'BMP P Tracking Table'!$Y233-42.834*'BMP P Tracking Table'!$X233)+SQRT((3630*'BMP P Tracking Table'!$V233+20.691*'BMP P Tracking Table'!$AA233-216.711*'BMP P Tracking Table'!$Z233-83.853*'BMP P Tracking Table'!$Y233-42.834*'BMP P Tracking Table'!$X233)^2-(4*(149.919*'BMP P Tracking Table'!$X233+236.676*'BMP P Tracking Table'!$Y233+726*'BMP P Tracking Table'!$Z233+996.798*'BMP P Tracking Table'!$AA233)*-'BMP P Tracking Table'!$AC233)))/(2*(149.919*'BMP P Tracking Table'!$X233+236.676*'BMP P Tracking Table'!$Y233+726*'BMP P Tracking Table'!$Z233+996.798*'BMP P Tracking Table'!$AA233))))),"")</f>
        <v/>
      </c>
      <c r="AG233" s="104" t="str">
        <f>IFERROR((VLOOKUP(CONCATENATE('BMP P Tracking Table'!$U233," ",'BMP P Tracking Table'!$AD233),'Performance Curves'!$C$1:$L$46,_xlfn.SINGLE(MATCH('BMP P Tracking Table'!$AF233,'Performance Curves'!$D$1:$L$1,1))+2,FALSE)-VLOOKUP(CONCATENATE('BMP P Tracking Table'!$U233," ",'BMP P Tracking Table'!$AD233),'Performance Curves'!$C$1:$L$46,_xlfn.SINGLE(MATCH('BMP P Tracking Table'!$AF233,'Performance Curves'!$D$1:$L$1,1))+1,FALSE)),"")</f>
        <v/>
      </c>
      <c r="AH233" s="104" t="str">
        <f>IFERROR(('BMP P Tracking Table'!$AF233-INDEX('Performance Curves'!$D$1:$L$1,1,MATCH('BMP P Tracking Table'!$AF233,'Performance Curves'!$D$1:$L$1,1)))/(INDEX('Performance Curves'!$D$1:$L$1,1,MATCH('BMP P Tracking Table'!$AF233,'Performance Curves'!$D$1:$L$1,1)+1)-INDEX('Performance Curves'!$D$1:$L$1,1,MATCH('BMP P Tracking Table'!$AF233,'Performance Curves'!$D$1:$L$1,1))),"")</f>
        <v/>
      </c>
      <c r="AI233" s="103" t="str">
        <f>IFERROR(IF('BMP P Tracking Table'!$AF233=2,VLOOKUP(CONCATENATE('BMP P Tracking Table'!$U233," ",'BMP P Tracking Table'!$AD233),'Performance Curves'!$C$1:$L$46,_xlfn.SINGLE(MATCH('BMP P Tracking Table'!$AF233,'Performance Curves'!$D$1:$L$1,1))+1,FALSE),'BMP P Tracking Table'!$AG233*'BMP P Tracking Table'!$AH233+VLOOKUP(CONCATENATE('BMP P Tracking Table'!$U233," ",'BMP P Tracking Table'!$AD233),'Performance Curves'!$C$1:$L$46,_xlfn.SINGLE(MATCH('BMP P Tracking Table'!$AF233,'Performance Curves'!$D$1:$L$1,1))+1,FALSE)),"")</f>
        <v/>
      </c>
      <c r="AJ233" s="104" t="str">
        <f>IFERROR('BMP P Tracking Table'!$AI233*'BMP P Tracking Table'!$AE233,"")</f>
        <v/>
      </c>
      <c r="AK233" s="65"/>
      <c r="AL233" s="98"/>
      <c r="AM233" s="98"/>
      <c r="AN233" s="64">
        <v>1</v>
      </c>
      <c r="AO233" s="102" t="str">
        <f t="shared" si="35"/>
        <v/>
      </c>
      <c r="AP233" s="98"/>
      <c r="AQ233" s="98"/>
      <c r="AR233" s="98"/>
      <c r="AS233" s="98"/>
      <c r="AT233" s="98"/>
      <c r="AU233" s="98"/>
      <c r="AV233" s="98"/>
      <c r="AW233" s="65"/>
      <c r="AX233" s="99"/>
      <c r="AY233" s="99"/>
      <c r="AZ233" s="104" t="str">
        <f>IF('BMP P Tracking Table'!$AL233="Yes",IF('BMP P Tracking Table'!$AM233="No",'BMP P Tracking Table'!$V233*VLOOKUP('BMP P Tracking Table'!$R233,'Loading Rates'!$B$1:$L$24,4,FALSE)+IF('BMP P Tracking Table'!$W233="By HSG",'BMP P Tracking Table'!$X233*VLOOKUP('BMP P Tracking Table'!$R233,'Loading Rates'!$B$1:$L$24,6,FALSE)+'BMP P Tracking Table'!$Y233*VLOOKUP('BMP P Tracking Table'!$R233,'Loading Rates'!$B$1:$L$24,7,FALSE)+'BMP P Tracking Table'!$Z233*VLOOKUP('BMP P Tracking Table'!$R233,'Loading Rates'!$B$1:$L$24,8,FALSE)+'BMP P Tracking Table'!$AA233*VLOOKUP('BMP P Tracking Table'!$R233,'Loading Rates'!$B$1:$L$24,9,FALSE),'BMP P Tracking Table'!$AB233*VLOOKUP('BMP P Tracking Table'!$R233,'Loading Rates'!$B$1:$L$24,10,FALSE)),'BMP P Tracking Table'!$AP233*VLOOKUP('BMP P Tracking Table'!$R233,'Loading Rates'!$B$1:$L$24,4,FALSE)+IF('BMP P Tracking Table'!$AQ233="By HSG",'BMP P Tracking Table'!$AR233*VLOOKUP('BMP P Tracking Table'!$R233,'Loading Rates'!$B$1:$L$24,6,FALSE)+'BMP P Tracking Table'!$AS233*VLOOKUP('BMP P Tracking Table'!$R233,'Loading Rates'!$B$1:$L$24,7,FALSE)+'BMP P Tracking Table'!$AT233*VLOOKUP('BMP P Tracking Table'!$R233,'Loading Rates'!$B$1:$L$24,8,FALSE)+'BMP P Tracking Table'!$AU233*VLOOKUP('BMP P Tracking Table'!$R233,'Loading Rates'!$B$1:$L$24,9,FALSE),'BMP P Tracking Table'!$AV233*VLOOKUP('BMP P Tracking Table'!$R233,'Loading Rates'!$B$1:$L$24,10,FALSE))),"")</f>
        <v/>
      </c>
      <c r="BA233" s="104" t="str">
        <f>IFERROR(IF('BMP P Tracking Table'!$AM233="Yes",MIN(2,IF('BMP P Tracking Table'!$AQ233="Total Pervious",(-(3630*'BMP P Tracking Table'!$AP233+20.691*'BMP P Tracking Table'!$AV233)+SQRT((3630*'BMP P Tracking Table'!$AP233+20.691*'BMP P Tracking Table'!$AV233)^2-(4*(996.798*'BMP P Tracking Table'!$AV233)*-'BMP P Tracking Table'!$AX233)))/(2*(996.798*'BMP P Tracking Table'!$AV233)),IF(SUM('BMP P Tracking Table'!$AR233:$AU233)=0,'BMP P Tracking Table'!$AV233/(-3630*'BMP P Tracking Table'!$AP233),(-(3630*'BMP P Tracking Table'!$AP233+20.691*'BMP P Tracking Table'!$AU233-216.711*'BMP P Tracking Table'!$AT233-83.853*'BMP P Tracking Table'!$AS233-42.834*'BMP P Tracking Table'!$AR233)+SQRT((3630*'BMP P Tracking Table'!$AP233+20.691*'BMP P Tracking Table'!$AU233-216.711*'BMP P Tracking Table'!$AT233-83.853*'BMP P Tracking Table'!$AS233-42.834*'BMP P Tracking Table'!$AR233)^2-(4*(149.919*'BMP P Tracking Table'!$AR233+236.676*'BMP P Tracking Table'!$AS233+726*'BMP P Tracking Table'!$AT233+996.798*'BMP P Tracking Table'!$AU233)*-'BMP P Tracking Table'!$AX233)))/(2*(149.919*'BMP P Tracking Table'!$AR233+236.676*'BMP P Tracking Table'!$AS233+726*'BMP P Tracking Table'!$AT233+996.798*'BMP P Tracking Table'!$AU233))))),MIN(2,IF('BMP P Tracking Table'!$AQ233="Total Pervious",(-(3630*'BMP P Tracking Table'!$V233+20.691*'BMP P Tracking Table'!$AB233)+SQRT((3630*'BMP P Tracking Table'!$V233+20.691*'BMP P Tracking Table'!$AB233)^2-(4*(996.798*'BMP P Tracking Table'!$AB233)*-'BMP P Tracking Table'!$AX233)))/(2*(996.798*'BMP P Tracking Table'!$AB233)),IF(SUM('BMP P Tracking Table'!$X233:$AA233)=0,'BMP P Tracking Table'!$AX233/(-3630*'BMP P Tracking Table'!$V233),(-(3630*'BMP P Tracking Table'!$V233+20.691*'BMP P Tracking Table'!$AA233-216.711*'BMP P Tracking Table'!$Z233-83.853*'BMP P Tracking Table'!$Y233-42.834*'BMP P Tracking Table'!$X233)+SQRT((3630*'BMP P Tracking Table'!$V233+20.691*'BMP P Tracking Table'!$AA233-216.711*'BMP P Tracking Table'!$Z233-83.853*'BMP P Tracking Table'!$Y233-42.834*'BMP P Tracking Table'!$X233)^2-(4*(149.919*'BMP P Tracking Table'!$X233+236.676*'BMP P Tracking Table'!$Y233+726*'BMP P Tracking Table'!$Z233+996.798*'BMP P Tracking Table'!$AA233)*-'BMP P Tracking Table'!$AX233)))/(2*(149.919*'BMP P Tracking Table'!$X233+236.676*'BMP P Tracking Table'!$Y233+726*'BMP P Tracking Table'!$Z233+996.798*'BMP P Tracking Table'!$AA233)))))),"")</f>
        <v/>
      </c>
      <c r="BB233" s="102" t="str">
        <f>IFERROR((VLOOKUP(CONCATENATE('BMP P Tracking Table'!$AW233," ",'BMP P Tracking Table'!$AY233),'Performance Curves'!$C$1:$L$46,_xlfn.SINGLE(MATCH('BMP P Tracking Table'!$BA233,'Performance Curves'!$D$1:$L$1,1))+2,FALSE)-VLOOKUP(CONCATENATE('BMP P Tracking Table'!$AW233," ",'BMP P Tracking Table'!$AY233),'Performance Curves'!$C$1:$L$46,_xlfn.SINGLE(MATCH('BMP P Tracking Table'!$BA233,'Performance Curves'!$D$1:$L$1,1))+1,FALSE)),"")</f>
        <v/>
      </c>
      <c r="BC233" s="102" t="str">
        <f>IFERROR(('BMP P Tracking Table'!$BA233-INDEX('Performance Curves'!$D$1:$L$1,1,MATCH('BMP P Tracking Table'!$BA233,'Performance Curves'!$D$1:$L$1,1)))/(INDEX('Performance Curves'!$D$1:$L$1,1,MATCH('BMP P Tracking Table'!$BA233,'Performance Curves'!$D$1:$L$1,1)+1)-INDEX('Performance Curves'!$D$1:$L$1,1,MATCH('BMP P Tracking Table'!$BA233,'Performance Curves'!$D$1:$L$1,1))),"")</f>
        <v/>
      </c>
      <c r="BD233" s="103" t="str" cm="1">
        <f t="array" ref="BD233">IFERROR(IF('BMP P Tracking Table'!$BA233=2,VLOOKUP(CONCATENATE('BMP P Tracking Table'!$AW233," ",'BMP P Tracking Table'!$AY233),'Performance Curves'!$C$1:$L$44,_xlfn.SINGLE(MATCH('BMP P Tracking Table'!$BA233,'Performance Curves'!$D$1:$L$1,1))+1,FALSE),'BMP P Tracking Table'!$BB233*'BMP P Tracking Table'!$BC233+VLOOKUP(CONCATENATE('BMP P Tracking Table'!$AW233," ",'BMP P Tracking Table'!$AY233),'Performance Curves'!$C$1:$L$44,_xlfn.SINGLE(MATCH('BMP P Tracking Table'!$BA233,'Performance Curves'!$D$1:$L$1,1))+1,FALSE)),"")</f>
        <v/>
      </c>
      <c r="BE233" s="104" t="str">
        <f>IFERROR('BMP P Tracking Table'!$BD233*'BMP P Tracking Table'!$AZ233,"")</f>
        <v/>
      </c>
      <c r="BF233" s="92"/>
      <c r="BG233" s="37">
        <f t="shared" si="36"/>
        <v>0</v>
      </c>
    </row>
    <row r="234" spans="2:59" s="36" customFormat="1">
      <c r="B234" s="65"/>
      <c r="C234" s="65"/>
      <c r="D234" s="65"/>
      <c r="E234" s="65"/>
      <c r="F234" s="94"/>
      <c r="G234" s="94"/>
      <c r="H234" s="65"/>
      <c r="I234" s="65"/>
      <c r="J234" s="65"/>
      <c r="K234" s="95"/>
      <c r="L234" s="65"/>
      <c r="M234" s="65"/>
      <c r="N234" s="65"/>
      <c r="O234" s="65"/>
      <c r="P234" s="65"/>
      <c r="Q234" s="65"/>
      <c r="R234" s="65" t="str">
        <f>IFERROR(VLOOKUP('BMP P Tracking Table'!$Q234,Dropdowns!$C$2:$E$15,3,FALSE),"")</f>
        <v/>
      </c>
      <c r="S234" s="65" t="str">
        <f>IFERROR(VLOOKUP('BMP P Tracking Table'!$R234,Dropdowns!$Q$3:$R$23,2,FALSE),"")</f>
        <v/>
      </c>
      <c r="T234" s="65"/>
      <c r="U234" s="65"/>
      <c r="V234" s="65"/>
      <c r="W234" s="65"/>
      <c r="X234" s="65"/>
      <c r="Y234" s="65"/>
      <c r="Z234" s="65"/>
      <c r="AA234" s="65"/>
      <c r="AB234" s="65"/>
      <c r="AC234" s="97"/>
      <c r="AD234" s="65"/>
      <c r="AE234" s="104" t="str">
        <f>IFERROR('BMP P Tracking Table'!$V234*VLOOKUP('BMP P Tracking Table'!$R234,'Loading Rates'!$B$1:$L$24,4,FALSE)+IF('BMP P Tracking Table'!$W234="By HSG",'BMP P Tracking Table'!$X234*VLOOKUP('BMP P Tracking Table'!$R234,'Loading Rates'!$B$1:$L$24,6,FALSE)+'BMP P Tracking Table'!$Y234*VLOOKUP('BMP P Tracking Table'!$R234,'Loading Rates'!$B$1:$L$24,7,FALSE)+'BMP P Tracking Table'!$Z234*VLOOKUP('BMP P Tracking Table'!$R234,'Loading Rates'!$B$1:$L$24,8,FALSE)+'BMP P Tracking Table'!$AA234*VLOOKUP('BMP P Tracking Table'!$R234,'Loading Rates'!$B$1:$L$24,9,FALSE),'BMP P Tracking Table'!$AB234*VLOOKUP('BMP P Tracking Table'!$R234,'Loading Rates'!$B$1:$L$24,10,FALSE)),"")</f>
        <v/>
      </c>
      <c r="AF234" s="104" t="str">
        <f>IFERROR(MIN(2,IF('BMP P Tracking Table'!$W234="Total Pervious",(-(3630*'BMP P Tracking Table'!$V234+20.691*'BMP P Tracking Table'!$AB234)+SQRT((3630*'BMP P Tracking Table'!$V234+20.691*'BMP P Tracking Table'!$AB234)^2-(4*(996.798*'BMP P Tracking Table'!$AB234)*-'BMP P Tracking Table'!$AC234)))/(2*(996.798*'BMP P Tracking Table'!$AB234)),IF(SUM('BMP P Tracking Table'!$X234:$AA234)=0,'BMP P Tracking Table'!$AC234/(-3630*'BMP P Tracking Table'!$V234),(-(3630*'BMP P Tracking Table'!$V234+20.691*'BMP P Tracking Table'!$AA234-216.711*'BMP P Tracking Table'!$Z234-83.853*'BMP P Tracking Table'!$Y234-42.834*'BMP P Tracking Table'!$X234)+SQRT((3630*'BMP P Tracking Table'!$V234+20.691*'BMP P Tracking Table'!$AA234-216.711*'BMP P Tracking Table'!$Z234-83.853*'BMP P Tracking Table'!$Y234-42.834*'BMP P Tracking Table'!$X234)^2-(4*(149.919*'BMP P Tracking Table'!$X234+236.676*'BMP P Tracking Table'!$Y234+726*'BMP P Tracking Table'!$Z234+996.798*'BMP P Tracking Table'!$AA234)*-'BMP P Tracking Table'!$AC234)))/(2*(149.919*'BMP P Tracking Table'!$X234+236.676*'BMP P Tracking Table'!$Y234+726*'BMP P Tracking Table'!$Z234+996.798*'BMP P Tracking Table'!$AA234))))),"")</f>
        <v/>
      </c>
      <c r="AG234" s="104" t="str">
        <f>IFERROR((VLOOKUP(CONCATENATE('BMP P Tracking Table'!$U234," ",'BMP P Tracking Table'!$AD234),'Performance Curves'!$C$1:$L$46,_xlfn.SINGLE(MATCH('BMP P Tracking Table'!$AF234,'Performance Curves'!$D$1:$L$1,1))+2,FALSE)-VLOOKUP(CONCATENATE('BMP P Tracking Table'!$U234," ",'BMP P Tracking Table'!$AD234),'Performance Curves'!$C$1:$L$46,_xlfn.SINGLE(MATCH('BMP P Tracking Table'!$AF234,'Performance Curves'!$D$1:$L$1,1))+1,FALSE)),"")</f>
        <v/>
      </c>
      <c r="AH234" s="104" t="str">
        <f>IFERROR(('BMP P Tracking Table'!$AF234-INDEX('Performance Curves'!$D$1:$L$1,1,MATCH('BMP P Tracking Table'!$AF234,'Performance Curves'!$D$1:$L$1,1)))/(INDEX('Performance Curves'!$D$1:$L$1,1,MATCH('BMP P Tracking Table'!$AF234,'Performance Curves'!$D$1:$L$1,1)+1)-INDEX('Performance Curves'!$D$1:$L$1,1,MATCH('BMP P Tracking Table'!$AF234,'Performance Curves'!$D$1:$L$1,1))),"")</f>
        <v/>
      </c>
      <c r="AI234" s="103" t="str">
        <f>IFERROR(IF('BMP P Tracking Table'!$AF234=2,VLOOKUP(CONCATENATE('BMP P Tracking Table'!$U234," ",'BMP P Tracking Table'!$AD234),'Performance Curves'!$C$1:$L$46,_xlfn.SINGLE(MATCH('BMP P Tracking Table'!$AF234,'Performance Curves'!$D$1:$L$1,1))+1,FALSE),'BMP P Tracking Table'!$AG234*'BMP P Tracking Table'!$AH234+VLOOKUP(CONCATENATE('BMP P Tracking Table'!$U234," ",'BMP P Tracking Table'!$AD234),'Performance Curves'!$C$1:$L$46,_xlfn.SINGLE(MATCH('BMP P Tracking Table'!$AF234,'Performance Curves'!$D$1:$L$1,1))+1,FALSE)),"")</f>
        <v/>
      </c>
      <c r="AJ234" s="104" t="str">
        <f>IFERROR('BMP P Tracking Table'!$AI234*'BMP P Tracking Table'!$AE234,"")</f>
        <v/>
      </c>
      <c r="AK234" s="65"/>
      <c r="AL234" s="98"/>
      <c r="AM234" s="98"/>
      <c r="AN234" s="64">
        <v>1</v>
      </c>
      <c r="AO234" s="102" t="str">
        <f t="shared" si="35"/>
        <v/>
      </c>
      <c r="AP234" s="98"/>
      <c r="AQ234" s="98"/>
      <c r="AR234" s="98"/>
      <c r="AS234" s="98"/>
      <c r="AT234" s="98"/>
      <c r="AU234" s="98"/>
      <c r="AV234" s="98"/>
      <c r="AW234" s="65"/>
      <c r="AX234" s="99"/>
      <c r="AY234" s="99"/>
      <c r="AZ234" s="104" t="str">
        <f>IF('BMP P Tracking Table'!$AL234="Yes",IF('BMP P Tracking Table'!$AM234="No",'BMP P Tracking Table'!$V234*VLOOKUP('BMP P Tracking Table'!$R234,'Loading Rates'!$B$1:$L$24,4,FALSE)+IF('BMP P Tracking Table'!$W234="By HSG",'BMP P Tracking Table'!$X234*VLOOKUP('BMP P Tracking Table'!$R234,'Loading Rates'!$B$1:$L$24,6,FALSE)+'BMP P Tracking Table'!$Y234*VLOOKUP('BMP P Tracking Table'!$R234,'Loading Rates'!$B$1:$L$24,7,FALSE)+'BMP P Tracking Table'!$Z234*VLOOKUP('BMP P Tracking Table'!$R234,'Loading Rates'!$B$1:$L$24,8,FALSE)+'BMP P Tracking Table'!$AA234*VLOOKUP('BMP P Tracking Table'!$R234,'Loading Rates'!$B$1:$L$24,9,FALSE),'BMP P Tracking Table'!$AB234*VLOOKUP('BMP P Tracking Table'!$R234,'Loading Rates'!$B$1:$L$24,10,FALSE)),'BMP P Tracking Table'!$AP234*VLOOKUP('BMP P Tracking Table'!$R234,'Loading Rates'!$B$1:$L$24,4,FALSE)+IF('BMP P Tracking Table'!$AQ234="By HSG",'BMP P Tracking Table'!$AR234*VLOOKUP('BMP P Tracking Table'!$R234,'Loading Rates'!$B$1:$L$24,6,FALSE)+'BMP P Tracking Table'!$AS234*VLOOKUP('BMP P Tracking Table'!$R234,'Loading Rates'!$B$1:$L$24,7,FALSE)+'BMP P Tracking Table'!$AT234*VLOOKUP('BMP P Tracking Table'!$R234,'Loading Rates'!$B$1:$L$24,8,FALSE)+'BMP P Tracking Table'!$AU234*VLOOKUP('BMP P Tracking Table'!$R234,'Loading Rates'!$B$1:$L$24,9,FALSE),'BMP P Tracking Table'!$AV234*VLOOKUP('BMP P Tracking Table'!$R234,'Loading Rates'!$B$1:$L$24,10,FALSE))),"")</f>
        <v/>
      </c>
      <c r="BA234" s="104" t="str">
        <f>IFERROR(IF('BMP P Tracking Table'!$AM234="Yes",MIN(2,IF('BMP P Tracking Table'!$AQ234="Total Pervious",(-(3630*'BMP P Tracking Table'!$AP234+20.691*'BMP P Tracking Table'!$AV234)+SQRT((3630*'BMP P Tracking Table'!$AP234+20.691*'BMP P Tracking Table'!$AV234)^2-(4*(996.798*'BMP P Tracking Table'!$AV234)*-'BMP P Tracking Table'!$AX234)))/(2*(996.798*'BMP P Tracking Table'!$AV234)),IF(SUM('BMP P Tracking Table'!$AR234:$AU234)=0,'BMP P Tracking Table'!$AV234/(-3630*'BMP P Tracking Table'!$AP234),(-(3630*'BMP P Tracking Table'!$AP234+20.691*'BMP P Tracking Table'!$AU234-216.711*'BMP P Tracking Table'!$AT234-83.853*'BMP P Tracking Table'!$AS234-42.834*'BMP P Tracking Table'!$AR234)+SQRT((3630*'BMP P Tracking Table'!$AP234+20.691*'BMP P Tracking Table'!$AU234-216.711*'BMP P Tracking Table'!$AT234-83.853*'BMP P Tracking Table'!$AS234-42.834*'BMP P Tracking Table'!$AR234)^2-(4*(149.919*'BMP P Tracking Table'!$AR234+236.676*'BMP P Tracking Table'!$AS234+726*'BMP P Tracking Table'!$AT234+996.798*'BMP P Tracking Table'!$AU234)*-'BMP P Tracking Table'!$AX234)))/(2*(149.919*'BMP P Tracking Table'!$AR234+236.676*'BMP P Tracking Table'!$AS234+726*'BMP P Tracking Table'!$AT234+996.798*'BMP P Tracking Table'!$AU234))))),MIN(2,IF('BMP P Tracking Table'!$AQ234="Total Pervious",(-(3630*'BMP P Tracking Table'!$V234+20.691*'BMP P Tracking Table'!$AB234)+SQRT((3630*'BMP P Tracking Table'!$V234+20.691*'BMP P Tracking Table'!$AB234)^2-(4*(996.798*'BMP P Tracking Table'!$AB234)*-'BMP P Tracking Table'!$AX234)))/(2*(996.798*'BMP P Tracking Table'!$AB234)),IF(SUM('BMP P Tracking Table'!$X234:$AA234)=0,'BMP P Tracking Table'!$AX234/(-3630*'BMP P Tracking Table'!$V234),(-(3630*'BMP P Tracking Table'!$V234+20.691*'BMP P Tracking Table'!$AA234-216.711*'BMP P Tracking Table'!$Z234-83.853*'BMP P Tracking Table'!$Y234-42.834*'BMP P Tracking Table'!$X234)+SQRT((3630*'BMP P Tracking Table'!$V234+20.691*'BMP P Tracking Table'!$AA234-216.711*'BMP P Tracking Table'!$Z234-83.853*'BMP P Tracking Table'!$Y234-42.834*'BMP P Tracking Table'!$X234)^2-(4*(149.919*'BMP P Tracking Table'!$X234+236.676*'BMP P Tracking Table'!$Y234+726*'BMP P Tracking Table'!$Z234+996.798*'BMP P Tracking Table'!$AA234)*-'BMP P Tracking Table'!$AX234)))/(2*(149.919*'BMP P Tracking Table'!$X234+236.676*'BMP P Tracking Table'!$Y234+726*'BMP P Tracking Table'!$Z234+996.798*'BMP P Tracking Table'!$AA234)))))),"")</f>
        <v/>
      </c>
      <c r="BB234" s="102" t="str">
        <f>IFERROR((VLOOKUP(CONCATENATE('BMP P Tracking Table'!$AW234," ",'BMP P Tracking Table'!$AY234),'Performance Curves'!$C$1:$L$46,_xlfn.SINGLE(MATCH('BMP P Tracking Table'!$BA234,'Performance Curves'!$D$1:$L$1,1))+2,FALSE)-VLOOKUP(CONCATENATE('BMP P Tracking Table'!$AW234," ",'BMP P Tracking Table'!$AY234),'Performance Curves'!$C$1:$L$46,_xlfn.SINGLE(MATCH('BMP P Tracking Table'!$BA234,'Performance Curves'!$D$1:$L$1,1))+1,FALSE)),"")</f>
        <v/>
      </c>
      <c r="BC234" s="102" t="str">
        <f>IFERROR(('BMP P Tracking Table'!$BA234-INDEX('Performance Curves'!$D$1:$L$1,1,MATCH('BMP P Tracking Table'!$BA234,'Performance Curves'!$D$1:$L$1,1)))/(INDEX('Performance Curves'!$D$1:$L$1,1,MATCH('BMP P Tracking Table'!$BA234,'Performance Curves'!$D$1:$L$1,1)+1)-INDEX('Performance Curves'!$D$1:$L$1,1,MATCH('BMP P Tracking Table'!$BA234,'Performance Curves'!$D$1:$L$1,1))),"")</f>
        <v/>
      </c>
      <c r="BD234" s="103" t="str" cm="1">
        <f t="array" ref="BD234">IFERROR(IF('BMP P Tracking Table'!$BA234=2,VLOOKUP(CONCATENATE('BMP P Tracking Table'!$AW234," ",'BMP P Tracking Table'!$AY234),'Performance Curves'!$C$1:$L$44,_xlfn.SINGLE(MATCH('BMP P Tracking Table'!$BA234,'Performance Curves'!$D$1:$L$1,1))+1,FALSE),'BMP P Tracking Table'!$BB234*'BMP P Tracking Table'!$BC234+VLOOKUP(CONCATENATE('BMP P Tracking Table'!$AW234," ",'BMP P Tracking Table'!$AY234),'Performance Curves'!$C$1:$L$44,_xlfn.SINGLE(MATCH('BMP P Tracking Table'!$BA234,'Performance Curves'!$D$1:$L$1,1))+1,FALSE)),"")</f>
        <v/>
      </c>
      <c r="BE234" s="104" t="str">
        <f>IFERROR('BMP P Tracking Table'!$BD234*'BMP P Tracking Table'!$AZ234,"")</f>
        <v/>
      </c>
      <c r="BF234" s="98"/>
      <c r="BG234" s="37">
        <f t="shared" si="36"/>
        <v>0</v>
      </c>
    </row>
    <row r="235" spans="2:59" s="36" customFormat="1">
      <c r="B235" s="65"/>
      <c r="C235" s="65"/>
      <c r="D235" s="65"/>
      <c r="E235" s="65"/>
      <c r="F235" s="94"/>
      <c r="G235" s="94"/>
      <c r="H235" s="65"/>
      <c r="I235" s="65"/>
      <c r="J235" s="65"/>
      <c r="K235" s="95"/>
      <c r="L235" s="65"/>
      <c r="M235" s="65"/>
      <c r="N235" s="65"/>
      <c r="O235" s="65"/>
      <c r="P235" s="65"/>
      <c r="Q235" s="65"/>
      <c r="R235" s="65" t="str">
        <f>IFERROR(VLOOKUP('BMP P Tracking Table'!$Q235,Dropdowns!$C$2:$E$15,3,FALSE),"")</f>
        <v/>
      </c>
      <c r="S235" s="65" t="str">
        <f>IFERROR(VLOOKUP('BMP P Tracking Table'!$R235,Dropdowns!$Q$3:$R$23,2,FALSE),"")</f>
        <v/>
      </c>
      <c r="T235" s="65"/>
      <c r="U235" s="65"/>
      <c r="V235" s="65"/>
      <c r="W235" s="65"/>
      <c r="X235" s="65"/>
      <c r="Y235" s="65"/>
      <c r="Z235" s="65"/>
      <c r="AA235" s="65"/>
      <c r="AB235" s="65"/>
      <c r="AC235" s="97"/>
      <c r="AD235" s="65"/>
      <c r="AE235" s="104" t="str">
        <f>IFERROR('BMP P Tracking Table'!$V235*VLOOKUP('BMP P Tracking Table'!$R235,'Loading Rates'!$B$1:$L$24,4,FALSE)+IF('BMP P Tracking Table'!$W235="By HSG",'BMP P Tracking Table'!$X235*VLOOKUP('BMP P Tracking Table'!$R235,'Loading Rates'!$B$1:$L$24,6,FALSE)+'BMP P Tracking Table'!$Y235*VLOOKUP('BMP P Tracking Table'!$R235,'Loading Rates'!$B$1:$L$24,7,FALSE)+'BMP P Tracking Table'!$Z235*VLOOKUP('BMP P Tracking Table'!$R235,'Loading Rates'!$B$1:$L$24,8,FALSE)+'BMP P Tracking Table'!$AA235*VLOOKUP('BMP P Tracking Table'!$R235,'Loading Rates'!$B$1:$L$24,9,FALSE),'BMP P Tracking Table'!$AB235*VLOOKUP('BMP P Tracking Table'!$R235,'Loading Rates'!$B$1:$L$24,10,FALSE)),"")</f>
        <v/>
      </c>
      <c r="AF235" s="104" t="str">
        <f>IFERROR(MIN(2,IF('BMP P Tracking Table'!$W235="Total Pervious",(-(3630*'BMP P Tracking Table'!$V235+20.691*'BMP P Tracking Table'!$AB235)+SQRT((3630*'BMP P Tracking Table'!$V235+20.691*'BMP P Tracking Table'!$AB235)^2-(4*(996.798*'BMP P Tracking Table'!$AB235)*-'BMP P Tracking Table'!$AC235)))/(2*(996.798*'BMP P Tracking Table'!$AB235)),IF(SUM('BMP P Tracking Table'!$X235:$AA235)=0,'BMP P Tracking Table'!$AC235/(-3630*'BMP P Tracking Table'!$V235),(-(3630*'BMP P Tracking Table'!$V235+20.691*'BMP P Tracking Table'!$AA235-216.711*'BMP P Tracking Table'!$Z235-83.853*'BMP P Tracking Table'!$Y235-42.834*'BMP P Tracking Table'!$X235)+SQRT((3630*'BMP P Tracking Table'!$V235+20.691*'BMP P Tracking Table'!$AA235-216.711*'BMP P Tracking Table'!$Z235-83.853*'BMP P Tracking Table'!$Y235-42.834*'BMP P Tracking Table'!$X235)^2-(4*(149.919*'BMP P Tracking Table'!$X235+236.676*'BMP P Tracking Table'!$Y235+726*'BMP P Tracking Table'!$Z235+996.798*'BMP P Tracking Table'!$AA235)*-'BMP P Tracking Table'!$AC235)))/(2*(149.919*'BMP P Tracking Table'!$X235+236.676*'BMP P Tracking Table'!$Y235+726*'BMP P Tracking Table'!$Z235+996.798*'BMP P Tracking Table'!$AA235))))),"")</f>
        <v/>
      </c>
      <c r="AG235" s="104" t="str">
        <f>IFERROR((VLOOKUP(CONCATENATE('BMP P Tracking Table'!$U235," ",'BMP P Tracking Table'!$AD235),'Performance Curves'!$C$1:$L$46,_xlfn.SINGLE(MATCH('BMP P Tracking Table'!$AF235,'Performance Curves'!$D$1:$L$1,1))+2,FALSE)-VLOOKUP(CONCATENATE('BMP P Tracking Table'!$U235," ",'BMP P Tracking Table'!$AD235),'Performance Curves'!$C$1:$L$46,_xlfn.SINGLE(MATCH('BMP P Tracking Table'!$AF235,'Performance Curves'!$D$1:$L$1,1))+1,FALSE)),"")</f>
        <v/>
      </c>
      <c r="AH235" s="104" t="str">
        <f>IFERROR(('BMP P Tracking Table'!$AF235-INDEX('Performance Curves'!$D$1:$L$1,1,MATCH('BMP P Tracking Table'!$AF235,'Performance Curves'!$D$1:$L$1,1)))/(INDEX('Performance Curves'!$D$1:$L$1,1,MATCH('BMP P Tracking Table'!$AF235,'Performance Curves'!$D$1:$L$1,1)+1)-INDEX('Performance Curves'!$D$1:$L$1,1,MATCH('BMP P Tracking Table'!$AF235,'Performance Curves'!$D$1:$L$1,1))),"")</f>
        <v/>
      </c>
      <c r="AI235" s="103" t="str">
        <f>IFERROR(IF('BMP P Tracking Table'!$AF235=2,VLOOKUP(CONCATENATE('BMP P Tracking Table'!$U235," ",'BMP P Tracking Table'!$AD235),'Performance Curves'!$C$1:$L$46,_xlfn.SINGLE(MATCH('BMP P Tracking Table'!$AF235,'Performance Curves'!$D$1:$L$1,1))+1,FALSE),'BMP P Tracking Table'!$AG235*'BMP P Tracking Table'!$AH235+VLOOKUP(CONCATENATE('BMP P Tracking Table'!$U235," ",'BMP P Tracking Table'!$AD235),'Performance Curves'!$C$1:$L$46,_xlfn.SINGLE(MATCH('BMP P Tracking Table'!$AF235,'Performance Curves'!$D$1:$L$1,1))+1,FALSE)),"")</f>
        <v/>
      </c>
      <c r="AJ235" s="104" t="str">
        <f>IFERROR('BMP P Tracking Table'!$AI235*'BMP P Tracking Table'!$AE235,"")</f>
        <v/>
      </c>
      <c r="AK235" s="65"/>
      <c r="AL235" s="98"/>
      <c r="AM235" s="98"/>
      <c r="AN235" s="64">
        <v>1</v>
      </c>
      <c r="AO235" s="102" t="str">
        <f t="shared" si="35"/>
        <v/>
      </c>
      <c r="AP235" s="98"/>
      <c r="AQ235" s="98"/>
      <c r="AR235" s="98"/>
      <c r="AS235" s="98"/>
      <c r="AT235" s="98"/>
      <c r="AU235" s="98"/>
      <c r="AV235" s="98"/>
      <c r="AW235" s="65"/>
      <c r="AX235" s="99"/>
      <c r="AY235" s="99"/>
      <c r="AZ235" s="104" t="str">
        <f>IF('BMP P Tracking Table'!$AL235="Yes",IF('BMP P Tracking Table'!$AM235="No",'BMP P Tracking Table'!$V235*VLOOKUP('BMP P Tracking Table'!$R235,'Loading Rates'!$B$1:$L$24,4,FALSE)+IF('BMP P Tracking Table'!$W235="By HSG",'BMP P Tracking Table'!$X235*VLOOKUP('BMP P Tracking Table'!$R235,'Loading Rates'!$B$1:$L$24,6,FALSE)+'BMP P Tracking Table'!$Y235*VLOOKUP('BMP P Tracking Table'!$R235,'Loading Rates'!$B$1:$L$24,7,FALSE)+'BMP P Tracking Table'!$Z235*VLOOKUP('BMP P Tracking Table'!$R235,'Loading Rates'!$B$1:$L$24,8,FALSE)+'BMP P Tracking Table'!$AA235*VLOOKUP('BMP P Tracking Table'!$R235,'Loading Rates'!$B$1:$L$24,9,FALSE),'BMP P Tracking Table'!$AB235*VLOOKUP('BMP P Tracking Table'!$R235,'Loading Rates'!$B$1:$L$24,10,FALSE)),'BMP P Tracking Table'!$AP235*VLOOKUP('BMP P Tracking Table'!$R235,'Loading Rates'!$B$1:$L$24,4,FALSE)+IF('BMP P Tracking Table'!$AQ235="By HSG",'BMP P Tracking Table'!$AR235*VLOOKUP('BMP P Tracking Table'!$R235,'Loading Rates'!$B$1:$L$24,6,FALSE)+'BMP P Tracking Table'!$AS235*VLOOKUP('BMP P Tracking Table'!$R235,'Loading Rates'!$B$1:$L$24,7,FALSE)+'BMP P Tracking Table'!$AT235*VLOOKUP('BMP P Tracking Table'!$R235,'Loading Rates'!$B$1:$L$24,8,FALSE)+'BMP P Tracking Table'!$AU235*VLOOKUP('BMP P Tracking Table'!$R235,'Loading Rates'!$B$1:$L$24,9,FALSE),'BMP P Tracking Table'!$AV235*VLOOKUP('BMP P Tracking Table'!$R235,'Loading Rates'!$B$1:$L$24,10,FALSE))),"")</f>
        <v/>
      </c>
      <c r="BA235" s="104" t="str">
        <f>IFERROR(IF('BMP P Tracking Table'!$AM235="Yes",MIN(2,IF('BMP P Tracking Table'!$AQ235="Total Pervious",(-(3630*'BMP P Tracking Table'!$AP235+20.691*'BMP P Tracking Table'!$AV235)+SQRT((3630*'BMP P Tracking Table'!$AP235+20.691*'BMP P Tracking Table'!$AV235)^2-(4*(996.798*'BMP P Tracking Table'!$AV235)*-'BMP P Tracking Table'!$AX235)))/(2*(996.798*'BMP P Tracking Table'!$AV235)),IF(SUM('BMP P Tracking Table'!$AR235:$AU235)=0,'BMP P Tracking Table'!$AV235/(-3630*'BMP P Tracking Table'!$AP235),(-(3630*'BMP P Tracking Table'!$AP235+20.691*'BMP P Tracking Table'!$AU235-216.711*'BMP P Tracking Table'!$AT235-83.853*'BMP P Tracking Table'!$AS235-42.834*'BMP P Tracking Table'!$AR235)+SQRT((3630*'BMP P Tracking Table'!$AP235+20.691*'BMP P Tracking Table'!$AU235-216.711*'BMP P Tracking Table'!$AT235-83.853*'BMP P Tracking Table'!$AS235-42.834*'BMP P Tracking Table'!$AR235)^2-(4*(149.919*'BMP P Tracking Table'!$AR235+236.676*'BMP P Tracking Table'!$AS235+726*'BMP P Tracking Table'!$AT235+996.798*'BMP P Tracking Table'!$AU235)*-'BMP P Tracking Table'!$AX235)))/(2*(149.919*'BMP P Tracking Table'!$AR235+236.676*'BMP P Tracking Table'!$AS235+726*'BMP P Tracking Table'!$AT235+996.798*'BMP P Tracking Table'!$AU235))))),MIN(2,IF('BMP P Tracking Table'!$AQ235="Total Pervious",(-(3630*'BMP P Tracking Table'!$V235+20.691*'BMP P Tracking Table'!$AB235)+SQRT((3630*'BMP P Tracking Table'!$V235+20.691*'BMP P Tracking Table'!$AB235)^2-(4*(996.798*'BMP P Tracking Table'!$AB235)*-'BMP P Tracking Table'!$AX235)))/(2*(996.798*'BMP P Tracking Table'!$AB235)),IF(SUM('BMP P Tracking Table'!$X235:$AA235)=0,'BMP P Tracking Table'!$AX235/(-3630*'BMP P Tracking Table'!$V235),(-(3630*'BMP P Tracking Table'!$V235+20.691*'BMP P Tracking Table'!$AA235-216.711*'BMP P Tracking Table'!$Z235-83.853*'BMP P Tracking Table'!$Y235-42.834*'BMP P Tracking Table'!$X235)+SQRT((3630*'BMP P Tracking Table'!$V235+20.691*'BMP P Tracking Table'!$AA235-216.711*'BMP P Tracking Table'!$Z235-83.853*'BMP P Tracking Table'!$Y235-42.834*'BMP P Tracking Table'!$X235)^2-(4*(149.919*'BMP P Tracking Table'!$X235+236.676*'BMP P Tracking Table'!$Y235+726*'BMP P Tracking Table'!$Z235+996.798*'BMP P Tracking Table'!$AA235)*-'BMP P Tracking Table'!$AX235)))/(2*(149.919*'BMP P Tracking Table'!$X235+236.676*'BMP P Tracking Table'!$Y235+726*'BMP P Tracking Table'!$Z235+996.798*'BMP P Tracking Table'!$AA235)))))),"")</f>
        <v/>
      </c>
      <c r="BB235" s="102" t="str">
        <f>IFERROR((VLOOKUP(CONCATENATE('BMP P Tracking Table'!$AW235," ",'BMP P Tracking Table'!$AY235),'Performance Curves'!$C$1:$L$46,_xlfn.SINGLE(MATCH('BMP P Tracking Table'!$BA235,'Performance Curves'!$D$1:$L$1,1))+2,FALSE)-VLOOKUP(CONCATENATE('BMP P Tracking Table'!$AW235," ",'BMP P Tracking Table'!$AY235),'Performance Curves'!$C$1:$L$46,_xlfn.SINGLE(MATCH('BMP P Tracking Table'!$BA235,'Performance Curves'!$D$1:$L$1,1))+1,FALSE)),"")</f>
        <v/>
      </c>
      <c r="BC235" s="102" t="str">
        <f>IFERROR(('BMP P Tracking Table'!$BA235-INDEX('Performance Curves'!$D$1:$L$1,1,MATCH('BMP P Tracking Table'!$BA235,'Performance Curves'!$D$1:$L$1,1)))/(INDEX('Performance Curves'!$D$1:$L$1,1,MATCH('BMP P Tracking Table'!$BA235,'Performance Curves'!$D$1:$L$1,1)+1)-INDEX('Performance Curves'!$D$1:$L$1,1,MATCH('BMP P Tracking Table'!$BA235,'Performance Curves'!$D$1:$L$1,1))),"")</f>
        <v/>
      </c>
      <c r="BD235" s="103" t="str" cm="1">
        <f t="array" ref="BD235">IFERROR(IF('BMP P Tracking Table'!$BA235=2,VLOOKUP(CONCATENATE('BMP P Tracking Table'!$AW235," ",'BMP P Tracking Table'!$AY235),'Performance Curves'!$C$1:$L$44,_xlfn.SINGLE(MATCH('BMP P Tracking Table'!$BA235,'Performance Curves'!$D$1:$L$1,1))+1,FALSE),'BMP P Tracking Table'!$BB235*'BMP P Tracking Table'!$BC235+VLOOKUP(CONCATENATE('BMP P Tracking Table'!$AW235," ",'BMP P Tracking Table'!$AY235),'Performance Curves'!$C$1:$L$44,_xlfn.SINGLE(MATCH('BMP P Tracking Table'!$BA235,'Performance Curves'!$D$1:$L$1,1))+1,FALSE)),"")</f>
        <v/>
      </c>
      <c r="BE235" s="104" t="str">
        <f>IFERROR('BMP P Tracking Table'!$BD235*'BMP P Tracking Table'!$AZ235,"")</f>
        <v/>
      </c>
      <c r="BF235" s="98"/>
      <c r="BG235" s="37">
        <f t="shared" si="36"/>
        <v>0</v>
      </c>
    </row>
    <row r="236" spans="2:59" s="36" customFormat="1">
      <c r="B236" s="65"/>
      <c r="C236" s="65"/>
      <c r="D236" s="65"/>
      <c r="E236" s="65"/>
      <c r="F236" s="94"/>
      <c r="G236" s="94"/>
      <c r="H236" s="65"/>
      <c r="I236" s="65"/>
      <c r="J236" s="65"/>
      <c r="K236" s="95"/>
      <c r="L236" s="65"/>
      <c r="M236" s="65"/>
      <c r="N236" s="65"/>
      <c r="O236" s="65"/>
      <c r="P236" s="65"/>
      <c r="Q236" s="65"/>
      <c r="R236" s="65" t="str">
        <f>IFERROR(VLOOKUP('BMP P Tracking Table'!$Q236,Dropdowns!$C$2:$E$15,3,FALSE),"")</f>
        <v/>
      </c>
      <c r="S236" s="65" t="str">
        <f>IFERROR(VLOOKUP('BMP P Tracking Table'!$R236,Dropdowns!$Q$3:$R$23,2,FALSE),"")</f>
        <v/>
      </c>
      <c r="T236" s="65"/>
      <c r="U236" s="65"/>
      <c r="V236" s="65"/>
      <c r="W236" s="65"/>
      <c r="X236" s="65"/>
      <c r="Y236" s="65"/>
      <c r="Z236" s="65"/>
      <c r="AA236" s="65"/>
      <c r="AB236" s="65"/>
      <c r="AC236" s="97"/>
      <c r="AD236" s="65"/>
      <c r="AE236" s="104" t="str">
        <f>IFERROR('BMP P Tracking Table'!$V236*VLOOKUP('BMP P Tracking Table'!$R236,'Loading Rates'!$B$1:$L$24,4,FALSE)+IF('BMP P Tracking Table'!$W236="By HSG",'BMP P Tracking Table'!$X236*VLOOKUP('BMP P Tracking Table'!$R236,'Loading Rates'!$B$1:$L$24,6,FALSE)+'BMP P Tracking Table'!$Y236*VLOOKUP('BMP P Tracking Table'!$R236,'Loading Rates'!$B$1:$L$24,7,FALSE)+'BMP P Tracking Table'!$Z236*VLOOKUP('BMP P Tracking Table'!$R236,'Loading Rates'!$B$1:$L$24,8,FALSE)+'BMP P Tracking Table'!$AA236*VLOOKUP('BMP P Tracking Table'!$R236,'Loading Rates'!$B$1:$L$24,9,FALSE),'BMP P Tracking Table'!$AB236*VLOOKUP('BMP P Tracking Table'!$R236,'Loading Rates'!$B$1:$L$24,10,FALSE)),"")</f>
        <v/>
      </c>
      <c r="AF236" s="104" t="str">
        <f>IFERROR(MIN(2,IF('BMP P Tracking Table'!$W236="Total Pervious",(-(3630*'BMP P Tracking Table'!$V236+20.691*'BMP P Tracking Table'!$AB236)+SQRT((3630*'BMP P Tracking Table'!$V236+20.691*'BMP P Tracking Table'!$AB236)^2-(4*(996.798*'BMP P Tracking Table'!$AB236)*-'BMP P Tracking Table'!$AC236)))/(2*(996.798*'BMP P Tracking Table'!$AB236)),IF(SUM('BMP P Tracking Table'!$X236:$AA236)=0,'BMP P Tracking Table'!$AC236/(-3630*'BMP P Tracking Table'!$V236),(-(3630*'BMP P Tracking Table'!$V236+20.691*'BMP P Tracking Table'!$AA236-216.711*'BMP P Tracking Table'!$Z236-83.853*'BMP P Tracking Table'!$Y236-42.834*'BMP P Tracking Table'!$X236)+SQRT((3630*'BMP P Tracking Table'!$V236+20.691*'BMP P Tracking Table'!$AA236-216.711*'BMP P Tracking Table'!$Z236-83.853*'BMP P Tracking Table'!$Y236-42.834*'BMP P Tracking Table'!$X236)^2-(4*(149.919*'BMP P Tracking Table'!$X236+236.676*'BMP P Tracking Table'!$Y236+726*'BMP P Tracking Table'!$Z236+996.798*'BMP P Tracking Table'!$AA236)*-'BMP P Tracking Table'!$AC236)))/(2*(149.919*'BMP P Tracking Table'!$X236+236.676*'BMP P Tracking Table'!$Y236+726*'BMP P Tracking Table'!$Z236+996.798*'BMP P Tracking Table'!$AA236))))),"")</f>
        <v/>
      </c>
      <c r="AG236" s="104" t="str">
        <f>IFERROR((VLOOKUP(CONCATENATE('BMP P Tracking Table'!$U236," ",'BMP P Tracking Table'!$AD236),'Performance Curves'!$C$1:$L$46,_xlfn.SINGLE(MATCH('BMP P Tracking Table'!$AF236,'Performance Curves'!$D$1:$L$1,1))+2,FALSE)-VLOOKUP(CONCATENATE('BMP P Tracking Table'!$U236," ",'BMP P Tracking Table'!$AD236),'Performance Curves'!$C$1:$L$46,_xlfn.SINGLE(MATCH('BMP P Tracking Table'!$AF236,'Performance Curves'!$D$1:$L$1,1))+1,FALSE)),"")</f>
        <v/>
      </c>
      <c r="AH236" s="104" t="str">
        <f>IFERROR(('BMP P Tracking Table'!$AF236-INDEX('Performance Curves'!$D$1:$L$1,1,MATCH('BMP P Tracking Table'!$AF236,'Performance Curves'!$D$1:$L$1,1)))/(INDEX('Performance Curves'!$D$1:$L$1,1,MATCH('BMP P Tracking Table'!$AF236,'Performance Curves'!$D$1:$L$1,1)+1)-INDEX('Performance Curves'!$D$1:$L$1,1,MATCH('BMP P Tracking Table'!$AF236,'Performance Curves'!$D$1:$L$1,1))),"")</f>
        <v/>
      </c>
      <c r="AI236" s="103" t="str">
        <f>IFERROR(IF('BMP P Tracking Table'!$AF236=2,VLOOKUP(CONCATENATE('BMP P Tracking Table'!$U236," ",'BMP P Tracking Table'!$AD236),'Performance Curves'!$C$1:$L$46,_xlfn.SINGLE(MATCH('BMP P Tracking Table'!$AF236,'Performance Curves'!$D$1:$L$1,1))+1,FALSE),'BMP P Tracking Table'!$AG236*'BMP P Tracking Table'!$AH236+VLOOKUP(CONCATENATE('BMP P Tracking Table'!$U236," ",'BMP P Tracking Table'!$AD236),'Performance Curves'!$C$1:$L$46,_xlfn.SINGLE(MATCH('BMP P Tracking Table'!$AF236,'Performance Curves'!$D$1:$L$1,1))+1,FALSE)),"")</f>
        <v/>
      </c>
      <c r="AJ236" s="104" t="str">
        <f>IFERROR('BMP P Tracking Table'!$AI236*'BMP P Tracking Table'!$AE236,"")</f>
        <v/>
      </c>
      <c r="AK236" s="65"/>
      <c r="AL236" s="98"/>
      <c r="AM236" s="98"/>
      <c r="AN236" s="64">
        <v>1</v>
      </c>
      <c r="AO236" s="102" t="str">
        <f t="shared" si="35"/>
        <v/>
      </c>
      <c r="AP236" s="98"/>
      <c r="AQ236" s="98"/>
      <c r="AR236" s="98"/>
      <c r="AS236" s="98"/>
      <c r="AT236" s="98"/>
      <c r="AU236" s="98"/>
      <c r="AV236" s="98"/>
      <c r="AW236" s="65"/>
      <c r="AX236" s="99"/>
      <c r="AY236" s="99"/>
      <c r="AZ236" s="104" t="str">
        <f>IF('BMP P Tracking Table'!$AL236="Yes",IF('BMP P Tracking Table'!$AM236="No",'BMP P Tracking Table'!$V236*VLOOKUP('BMP P Tracking Table'!$R236,'Loading Rates'!$B$1:$L$24,4,FALSE)+IF('BMP P Tracking Table'!$W236="By HSG",'BMP P Tracking Table'!$X236*VLOOKUP('BMP P Tracking Table'!$R236,'Loading Rates'!$B$1:$L$24,6,FALSE)+'BMP P Tracking Table'!$Y236*VLOOKUP('BMP P Tracking Table'!$R236,'Loading Rates'!$B$1:$L$24,7,FALSE)+'BMP P Tracking Table'!$Z236*VLOOKUP('BMP P Tracking Table'!$R236,'Loading Rates'!$B$1:$L$24,8,FALSE)+'BMP P Tracking Table'!$AA236*VLOOKUP('BMP P Tracking Table'!$R236,'Loading Rates'!$B$1:$L$24,9,FALSE),'BMP P Tracking Table'!$AB236*VLOOKUP('BMP P Tracking Table'!$R236,'Loading Rates'!$B$1:$L$24,10,FALSE)),'BMP P Tracking Table'!$AP236*VLOOKUP('BMP P Tracking Table'!$R236,'Loading Rates'!$B$1:$L$24,4,FALSE)+IF('BMP P Tracking Table'!$AQ236="By HSG",'BMP P Tracking Table'!$AR236*VLOOKUP('BMP P Tracking Table'!$R236,'Loading Rates'!$B$1:$L$24,6,FALSE)+'BMP P Tracking Table'!$AS236*VLOOKUP('BMP P Tracking Table'!$R236,'Loading Rates'!$B$1:$L$24,7,FALSE)+'BMP P Tracking Table'!$AT236*VLOOKUP('BMP P Tracking Table'!$R236,'Loading Rates'!$B$1:$L$24,8,FALSE)+'BMP P Tracking Table'!$AU236*VLOOKUP('BMP P Tracking Table'!$R236,'Loading Rates'!$B$1:$L$24,9,FALSE),'BMP P Tracking Table'!$AV236*VLOOKUP('BMP P Tracking Table'!$R236,'Loading Rates'!$B$1:$L$24,10,FALSE))),"")</f>
        <v/>
      </c>
      <c r="BA236" s="104" t="str">
        <f>IFERROR(IF('BMP P Tracking Table'!$AM236="Yes",MIN(2,IF('BMP P Tracking Table'!$AQ236="Total Pervious",(-(3630*'BMP P Tracking Table'!$AP236+20.691*'BMP P Tracking Table'!$AV236)+SQRT((3630*'BMP P Tracking Table'!$AP236+20.691*'BMP P Tracking Table'!$AV236)^2-(4*(996.798*'BMP P Tracking Table'!$AV236)*-'BMP P Tracking Table'!$AX236)))/(2*(996.798*'BMP P Tracking Table'!$AV236)),IF(SUM('BMP P Tracking Table'!$AR236:$AU236)=0,'BMP P Tracking Table'!$AV236/(-3630*'BMP P Tracking Table'!$AP236),(-(3630*'BMP P Tracking Table'!$AP236+20.691*'BMP P Tracking Table'!$AU236-216.711*'BMP P Tracking Table'!$AT236-83.853*'BMP P Tracking Table'!$AS236-42.834*'BMP P Tracking Table'!$AR236)+SQRT((3630*'BMP P Tracking Table'!$AP236+20.691*'BMP P Tracking Table'!$AU236-216.711*'BMP P Tracking Table'!$AT236-83.853*'BMP P Tracking Table'!$AS236-42.834*'BMP P Tracking Table'!$AR236)^2-(4*(149.919*'BMP P Tracking Table'!$AR236+236.676*'BMP P Tracking Table'!$AS236+726*'BMP P Tracking Table'!$AT236+996.798*'BMP P Tracking Table'!$AU236)*-'BMP P Tracking Table'!$AX236)))/(2*(149.919*'BMP P Tracking Table'!$AR236+236.676*'BMP P Tracking Table'!$AS236+726*'BMP P Tracking Table'!$AT236+996.798*'BMP P Tracking Table'!$AU236))))),MIN(2,IF('BMP P Tracking Table'!$AQ236="Total Pervious",(-(3630*'BMP P Tracking Table'!$V236+20.691*'BMP P Tracking Table'!$AB236)+SQRT((3630*'BMP P Tracking Table'!$V236+20.691*'BMP P Tracking Table'!$AB236)^2-(4*(996.798*'BMP P Tracking Table'!$AB236)*-'BMP P Tracking Table'!$AX236)))/(2*(996.798*'BMP P Tracking Table'!$AB236)),IF(SUM('BMP P Tracking Table'!$X236:$AA236)=0,'BMP P Tracking Table'!$AX236/(-3630*'BMP P Tracking Table'!$V236),(-(3630*'BMP P Tracking Table'!$V236+20.691*'BMP P Tracking Table'!$AA236-216.711*'BMP P Tracking Table'!$Z236-83.853*'BMP P Tracking Table'!$Y236-42.834*'BMP P Tracking Table'!$X236)+SQRT((3630*'BMP P Tracking Table'!$V236+20.691*'BMP P Tracking Table'!$AA236-216.711*'BMP P Tracking Table'!$Z236-83.853*'BMP P Tracking Table'!$Y236-42.834*'BMP P Tracking Table'!$X236)^2-(4*(149.919*'BMP P Tracking Table'!$X236+236.676*'BMP P Tracking Table'!$Y236+726*'BMP P Tracking Table'!$Z236+996.798*'BMP P Tracking Table'!$AA236)*-'BMP P Tracking Table'!$AX236)))/(2*(149.919*'BMP P Tracking Table'!$X236+236.676*'BMP P Tracking Table'!$Y236+726*'BMP P Tracking Table'!$Z236+996.798*'BMP P Tracking Table'!$AA236)))))),"")</f>
        <v/>
      </c>
      <c r="BB236" s="102" t="str">
        <f>IFERROR((VLOOKUP(CONCATENATE('BMP P Tracking Table'!$AW236," ",'BMP P Tracking Table'!$AY236),'Performance Curves'!$C$1:$L$46,_xlfn.SINGLE(MATCH('BMP P Tracking Table'!$BA236,'Performance Curves'!$D$1:$L$1,1))+2,FALSE)-VLOOKUP(CONCATENATE('BMP P Tracking Table'!$AW236," ",'BMP P Tracking Table'!$AY236),'Performance Curves'!$C$1:$L$46,_xlfn.SINGLE(MATCH('BMP P Tracking Table'!$BA236,'Performance Curves'!$D$1:$L$1,1))+1,FALSE)),"")</f>
        <v/>
      </c>
      <c r="BC236" s="102" t="str">
        <f>IFERROR(('BMP P Tracking Table'!$BA236-INDEX('Performance Curves'!$D$1:$L$1,1,MATCH('BMP P Tracking Table'!$BA236,'Performance Curves'!$D$1:$L$1,1)))/(INDEX('Performance Curves'!$D$1:$L$1,1,MATCH('BMP P Tracking Table'!$BA236,'Performance Curves'!$D$1:$L$1,1)+1)-INDEX('Performance Curves'!$D$1:$L$1,1,MATCH('BMP P Tracking Table'!$BA236,'Performance Curves'!$D$1:$L$1,1))),"")</f>
        <v/>
      </c>
      <c r="BD236" s="103" t="str" cm="1">
        <f t="array" ref="BD236">IFERROR(IF('BMP P Tracking Table'!$BA236=2,VLOOKUP(CONCATENATE('BMP P Tracking Table'!$AW236," ",'BMP P Tracking Table'!$AY236),'Performance Curves'!$C$1:$L$44,_xlfn.SINGLE(MATCH('BMP P Tracking Table'!$BA236,'Performance Curves'!$D$1:$L$1,1))+1,FALSE),'BMP P Tracking Table'!$BB236*'BMP P Tracking Table'!$BC236+VLOOKUP(CONCATENATE('BMP P Tracking Table'!$AW236," ",'BMP P Tracking Table'!$AY236),'Performance Curves'!$C$1:$L$44,_xlfn.SINGLE(MATCH('BMP P Tracking Table'!$BA236,'Performance Curves'!$D$1:$L$1,1))+1,FALSE)),"")</f>
        <v/>
      </c>
      <c r="BE236" s="104" t="str">
        <f>IFERROR('BMP P Tracking Table'!$BD236*'BMP P Tracking Table'!$AZ236,"")</f>
        <v/>
      </c>
      <c r="BF236" s="98"/>
      <c r="BG236" s="37">
        <f t="shared" si="36"/>
        <v>0</v>
      </c>
    </row>
    <row r="237" spans="2:59" s="36" customFormat="1">
      <c r="B237" s="65"/>
      <c r="C237" s="65"/>
      <c r="D237" s="65"/>
      <c r="E237" s="65"/>
      <c r="F237" s="94"/>
      <c r="G237" s="94"/>
      <c r="H237" s="65"/>
      <c r="I237" s="65"/>
      <c r="J237" s="65"/>
      <c r="K237" s="95"/>
      <c r="L237" s="65"/>
      <c r="M237" s="65"/>
      <c r="N237" s="65"/>
      <c r="O237" s="65"/>
      <c r="P237" s="65"/>
      <c r="Q237" s="65"/>
      <c r="R237" s="65" t="str">
        <f>IFERROR(VLOOKUP('BMP P Tracking Table'!$Q237,Dropdowns!$C$2:$E$15,3,FALSE),"")</f>
        <v/>
      </c>
      <c r="S237" s="65" t="str">
        <f>IFERROR(VLOOKUP('BMP P Tracking Table'!$R237,Dropdowns!$Q$3:$R$23,2,FALSE),"")</f>
        <v/>
      </c>
      <c r="T237" s="65"/>
      <c r="U237" s="65"/>
      <c r="V237" s="65"/>
      <c r="W237" s="65"/>
      <c r="X237" s="65"/>
      <c r="Y237" s="65"/>
      <c r="Z237" s="65"/>
      <c r="AA237" s="65"/>
      <c r="AB237" s="65"/>
      <c r="AC237" s="97"/>
      <c r="AD237" s="65"/>
      <c r="AE237" s="104" t="str">
        <f>IFERROR('BMP P Tracking Table'!$V237*VLOOKUP('BMP P Tracking Table'!$R237,'Loading Rates'!$B$1:$L$24,4,FALSE)+IF('BMP P Tracking Table'!$W237="By HSG",'BMP P Tracking Table'!$X237*VLOOKUP('BMP P Tracking Table'!$R237,'Loading Rates'!$B$1:$L$24,6,FALSE)+'BMP P Tracking Table'!$Y237*VLOOKUP('BMP P Tracking Table'!$R237,'Loading Rates'!$B$1:$L$24,7,FALSE)+'BMP P Tracking Table'!$Z237*VLOOKUP('BMP P Tracking Table'!$R237,'Loading Rates'!$B$1:$L$24,8,FALSE)+'BMP P Tracking Table'!$AA237*VLOOKUP('BMP P Tracking Table'!$R237,'Loading Rates'!$B$1:$L$24,9,FALSE),'BMP P Tracking Table'!$AB237*VLOOKUP('BMP P Tracking Table'!$R237,'Loading Rates'!$B$1:$L$24,10,FALSE)),"")</f>
        <v/>
      </c>
      <c r="AF237" s="104" t="str">
        <f>IFERROR(MIN(2,IF('BMP P Tracking Table'!$W237="Total Pervious",(-(3630*'BMP P Tracking Table'!$V237+20.691*'BMP P Tracking Table'!$AB237)+SQRT((3630*'BMP P Tracking Table'!$V237+20.691*'BMP P Tracking Table'!$AB237)^2-(4*(996.798*'BMP P Tracking Table'!$AB237)*-'BMP P Tracking Table'!$AC237)))/(2*(996.798*'BMP P Tracking Table'!$AB237)),IF(SUM('BMP P Tracking Table'!$X237:$AA237)=0,'BMP P Tracking Table'!$AC237/(-3630*'BMP P Tracking Table'!$V237),(-(3630*'BMP P Tracking Table'!$V237+20.691*'BMP P Tracking Table'!$AA237-216.711*'BMP P Tracking Table'!$Z237-83.853*'BMP P Tracking Table'!$Y237-42.834*'BMP P Tracking Table'!$X237)+SQRT((3630*'BMP P Tracking Table'!$V237+20.691*'BMP P Tracking Table'!$AA237-216.711*'BMP P Tracking Table'!$Z237-83.853*'BMP P Tracking Table'!$Y237-42.834*'BMP P Tracking Table'!$X237)^2-(4*(149.919*'BMP P Tracking Table'!$X237+236.676*'BMP P Tracking Table'!$Y237+726*'BMP P Tracking Table'!$Z237+996.798*'BMP P Tracking Table'!$AA237)*-'BMP P Tracking Table'!$AC237)))/(2*(149.919*'BMP P Tracking Table'!$X237+236.676*'BMP P Tracking Table'!$Y237+726*'BMP P Tracking Table'!$Z237+996.798*'BMP P Tracking Table'!$AA237))))),"")</f>
        <v/>
      </c>
      <c r="AG237" s="104" t="str">
        <f>IFERROR((VLOOKUP(CONCATENATE('BMP P Tracking Table'!$U237," ",'BMP P Tracking Table'!$AD237),'Performance Curves'!$C$1:$L$46,_xlfn.SINGLE(MATCH('BMP P Tracking Table'!$AF237,'Performance Curves'!$D$1:$L$1,1))+2,FALSE)-VLOOKUP(CONCATENATE('BMP P Tracking Table'!$U237," ",'BMP P Tracking Table'!$AD237),'Performance Curves'!$C$1:$L$46,_xlfn.SINGLE(MATCH('BMP P Tracking Table'!$AF237,'Performance Curves'!$D$1:$L$1,1))+1,FALSE)),"")</f>
        <v/>
      </c>
      <c r="AH237" s="104" t="str">
        <f>IFERROR(('BMP P Tracking Table'!$AF237-INDEX('Performance Curves'!$D$1:$L$1,1,MATCH('BMP P Tracking Table'!$AF237,'Performance Curves'!$D$1:$L$1,1)))/(INDEX('Performance Curves'!$D$1:$L$1,1,MATCH('BMP P Tracking Table'!$AF237,'Performance Curves'!$D$1:$L$1,1)+1)-INDEX('Performance Curves'!$D$1:$L$1,1,MATCH('BMP P Tracking Table'!$AF237,'Performance Curves'!$D$1:$L$1,1))),"")</f>
        <v/>
      </c>
      <c r="AI237" s="103" t="str">
        <f>IFERROR(IF('BMP P Tracking Table'!$AF237=2,VLOOKUP(CONCATENATE('BMP P Tracking Table'!$U237," ",'BMP P Tracking Table'!$AD237),'Performance Curves'!$C$1:$L$46,_xlfn.SINGLE(MATCH('BMP P Tracking Table'!$AF237,'Performance Curves'!$D$1:$L$1,1))+1,FALSE),'BMP P Tracking Table'!$AG237*'BMP P Tracking Table'!$AH237+VLOOKUP(CONCATENATE('BMP P Tracking Table'!$U237," ",'BMP P Tracking Table'!$AD237),'Performance Curves'!$C$1:$L$46,_xlfn.SINGLE(MATCH('BMP P Tracking Table'!$AF237,'Performance Curves'!$D$1:$L$1,1))+1,FALSE)),"")</f>
        <v/>
      </c>
      <c r="AJ237" s="104" t="str">
        <f>IFERROR('BMP P Tracking Table'!$AI237*'BMP P Tracking Table'!$AE237,"")</f>
        <v/>
      </c>
      <c r="AK237" s="65"/>
      <c r="AL237" s="98"/>
      <c r="AM237" s="98"/>
      <c r="AN237" s="64">
        <v>1</v>
      </c>
      <c r="AO237" s="102" t="str">
        <f t="shared" si="35"/>
        <v/>
      </c>
      <c r="AP237" s="98"/>
      <c r="AQ237" s="98"/>
      <c r="AR237" s="98"/>
      <c r="AS237" s="98"/>
      <c r="AT237" s="98"/>
      <c r="AU237" s="98"/>
      <c r="AV237" s="98"/>
      <c r="AW237" s="65"/>
      <c r="AX237" s="99"/>
      <c r="AY237" s="99"/>
      <c r="AZ237" s="104" t="str">
        <f>IF('BMP P Tracking Table'!$AL237="Yes",IF('BMP P Tracking Table'!$AM237="No",'BMP P Tracking Table'!$V237*VLOOKUP('BMP P Tracking Table'!$R237,'Loading Rates'!$B$1:$L$24,4,FALSE)+IF('BMP P Tracking Table'!$W237="By HSG",'BMP P Tracking Table'!$X237*VLOOKUP('BMP P Tracking Table'!$R237,'Loading Rates'!$B$1:$L$24,6,FALSE)+'BMP P Tracking Table'!$Y237*VLOOKUP('BMP P Tracking Table'!$R237,'Loading Rates'!$B$1:$L$24,7,FALSE)+'BMP P Tracking Table'!$Z237*VLOOKUP('BMP P Tracking Table'!$R237,'Loading Rates'!$B$1:$L$24,8,FALSE)+'BMP P Tracking Table'!$AA237*VLOOKUP('BMP P Tracking Table'!$R237,'Loading Rates'!$B$1:$L$24,9,FALSE),'BMP P Tracking Table'!$AB237*VLOOKUP('BMP P Tracking Table'!$R237,'Loading Rates'!$B$1:$L$24,10,FALSE)),'BMP P Tracking Table'!$AP237*VLOOKUP('BMP P Tracking Table'!$R237,'Loading Rates'!$B$1:$L$24,4,FALSE)+IF('BMP P Tracking Table'!$AQ237="By HSG",'BMP P Tracking Table'!$AR237*VLOOKUP('BMP P Tracking Table'!$R237,'Loading Rates'!$B$1:$L$24,6,FALSE)+'BMP P Tracking Table'!$AS237*VLOOKUP('BMP P Tracking Table'!$R237,'Loading Rates'!$B$1:$L$24,7,FALSE)+'BMP P Tracking Table'!$AT237*VLOOKUP('BMP P Tracking Table'!$R237,'Loading Rates'!$B$1:$L$24,8,FALSE)+'BMP P Tracking Table'!$AU237*VLOOKUP('BMP P Tracking Table'!$R237,'Loading Rates'!$B$1:$L$24,9,FALSE),'BMP P Tracking Table'!$AV237*VLOOKUP('BMP P Tracking Table'!$R237,'Loading Rates'!$B$1:$L$24,10,FALSE))),"")</f>
        <v/>
      </c>
      <c r="BA237" s="104" t="str">
        <f>IFERROR(IF('BMP P Tracking Table'!$AM237="Yes",MIN(2,IF('BMP P Tracking Table'!$AQ237="Total Pervious",(-(3630*'BMP P Tracking Table'!$AP237+20.691*'BMP P Tracking Table'!$AV237)+SQRT((3630*'BMP P Tracking Table'!$AP237+20.691*'BMP P Tracking Table'!$AV237)^2-(4*(996.798*'BMP P Tracking Table'!$AV237)*-'BMP P Tracking Table'!$AX237)))/(2*(996.798*'BMP P Tracking Table'!$AV237)),IF(SUM('BMP P Tracking Table'!$AR237:$AU237)=0,'BMP P Tracking Table'!$AV237/(-3630*'BMP P Tracking Table'!$AP237),(-(3630*'BMP P Tracking Table'!$AP237+20.691*'BMP P Tracking Table'!$AU237-216.711*'BMP P Tracking Table'!$AT237-83.853*'BMP P Tracking Table'!$AS237-42.834*'BMP P Tracking Table'!$AR237)+SQRT((3630*'BMP P Tracking Table'!$AP237+20.691*'BMP P Tracking Table'!$AU237-216.711*'BMP P Tracking Table'!$AT237-83.853*'BMP P Tracking Table'!$AS237-42.834*'BMP P Tracking Table'!$AR237)^2-(4*(149.919*'BMP P Tracking Table'!$AR237+236.676*'BMP P Tracking Table'!$AS237+726*'BMP P Tracking Table'!$AT237+996.798*'BMP P Tracking Table'!$AU237)*-'BMP P Tracking Table'!$AX237)))/(2*(149.919*'BMP P Tracking Table'!$AR237+236.676*'BMP P Tracking Table'!$AS237+726*'BMP P Tracking Table'!$AT237+996.798*'BMP P Tracking Table'!$AU237))))),MIN(2,IF('BMP P Tracking Table'!$AQ237="Total Pervious",(-(3630*'BMP P Tracking Table'!$V237+20.691*'BMP P Tracking Table'!$AB237)+SQRT((3630*'BMP P Tracking Table'!$V237+20.691*'BMP P Tracking Table'!$AB237)^2-(4*(996.798*'BMP P Tracking Table'!$AB237)*-'BMP P Tracking Table'!$AX237)))/(2*(996.798*'BMP P Tracking Table'!$AB237)),IF(SUM('BMP P Tracking Table'!$X237:$AA237)=0,'BMP P Tracking Table'!$AX237/(-3630*'BMP P Tracking Table'!$V237),(-(3630*'BMP P Tracking Table'!$V237+20.691*'BMP P Tracking Table'!$AA237-216.711*'BMP P Tracking Table'!$Z237-83.853*'BMP P Tracking Table'!$Y237-42.834*'BMP P Tracking Table'!$X237)+SQRT((3630*'BMP P Tracking Table'!$V237+20.691*'BMP P Tracking Table'!$AA237-216.711*'BMP P Tracking Table'!$Z237-83.853*'BMP P Tracking Table'!$Y237-42.834*'BMP P Tracking Table'!$X237)^2-(4*(149.919*'BMP P Tracking Table'!$X237+236.676*'BMP P Tracking Table'!$Y237+726*'BMP P Tracking Table'!$Z237+996.798*'BMP P Tracking Table'!$AA237)*-'BMP P Tracking Table'!$AX237)))/(2*(149.919*'BMP P Tracking Table'!$X237+236.676*'BMP P Tracking Table'!$Y237+726*'BMP P Tracking Table'!$Z237+996.798*'BMP P Tracking Table'!$AA237)))))),"")</f>
        <v/>
      </c>
      <c r="BB237" s="102" t="str">
        <f>IFERROR((VLOOKUP(CONCATENATE('BMP P Tracking Table'!$AW237," ",'BMP P Tracking Table'!$AY237),'Performance Curves'!$C$1:$L$46,_xlfn.SINGLE(MATCH('BMP P Tracking Table'!$BA237,'Performance Curves'!$D$1:$L$1,1))+2,FALSE)-VLOOKUP(CONCATENATE('BMP P Tracking Table'!$AW237," ",'BMP P Tracking Table'!$AY237),'Performance Curves'!$C$1:$L$46,_xlfn.SINGLE(MATCH('BMP P Tracking Table'!$BA237,'Performance Curves'!$D$1:$L$1,1))+1,FALSE)),"")</f>
        <v/>
      </c>
      <c r="BC237" s="102" t="str">
        <f>IFERROR(('BMP P Tracking Table'!$BA237-INDEX('Performance Curves'!$D$1:$L$1,1,MATCH('BMP P Tracking Table'!$BA237,'Performance Curves'!$D$1:$L$1,1)))/(INDEX('Performance Curves'!$D$1:$L$1,1,MATCH('BMP P Tracking Table'!$BA237,'Performance Curves'!$D$1:$L$1,1)+1)-INDEX('Performance Curves'!$D$1:$L$1,1,MATCH('BMP P Tracking Table'!$BA237,'Performance Curves'!$D$1:$L$1,1))),"")</f>
        <v/>
      </c>
      <c r="BD237" s="103" t="str" cm="1">
        <f t="array" ref="BD237">IFERROR(IF('BMP P Tracking Table'!$BA237=2,VLOOKUP(CONCATENATE('BMP P Tracking Table'!$AW237," ",'BMP P Tracking Table'!$AY237),'Performance Curves'!$C$1:$L$44,_xlfn.SINGLE(MATCH('BMP P Tracking Table'!$BA237,'Performance Curves'!$D$1:$L$1,1))+1,FALSE),'BMP P Tracking Table'!$BB237*'BMP P Tracking Table'!$BC237+VLOOKUP(CONCATENATE('BMP P Tracking Table'!$AW237," ",'BMP P Tracking Table'!$AY237),'Performance Curves'!$C$1:$L$44,_xlfn.SINGLE(MATCH('BMP P Tracking Table'!$BA237,'Performance Curves'!$D$1:$L$1,1))+1,FALSE)),"")</f>
        <v/>
      </c>
      <c r="BE237" s="104" t="str">
        <f>IFERROR('BMP P Tracking Table'!$BD237*'BMP P Tracking Table'!$AZ237,"")</f>
        <v/>
      </c>
      <c r="BF237" s="98"/>
      <c r="BG237" s="37">
        <f t="shared" si="36"/>
        <v>0</v>
      </c>
    </row>
    <row r="238" spans="2:59" s="36" customFormat="1">
      <c r="B238" s="65"/>
      <c r="C238" s="65"/>
      <c r="D238" s="65"/>
      <c r="E238" s="65"/>
      <c r="F238" s="94"/>
      <c r="G238" s="94"/>
      <c r="H238" s="65"/>
      <c r="I238" s="65"/>
      <c r="J238" s="65"/>
      <c r="K238" s="95"/>
      <c r="L238" s="65"/>
      <c r="M238" s="65"/>
      <c r="N238" s="65"/>
      <c r="O238" s="65"/>
      <c r="P238" s="65"/>
      <c r="Q238" s="65"/>
      <c r="R238" s="65" t="str">
        <f>IFERROR(VLOOKUP('BMP P Tracking Table'!$Q238,Dropdowns!$C$2:$E$15,3,FALSE),"")</f>
        <v/>
      </c>
      <c r="S238" s="65" t="str">
        <f>IFERROR(VLOOKUP('BMP P Tracking Table'!$R238,Dropdowns!$Q$3:$R$23,2,FALSE),"")</f>
        <v/>
      </c>
      <c r="T238" s="65"/>
      <c r="U238" s="65"/>
      <c r="V238" s="65"/>
      <c r="W238" s="65"/>
      <c r="X238" s="65"/>
      <c r="Y238" s="65"/>
      <c r="Z238" s="65"/>
      <c r="AA238" s="65"/>
      <c r="AB238" s="65"/>
      <c r="AC238" s="97"/>
      <c r="AD238" s="65"/>
      <c r="AE238" s="104" t="str">
        <f>IFERROR('BMP P Tracking Table'!$V238*VLOOKUP('BMP P Tracking Table'!$R238,'Loading Rates'!$B$1:$L$24,4,FALSE)+IF('BMP P Tracking Table'!$W238="By HSG",'BMP P Tracking Table'!$X238*VLOOKUP('BMP P Tracking Table'!$R238,'Loading Rates'!$B$1:$L$24,6,FALSE)+'BMP P Tracking Table'!$Y238*VLOOKUP('BMP P Tracking Table'!$R238,'Loading Rates'!$B$1:$L$24,7,FALSE)+'BMP P Tracking Table'!$Z238*VLOOKUP('BMP P Tracking Table'!$R238,'Loading Rates'!$B$1:$L$24,8,FALSE)+'BMP P Tracking Table'!$AA238*VLOOKUP('BMP P Tracking Table'!$R238,'Loading Rates'!$B$1:$L$24,9,FALSE),'BMP P Tracking Table'!$AB238*VLOOKUP('BMP P Tracking Table'!$R238,'Loading Rates'!$B$1:$L$24,10,FALSE)),"")</f>
        <v/>
      </c>
      <c r="AF238" s="104" t="str">
        <f>IFERROR(MIN(2,IF('BMP P Tracking Table'!$W238="Total Pervious",(-(3630*'BMP P Tracking Table'!$V238+20.691*'BMP P Tracking Table'!$AB238)+SQRT((3630*'BMP P Tracking Table'!$V238+20.691*'BMP P Tracking Table'!$AB238)^2-(4*(996.798*'BMP P Tracking Table'!$AB238)*-'BMP P Tracking Table'!$AC238)))/(2*(996.798*'BMP P Tracking Table'!$AB238)),IF(SUM('BMP P Tracking Table'!$X238:$AA238)=0,'BMP P Tracking Table'!$AC238/(-3630*'BMP P Tracking Table'!$V238),(-(3630*'BMP P Tracking Table'!$V238+20.691*'BMP P Tracking Table'!$AA238-216.711*'BMP P Tracking Table'!$Z238-83.853*'BMP P Tracking Table'!$Y238-42.834*'BMP P Tracking Table'!$X238)+SQRT((3630*'BMP P Tracking Table'!$V238+20.691*'BMP P Tracking Table'!$AA238-216.711*'BMP P Tracking Table'!$Z238-83.853*'BMP P Tracking Table'!$Y238-42.834*'BMP P Tracking Table'!$X238)^2-(4*(149.919*'BMP P Tracking Table'!$X238+236.676*'BMP P Tracking Table'!$Y238+726*'BMP P Tracking Table'!$Z238+996.798*'BMP P Tracking Table'!$AA238)*-'BMP P Tracking Table'!$AC238)))/(2*(149.919*'BMP P Tracking Table'!$X238+236.676*'BMP P Tracking Table'!$Y238+726*'BMP P Tracking Table'!$Z238+996.798*'BMP P Tracking Table'!$AA238))))),"")</f>
        <v/>
      </c>
      <c r="AG238" s="104" t="str">
        <f>IFERROR((VLOOKUP(CONCATENATE('BMP P Tracking Table'!$U238," ",'BMP P Tracking Table'!$AD238),'Performance Curves'!$C$1:$L$46,_xlfn.SINGLE(MATCH('BMP P Tracking Table'!$AF238,'Performance Curves'!$D$1:$L$1,1))+2,FALSE)-VLOOKUP(CONCATENATE('BMP P Tracking Table'!$U238," ",'BMP P Tracking Table'!$AD238),'Performance Curves'!$C$1:$L$46,_xlfn.SINGLE(MATCH('BMP P Tracking Table'!$AF238,'Performance Curves'!$D$1:$L$1,1))+1,FALSE)),"")</f>
        <v/>
      </c>
      <c r="AH238" s="104" t="str">
        <f>IFERROR(('BMP P Tracking Table'!$AF238-INDEX('Performance Curves'!$D$1:$L$1,1,MATCH('BMP P Tracking Table'!$AF238,'Performance Curves'!$D$1:$L$1,1)))/(INDEX('Performance Curves'!$D$1:$L$1,1,MATCH('BMP P Tracking Table'!$AF238,'Performance Curves'!$D$1:$L$1,1)+1)-INDEX('Performance Curves'!$D$1:$L$1,1,MATCH('BMP P Tracking Table'!$AF238,'Performance Curves'!$D$1:$L$1,1))),"")</f>
        <v/>
      </c>
      <c r="AI238" s="103" t="str">
        <f>IFERROR(IF('BMP P Tracking Table'!$AF238=2,VLOOKUP(CONCATENATE('BMP P Tracking Table'!$U238," ",'BMP P Tracking Table'!$AD238),'Performance Curves'!$C$1:$L$46,_xlfn.SINGLE(MATCH('BMP P Tracking Table'!$AF238,'Performance Curves'!$D$1:$L$1,1))+1,FALSE),'BMP P Tracking Table'!$AG238*'BMP P Tracking Table'!$AH238+VLOOKUP(CONCATENATE('BMP P Tracking Table'!$U238," ",'BMP P Tracking Table'!$AD238),'Performance Curves'!$C$1:$L$46,_xlfn.SINGLE(MATCH('BMP P Tracking Table'!$AF238,'Performance Curves'!$D$1:$L$1,1))+1,FALSE)),"")</f>
        <v/>
      </c>
      <c r="AJ238" s="104" t="str">
        <f>IFERROR('BMP P Tracking Table'!$AI238*'BMP P Tracking Table'!$AE238,"")</f>
        <v/>
      </c>
      <c r="AK238" s="65"/>
      <c r="AL238" s="98"/>
      <c r="AM238" s="98"/>
      <c r="AN238" s="64">
        <v>1</v>
      </c>
      <c r="AO238" s="102" t="str">
        <f t="shared" si="35"/>
        <v/>
      </c>
      <c r="AP238" s="98"/>
      <c r="AQ238" s="98"/>
      <c r="AR238" s="98"/>
      <c r="AS238" s="98"/>
      <c r="AT238" s="98"/>
      <c r="AU238" s="98"/>
      <c r="AV238" s="98"/>
      <c r="AW238" s="65"/>
      <c r="AX238" s="99"/>
      <c r="AY238" s="99"/>
      <c r="AZ238" s="104" t="str">
        <f>IF('BMP P Tracking Table'!$AL238="Yes",IF('BMP P Tracking Table'!$AM238="No",'BMP P Tracking Table'!$V238*VLOOKUP('BMP P Tracking Table'!$R238,'Loading Rates'!$B$1:$L$24,4,FALSE)+IF('BMP P Tracking Table'!$W238="By HSG",'BMP P Tracking Table'!$X238*VLOOKUP('BMP P Tracking Table'!$R238,'Loading Rates'!$B$1:$L$24,6,FALSE)+'BMP P Tracking Table'!$Y238*VLOOKUP('BMP P Tracking Table'!$R238,'Loading Rates'!$B$1:$L$24,7,FALSE)+'BMP P Tracking Table'!$Z238*VLOOKUP('BMP P Tracking Table'!$R238,'Loading Rates'!$B$1:$L$24,8,FALSE)+'BMP P Tracking Table'!$AA238*VLOOKUP('BMP P Tracking Table'!$R238,'Loading Rates'!$B$1:$L$24,9,FALSE),'BMP P Tracking Table'!$AB238*VLOOKUP('BMP P Tracking Table'!$R238,'Loading Rates'!$B$1:$L$24,10,FALSE)),'BMP P Tracking Table'!$AP238*VLOOKUP('BMP P Tracking Table'!$R238,'Loading Rates'!$B$1:$L$24,4,FALSE)+IF('BMP P Tracking Table'!$AQ238="By HSG",'BMP P Tracking Table'!$AR238*VLOOKUP('BMP P Tracking Table'!$R238,'Loading Rates'!$B$1:$L$24,6,FALSE)+'BMP P Tracking Table'!$AS238*VLOOKUP('BMP P Tracking Table'!$R238,'Loading Rates'!$B$1:$L$24,7,FALSE)+'BMP P Tracking Table'!$AT238*VLOOKUP('BMP P Tracking Table'!$R238,'Loading Rates'!$B$1:$L$24,8,FALSE)+'BMP P Tracking Table'!$AU238*VLOOKUP('BMP P Tracking Table'!$R238,'Loading Rates'!$B$1:$L$24,9,FALSE),'BMP P Tracking Table'!$AV238*VLOOKUP('BMP P Tracking Table'!$R238,'Loading Rates'!$B$1:$L$24,10,FALSE))),"")</f>
        <v/>
      </c>
      <c r="BA238" s="104" t="str">
        <f>IFERROR(IF('BMP P Tracking Table'!$AM238="Yes",MIN(2,IF('BMP P Tracking Table'!$AQ238="Total Pervious",(-(3630*'BMP P Tracking Table'!$AP238+20.691*'BMP P Tracking Table'!$AV238)+SQRT((3630*'BMP P Tracking Table'!$AP238+20.691*'BMP P Tracking Table'!$AV238)^2-(4*(996.798*'BMP P Tracking Table'!$AV238)*-'BMP P Tracking Table'!$AX238)))/(2*(996.798*'BMP P Tracking Table'!$AV238)),IF(SUM('BMP P Tracking Table'!$AR238:$AU238)=0,'BMP P Tracking Table'!$AV238/(-3630*'BMP P Tracking Table'!$AP238),(-(3630*'BMP P Tracking Table'!$AP238+20.691*'BMP P Tracking Table'!$AU238-216.711*'BMP P Tracking Table'!$AT238-83.853*'BMP P Tracking Table'!$AS238-42.834*'BMP P Tracking Table'!$AR238)+SQRT((3630*'BMP P Tracking Table'!$AP238+20.691*'BMP P Tracking Table'!$AU238-216.711*'BMP P Tracking Table'!$AT238-83.853*'BMP P Tracking Table'!$AS238-42.834*'BMP P Tracking Table'!$AR238)^2-(4*(149.919*'BMP P Tracking Table'!$AR238+236.676*'BMP P Tracking Table'!$AS238+726*'BMP P Tracking Table'!$AT238+996.798*'BMP P Tracking Table'!$AU238)*-'BMP P Tracking Table'!$AX238)))/(2*(149.919*'BMP P Tracking Table'!$AR238+236.676*'BMP P Tracking Table'!$AS238+726*'BMP P Tracking Table'!$AT238+996.798*'BMP P Tracking Table'!$AU238))))),MIN(2,IF('BMP P Tracking Table'!$AQ238="Total Pervious",(-(3630*'BMP P Tracking Table'!$V238+20.691*'BMP P Tracking Table'!$AB238)+SQRT((3630*'BMP P Tracking Table'!$V238+20.691*'BMP P Tracking Table'!$AB238)^2-(4*(996.798*'BMP P Tracking Table'!$AB238)*-'BMP P Tracking Table'!$AX238)))/(2*(996.798*'BMP P Tracking Table'!$AB238)),IF(SUM('BMP P Tracking Table'!$X238:$AA238)=0,'BMP P Tracking Table'!$AX238/(-3630*'BMP P Tracking Table'!$V238),(-(3630*'BMP P Tracking Table'!$V238+20.691*'BMP P Tracking Table'!$AA238-216.711*'BMP P Tracking Table'!$Z238-83.853*'BMP P Tracking Table'!$Y238-42.834*'BMP P Tracking Table'!$X238)+SQRT((3630*'BMP P Tracking Table'!$V238+20.691*'BMP P Tracking Table'!$AA238-216.711*'BMP P Tracking Table'!$Z238-83.853*'BMP P Tracking Table'!$Y238-42.834*'BMP P Tracking Table'!$X238)^2-(4*(149.919*'BMP P Tracking Table'!$X238+236.676*'BMP P Tracking Table'!$Y238+726*'BMP P Tracking Table'!$Z238+996.798*'BMP P Tracking Table'!$AA238)*-'BMP P Tracking Table'!$AX238)))/(2*(149.919*'BMP P Tracking Table'!$X238+236.676*'BMP P Tracking Table'!$Y238+726*'BMP P Tracking Table'!$Z238+996.798*'BMP P Tracking Table'!$AA238)))))),"")</f>
        <v/>
      </c>
      <c r="BB238" s="102" t="str">
        <f>IFERROR((VLOOKUP(CONCATENATE('BMP P Tracking Table'!$AW238," ",'BMP P Tracking Table'!$AY238),'Performance Curves'!$C$1:$L$46,_xlfn.SINGLE(MATCH('BMP P Tracking Table'!$BA238,'Performance Curves'!$D$1:$L$1,1))+2,FALSE)-VLOOKUP(CONCATENATE('BMP P Tracking Table'!$AW238," ",'BMP P Tracking Table'!$AY238),'Performance Curves'!$C$1:$L$46,_xlfn.SINGLE(MATCH('BMP P Tracking Table'!$BA238,'Performance Curves'!$D$1:$L$1,1))+1,FALSE)),"")</f>
        <v/>
      </c>
      <c r="BC238" s="102" t="str">
        <f>IFERROR(('BMP P Tracking Table'!$BA238-INDEX('Performance Curves'!$D$1:$L$1,1,MATCH('BMP P Tracking Table'!$BA238,'Performance Curves'!$D$1:$L$1,1)))/(INDEX('Performance Curves'!$D$1:$L$1,1,MATCH('BMP P Tracking Table'!$BA238,'Performance Curves'!$D$1:$L$1,1)+1)-INDEX('Performance Curves'!$D$1:$L$1,1,MATCH('BMP P Tracking Table'!$BA238,'Performance Curves'!$D$1:$L$1,1))),"")</f>
        <v/>
      </c>
      <c r="BD238" s="103" t="str" cm="1">
        <f t="array" ref="BD238">IFERROR(IF('BMP P Tracking Table'!$BA238=2,VLOOKUP(CONCATENATE('BMP P Tracking Table'!$AW238," ",'BMP P Tracking Table'!$AY238),'Performance Curves'!$C$1:$L$44,_xlfn.SINGLE(MATCH('BMP P Tracking Table'!$BA238,'Performance Curves'!$D$1:$L$1,1))+1,FALSE),'BMP P Tracking Table'!$BB238*'BMP P Tracking Table'!$BC238+VLOOKUP(CONCATENATE('BMP P Tracking Table'!$AW238," ",'BMP P Tracking Table'!$AY238),'Performance Curves'!$C$1:$L$44,_xlfn.SINGLE(MATCH('BMP P Tracking Table'!$BA238,'Performance Curves'!$D$1:$L$1,1))+1,FALSE)),"")</f>
        <v/>
      </c>
      <c r="BE238" s="104" t="str">
        <f>IFERROR('BMP P Tracking Table'!$BD238*'BMP P Tracking Table'!$AZ238,"")</f>
        <v/>
      </c>
      <c r="BF238" s="98"/>
      <c r="BG238" s="37">
        <f t="shared" si="36"/>
        <v>0</v>
      </c>
    </row>
    <row r="239" spans="2:59" s="36" customFormat="1">
      <c r="B239" s="65"/>
      <c r="C239" s="65"/>
      <c r="D239" s="65"/>
      <c r="E239" s="65"/>
      <c r="F239" s="94"/>
      <c r="G239" s="94"/>
      <c r="H239" s="65"/>
      <c r="I239" s="65"/>
      <c r="J239" s="65"/>
      <c r="K239" s="95"/>
      <c r="L239" s="65"/>
      <c r="M239" s="65"/>
      <c r="N239" s="65"/>
      <c r="O239" s="65"/>
      <c r="P239" s="65"/>
      <c r="Q239" s="65"/>
      <c r="R239" s="65" t="str">
        <f>IFERROR(VLOOKUP('BMP P Tracking Table'!$Q239,Dropdowns!$C$2:$E$15,3,FALSE),"")</f>
        <v/>
      </c>
      <c r="S239" s="65" t="str">
        <f>IFERROR(VLOOKUP('BMP P Tracking Table'!$R239,Dropdowns!$Q$3:$R$23,2,FALSE),"")</f>
        <v/>
      </c>
      <c r="T239" s="65"/>
      <c r="U239" s="65"/>
      <c r="V239" s="65"/>
      <c r="W239" s="65"/>
      <c r="X239" s="65"/>
      <c r="Y239" s="65"/>
      <c r="Z239" s="65"/>
      <c r="AA239" s="65"/>
      <c r="AB239" s="65"/>
      <c r="AC239" s="97"/>
      <c r="AD239" s="65"/>
      <c r="AE239" s="104" t="str">
        <f>IFERROR('BMP P Tracking Table'!$V239*VLOOKUP('BMP P Tracking Table'!$R239,'Loading Rates'!$B$1:$L$24,4,FALSE)+IF('BMP P Tracking Table'!$W239="By HSG",'BMP P Tracking Table'!$X239*VLOOKUP('BMP P Tracking Table'!$R239,'Loading Rates'!$B$1:$L$24,6,FALSE)+'BMP P Tracking Table'!$Y239*VLOOKUP('BMP P Tracking Table'!$R239,'Loading Rates'!$B$1:$L$24,7,FALSE)+'BMP P Tracking Table'!$Z239*VLOOKUP('BMP P Tracking Table'!$R239,'Loading Rates'!$B$1:$L$24,8,FALSE)+'BMP P Tracking Table'!$AA239*VLOOKUP('BMP P Tracking Table'!$R239,'Loading Rates'!$B$1:$L$24,9,FALSE),'BMP P Tracking Table'!$AB239*VLOOKUP('BMP P Tracking Table'!$R239,'Loading Rates'!$B$1:$L$24,10,FALSE)),"")</f>
        <v/>
      </c>
      <c r="AF239" s="104" t="str">
        <f>IFERROR(MIN(2,IF('BMP P Tracking Table'!$W239="Total Pervious",(-(3630*'BMP P Tracking Table'!$V239+20.691*'BMP P Tracking Table'!$AB239)+SQRT((3630*'BMP P Tracking Table'!$V239+20.691*'BMP P Tracking Table'!$AB239)^2-(4*(996.798*'BMP P Tracking Table'!$AB239)*-'BMP P Tracking Table'!$AC239)))/(2*(996.798*'BMP P Tracking Table'!$AB239)),IF(SUM('BMP P Tracking Table'!$X239:$AA239)=0,'BMP P Tracking Table'!$AC239/(-3630*'BMP P Tracking Table'!$V239),(-(3630*'BMP P Tracking Table'!$V239+20.691*'BMP P Tracking Table'!$AA239-216.711*'BMP P Tracking Table'!$Z239-83.853*'BMP P Tracking Table'!$Y239-42.834*'BMP P Tracking Table'!$X239)+SQRT((3630*'BMP P Tracking Table'!$V239+20.691*'BMP P Tracking Table'!$AA239-216.711*'BMP P Tracking Table'!$Z239-83.853*'BMP P Tracking Table'!$Y239-42.834*'BMP P Tracking Table'!$X239)^2-(4*(149.919*'BMP P Tracking Table'!$X239+236.676*'BMP P Tracking Table'!$Y239+726*'BMP P Tracking Table'!$Z239+996.798*'BMP P Tracking Table'!$AA239)*-'BMP P Tracking Table'!$AC239)))/(2*(149.919*'BMP P Tracking Table'!$X239+236.676*'BMP P Tracking Table'!$Y239+726*'BMP P Tracking Table'!$Z239+996.798*'BMP P Tracking Table'!$AA239))))),"")</f>
        <v/>
      </c>
      <c r="AG239" s="104" t="str">
        <f>IFERROR((VLOOKUP(CONCATENATE('BMP P Tracking Table'!$U239," ",'BMP P Tracking Table'!$AD239),'Performance Curves'!$C$1:$L$46,_xlfn.SINGLE(MATCH('BMP P Tracking Table'!$AF239,'Performance Curves'!$D$1:$L$1,1))+2,FALSE)-VLOOKUP(CONCATENATE('BMP P Tracking Table'!$U239," ",'BMP P Tracking Table'!$AD239),'Performance Curves'!$C$1:$L$46,_xlfn.SINGLE(MATCH('BMP P Tracking Table'!$AF239,'Performance Curves'!$D$1:$L$1,1))+1,FALSE)),"")</f>
        <v/>
      </c>
      <c r="AH239" s="104" t="str">
        <f>IFERROR(('BMP P Tracking Table'!$AF239-INDEX('Performance Curves'!$D$1:$L$1,1,MATCH('BMP P Tracking Table'!$AF239,'Performance Curves'!$D$1:$L$1,1)))/(INDEX('Performance Curves'!$D$1:$L$1,1,MATCH('BMP P Tracking Table'!$AF239,'Performance Curves'!$D$1:$L$1,1)+1)-INDEX('Performance Curves'!$D$1:$L$1,1,MATCH('BMP P Tracking Table'!$AF239,'Performance Curves'!$D$1:$L$1,1))),"")</f>
        <v/>
      </c>
      <c r="AI239" s="103" t="str">
        <f>IFERROR(IF('BMP P Tracking Table'!$AF239=2,VLOOKUP(CONCATENATE('BMP P Tracking Table'!$U239," ",'BMP P Tracking Table'!$AD239),'Performance Curves'!$C$1:$L$46,_xlfn.SINGLE(MATCH('BMP P Tracking Table'!$AF239,'Performance Curves'!$D$1:$L$1,1))+1,FALSE),'BMP P Tracking Table'!$AG239*'BMP P Tracking Table'!$AH239+VLOOKUP(CONCATENATE('BMP P Tracking Table'!$U239," ",'BMP P Tracking Table'!$AD239),'Performance Curves'!$C$1:$L$46,_xlfn.SINGLE(MATCH('BMP P Tracking Table'!$AF239,'Performance Curves'!$D$1:$L$1,1))+1,FALSE)),"")</f>
        <v/>
      </c>
      <c r="AJ239" s="104" t="str">
        <f>IFERROR('BMP P Tracking Table'!$AI239*'BMP P Tracking Table'!$AE239,"")</f>
        <v/>
      </c>
      <c r="AK239" s="65"/>
      <c r="AL239" s="98"/>
      <c r="AM239" s="98"/>
      <c r="AN239" s="64">
        <v>1</v>
      </c>
      <c r="AO239" s="102" t="str">
        <f t="shared" si="35"/>
        <v/>
      </c>
      <c r="AP239" s="98"/>
      <c r="AQ239" s="98"/>
      <c r="AR239" s="98"/>
      <c r="AS239" s="98"/>
      <c r="AT239" s="98"/>
      <c r="AU239" s="98"/>
      <c r="AV239" s="98"/>
      <c r="AW239" s="65"/>
      <c r="AX239" s="99"/>
      <c r="AY239" s="99"/>
      <c r="AZ239" s="104" t="str">
        <f>IF('BMP P Tracking Table'!$AL239="Yes",IF('BMP P Tracking Table'!$AM239="No",'BMP P Tracking Table'!$V239*VLOOKUP('BMP P Tracking Table'!$R239,'Loading Rates'!$B$1:$L$24,4,FALSE)+IF('BMP P Tracking Table'!$W239="By HSG",'BMP P Tracking Table'!$X239*VLOOKUP('BMP P Tracking Table'!$R239,'Loading Rates'!$B$1:$L$24,6,FALSE)+'BMP P Tracking Table'!$Y239*VLOOKUP('BMP P Tracking Table'!$R239,'Loading Rates'!$B$1:$L$24,7,FALSE)+'BMP P Tracking Table'!$Z239*VLOOKUP('BMP P Tracking Table'!$R239,'Loading Rates'!$B$1:$L$24,8,FALSE)+'BMP P Tracking Table'!$AA239*VLOOKUP('BMP P Tracking Table'!$R239,'Loading Rates'!$B$1:$L$24,9,FALSE),'BMP P Tracking Table'!$AB239*VLOOKUP('BMP P Tracking Table'!$R239,'Loading Rates'!$B$1:$L$24,10,FALSE)),'BMP P Tracking Table'!$AP239*VLOOKUP('BMP P Tracking Table'!$R239,'Loading Rates'!$B$1:$L$24,4,FALSE)+IF('BMP P Tracking Table'!$AQ239="By HSG",'BMP P Tracking Table'!$AR239*VLOOKUP('BMP P Tracking Table'!$R239,'Loading Rates'!$B$1:$L$24,6,FALSE)+'BMP P Tracking Table'!$AS239*VLOOKUP('BMP P Tracking Table'!$R239,'Loading Rates'!$B$1:$L$24,7,FALSE)+'BMP P Tracking Table'!$AT239*VLOOKUP('BMP P Tracking Table'!$R239,'Loading Rates'!$B$1:$L$24,8,FALSE)+'BMP P Tracking Table'!$AU239*VLOOKUP('BMP P Tracking Table'!$R239,'Loading Rates'!$B$1:$L$24,9,FALSE),'BMP P Tracking Table'!$AV239*VLOOKUP('BMP P Tracking Table'!$R239,'Loading Rates'!$B$1:$L$24,10,FALSE))),"")</f>
        <v/>
      </c>
      <c r="BA239" s="104" t="str">
        <f>IFERROR(IF('BMP P Tracking Table'!$AM239="Yes",MIN(2,IF('BMP P Tracking Table'!$AQ239="Total Pervious",(-(3630*'BMP P Tracking Table'!$AP239+20.691*'BMP P Tracking Table'!$AV239)+SQRT((3630*'BMP P Tracking Table'!$AP239+20.691*'BMP P Tracking Table'!$AV239)^2-(4*(996.798*'BMP P Tracking Table'!$AV239)*-'BMP P Tracking Table'!$AX239)))/(2*(996.798*'BMP P Tracking Table'!$AV239)),IF(SUM('BMP P Tracking Table'!$AR239:$AU239)=0,'BMP P Tracking Table'!$AV239/(-3630*'BMP P Tracking Table'!$AP239),(-(3630*'BMP P Tracking Table'!$AP239+20.691*'BMP P Tracking Table'!$AU239-216.711*'BMP P Tracking Table'!$AT239-83.853*'BMP P Tracking Table'!$AS239-42.834*'BMP P Tracking Table'!$AR239)+SQRT((3630*'BMP P Tracking Table'!$AP239+20.691*'BMP P Tracking Table'!$AU239-216.711*'BMP P Tracking Table'!$AT239-83.853*'BMP P Tracking Table'!$AS239-42.834*'BMP P Tracking Table'!$AR239)^2-(4*(149.919*'BMP P Tracking Table'!$AR239+236.676*'BMP P Tracking Table'!$AS239+726*'BMP P Tracking Table'!$AT239+996.798*'BMP P Tracking Table'!$AU239)*-'BMP P Tracking Table'!$AX239)))/(2*(149.919*'BMP P Tracking Table'!$AR239+236.676*'BMP P Tracking Table'!$AS239+726*'BMP P Tracking Table'!$AT239+996.798*'BMP P Tracking Table'!$AU239))))),MIN(2,IF('BMP P Tracking Table'!$AQ239="Total Pervious",(-(3630*'BMP P Tracking Table'!$V239+20.691*'BMP P Tracking Table'!$AB239)+SQRT((3630*'BMP P Tracking Table'!$V239+20.691*'BMP P Tracking Table'!$AB239)^2-(4*(996.798*'BMP P Tracking Table'!$AB239)*-'BMP P Tracking Table'!$AX239)))/(2*(996.798*'BMP P Tracking Table'!$AB239)),IF(SUM('BMP P Tracking Table'!$X239:$AA239)=0,'BMP P Tracking Table'!$AX239/(-3630*'BMP P Tracking Table'!$V239),(-(3630*'BMP P Tracking Table'!$V239+20.691*'BMP P Tracking Table'!$AA239-216.711*'BMP P Tracking Table'!$Z239-83.853*'BMP P Tracking Table'!$Y239-42.834*'BMP P Tracking Table'!$X239)+SQRT((3630*'BMP P Tracking Table'!$V239+20.691*'BMP P Tracking Table'!$AA239-216.711*'BMP P Tracking Table'!$Z239-83.853*'BMP P Tracking Table'!$Y239-42.834*'BMP P Tracking Table'!$X239)^2-(4*(149.919*'BMP P Tracking Table'!$X239+236.676*'BMP P Tracking Table'!$Y239+726*'BMP P Tracking Table'!$Z239+996.798*'BMP P Tracking Table'!$AA239)*-'BMP P Tracking Table'!$AX239)))/(2*(149.919*'BMP P Tracking Table'!$X239+236.676*'BMP P Tracking Table'!$Y239+726*'BMP P Tracking Table'!$Z239+996.798*'BMP P Tracking Table'!$AA239)))))),"")</f>
        <v/>
      </c>
      <c r="BB239" s="102" t="str">
        <f>IFERROR((VLOOKUP(CONCATENATE('BMP P Tracking Table'!$AW239," ",'BMP P Tracking Table'!$AY239),'Performance Curves'!$C$1:$L$46,_xlfn.SINGLE(MATCH('BMP P Tracking Table'!$BA239,'Performance Curves'!$D$1:$L$1,1))+2,FALSE)-VLOOKUP(CONCATENATE('BMP P Tracking Table'!$AW239," ",'BMP P Tracking Table'!$AY239),'Performance Curves'!$C$1:$L$46,_xlfn.SINGLE(MATCH('BMP P Tracking Table'!$BA239,'Performance Curves'!$D$1:$L$1,1))+1,FALSE)),"")</f>
        <v/>
      </c>
      <c r="BC239" s="102" t="str">
        <f>IFERROR(('BMP P Tracking Table'!$BA239-INDEX('Performance Curves'!$D$1:$L$1,1,MATCH('BMP P Tracking Table'!$BA239,'Performance Curves'!$D$1:$L$1,1)))/(INDEX('Performance Curves'!$D$1:$L$1,1,MATCH('BMP P Tracking Table'!$BA239,'Performance Curves'!$D$1:$L$1,1)+1)-INDEX('Performance Curves'!$D$1:$L$1,1,MATCH('BMP P Tracking Table'!$BA239,'Performance Curves'!$D$1:$L$1,1))),"")</f>
        <v/>
      </c>
      <c r="BD239" s="103" t="str" cm="1">
        <f t="array" ref="BD239">IFERROR(IF('BMP P Tracking Table'!$BA239=2,VLOOKUP(CONCATENATE('BMP P Tracking Table'!$AW239," ",'BMP P Tracking Table'!$AY239),'Performance Curves'!$C$1:$L$44,_xlfn.SINGLE(MATCH('BMP P Tracking Table'!$BA239,'Performance Curves'!$D$1:$L$1,1))+1,FALSE),'BMP P Tracking Table'!$BB239*'BMP P Tracking Table'!$BC239+VLOOKUP(CONCATENATE('BMP P Tracking Table'!$AW239," ",'BMP P Tracking Table'!$AY239),'Performance Curves'!$C$1:$L$44,_xlfn.SINGLE(MATCH('BMP P Tracking Table'!$BA239,'Performance Curves'!$D$1:$L$1,1))+1,FALSE)),"")</f>
        <v/>
      </c>
      <c r="BE239" s="104" t="str">
        <f>IFERROR('BMP P Tracking Table'!$BD239*'BMP P Tracking Table'!$AZ239,"")</f>
        <v/>
      </c>
      <c r="BF239" s="98"/>
      <c r="BG239" s="37">
        <f t="shared" si="36"/>
        <v>0</v>
      </c>
    </row>
    <row r="240" spans="2:59" s="36" customFormat="1">
      <c r="B240" s="65"/>
      <c r="C240" s="65"/>
      <c r="D240" s="65"/>
      <c r="E240" s="65"/>
      <c r="F240" s="94"/>
      <c r="G240" s="94"/>
      <c r="H240" s="65"/>
      <c r="I240" s="65"/>
      <c r="J240" s="65"/>
      <c r="K240" s="95"/>
      <c r="L240" s="65"/>
      <c r="M240" s="65"/>
      <c r="N240" s="65"/>
      <c r="O240" s="65"/>
      <c r="P240" s="65"/>
      <c r="Q240" s="65"/>
      <c r="R240" s="65" t="str">
        <f>IFERROR(VLOOKUP('BMP P Tracking Table'!$Q240,Dropdowns!$C$2:$E$15,3,FALSE),"")</f>
        <v/>
      </c>
      <c r="S240" s="65" t="str">
        <f>IFERROR(VLOOKUP('BMP P Tracking Table'!$R240,Dropdowns!$Q$3:$R$23,2,FALSE),"")</f>
        <v/>
      </c>
      <c r="T240" s="65"/>
      <c r="U240" s="65"/>
      <c r="V240" s="65"/>
      <c r="W240" s="65"/>
      <c r="X240" s="65"/>
      <c r="Y240" s="65"/>
      <c r="Z240" s="65"/>
      <c r="AA240" s="65"/>
      <c r="AB240" s="65"/>
      <c r="AC240" s="97"/>
      <c r="AD240" s="65"/>
      <c r="AE240" s="104" t="str">
        <f>IFERROR('BMP P Tracking Table'!$V240*VLOOKUP('BMP P Tracking Table'!$R240,'Loading Rates'!$B$1:$L$24,4,FALSE)+IF('BMP P Tracking Table'!$W240="By HSG",'BMP P Tracking Table'!$X240*VLOOKUP('BMP P Tracking Table'!$R240,'Loading Rates'!$B$1:$L$24,6,FALSE)+'BMP P Tracking Table'!$Y240*VLOOKUP('BMP P Tracking Table'!$R240,'Loading Rates'!$B$1:$L$24,7,FALSE)+'BMP P Tracking Table'!$Z240*VLOOKUP('BMP P Tracking Table'!$R240,'Loading Rates'!$B$1:$L$24,8,FALSE)+'BMP P Tracking Table'!$AA240*VLOOKUP('BMP P Tracking Table'!$R240,'Loading Rates'!$B$1:$L$24,9,FALSE),'BMP P Tracking Table'!$AB240*VLOOKUP('BMP P Tracking Table'!$R240,'Loading Rates'!$B$1:$L$24,10,FALSE)),"")</f>
        <v/>
      </c>
      <c r="AF240" s="104" t="str">
        <f>IFERROR(MIN(2,IF('BMP P Tracking Table'!$W240="Total Pervious",(-(3630*'BMP P Tracking Table'!$V240+20.691*'BMP P Tracking Table'!$AB240)+SQRT((3630*'BMP P Tracking Table'!$V240+20.691*'BMP P Tracking Table'!$AB240)^2-(4*(996.798*'BMP P Tracking Table'!$AB240)*-'BMP P Tracking Table'!$AC240)))/(2*(996.798*'BMP P Tracking Table'!$AB240)),IF(SUM('BMP P Tracking Table'!$X240:$AA240)=0,'BMP P Tracking Table'!$AC240/(-3630*'BMP P Tracking Table'!$V240),(-(3630*'BMP P Tracking Table'!$V240+20.691*'BMP P Tracking Table'!$AA240-216.711*'BMP P Tracking Table'!$Z240-83.853*'BMP P Tracking Table'!$Y240-42.834*'BMP P Tracking Table'!$X240)+SQRT((3630*'BMP P Tracking Table'!$V240+20.691*'BMP P Tracking Table'!$AA240-216.711*'BMP P Tracking Table'!$Z240-83.853*'BMP P Tracking Table'!$Y240-42.834*'BMP P Tracking Table'!$X240)^2-(4*(149.919*'BMP P Tracking Table'!$X240+236.676*'BMP P Tracking Table'!$Y240+726*'BMP P Tracking Table'!$Z240+996.798*'BMP P Tracking Table'!$AA240)*-'BMP P Tracking Table'!$AC240)))/(2*(149.919*'BMP P Tracking Table'!$X240+236.676*'BMP P Tracking Table'!$Y240+726*'BMP P Tracking Table'!$Z240+996.798*'BMP P Tracking Table'!$AA240))))),"")</f>
        <v/>
      </c>
      <c r="AG240" s="104" t="str">
        <f>IFERROR((VLOOKUP(CONCATENATE('BMP P Tracking Table'!$U240," ",'BMP P Tracking Table'!$AD240),'Performance Curves'!$C$1:$L$46,_xlfn.SINGLE(MATCH('BMP P Tracking Table'!$AF240,'Performance Curves'!$D$1:$L$1,1))+2,FALSE)-VLOOKUP(CONCATENATE('BMP P Tracking Table'!$U240," ",'BMP P Tracking Table'!$AD240),'Performance Curves'!$C$1:$L$46,_xlfn.SINGLE(MATCH('BMP P Tracking Table'!$AF240,'Performance Curves'!$D$1:$L$1,1))+1,FALSE)),"")</f>
        <v/>
      </c>
      <c r="AH240" s="104" t="str">
        <f>IFERROR(('BMP P Tracking Table'!$AF240-INDEX('Performance Curves'!$D$1:$L$1,1,MATCH('BMP P Tracking Table'!$AF240,'Performance Curves'!$D$1:$L$1,1)))/(INDEX('Performance Curves'!$D$1:$L$1,1,MATCH('BMP P Tracking Table'!$AF240,'Performance Curves'!$D$1:$L$1,1)+1)-INDEX('Performance Curves'!$D$1:$L$1,1,MATCH('BMP P Tracking Table'!$AF240,'Performance Curves'!$D$1:$L$1,1))),"")</f>
        <v/>
      </c>
      <c r="AI240" s="103" t="str">
        <f>IFERROR(IF('BMP P Tracking Table'!$AF240=2,VLOOKUP(CONCATENATE('BMP P Tracking Table'!$U240," ",'BMP P Tracking Table'!$AD240),'Performance Curves'!$C$1:$L$46,_xlfn.SINGLE(MATCH('BMP P Tracking Table'!$AF240,'Performance Curves'!$D$1:$L$1,1))+1,FALSE),'BMP P Tracking Table'!$AG240*'BMP P Tracking Table'!$AH240+VLOOKUP(CONCATENATE('BMP P Tracking Table'!$U240," ",'BMP P Tracking Table'!$AD240),'Performance Curves'!$C$1:$L$46,_xlfn.SINGLE(MATCH('BMP P Tracking Table'!$AF240,'Performance Curves'!$D$1:$L$1,1))+1,FALSE)),"")</f>
        <v/>
      </c>
      <c r="AJ240" s="104" t="str">
        <f>IFERROR('BMP P Tracking Table'!$AI240*'BMP P Tracking Table'!$AE240,"")</f>
        <v/>
      </c>
      <c r="AK240" s="65"/>
      <c r="AL240" s="98"/>
      <c r="AM240" s="98"/>
      <c r="AN240" s="64">
        <v>1</v>
      </c>
      <c r="AO240" s="102" t="str">
        <f t="shared" si="35"/>
        <v/>
      </c>
      <c r="AP240" s="98"/>
      <c r="AQ240" s="98"/>
      <c r="AR240" s="98"/>
      <c r="AS240" s="98"/>
      <c r="AT240" s="98"/>
      <c r="AU240" s="98"/>
      <c r="AV240" s="98"/>
      <c r="AW240" s="65"/>
      <c r="AX240" s="99"/>
      <c r="AY240" s="99"/>
      <c r="AZ240" s="104" t="str">
        <f>IF('BMP P Tracking Table'!$AL240="Yes",IF('BMP P Tracking Table'!$AM240="No",'BMP P Tracking Table'!$V240*VLOOKUP('BMP P Tracking Table'!$R240,'Loading Rates'!$B$1:$L$24,4,FALSE)+IF('BMP P Tracking Table'!$W240="By HSG",'BMP P Tracking Table'!$X240*VLOOKUP('BMP P Tracking Table'!$R240,'Loading Rates'!$B$1:$L$24,6,FALSE)+'BMP P Tracking Table'!$Y240*VLOOKUP('BMP P Tracking Table'!$R240,'Loading Rates'!$B$1:$L$24,7,FALSE)+'BMP P Tracking Table'!$Z240*VLOOKUP('BMP P Tracking Table'!$R240,'Loading Rates'!$B$1:$L$24,8,FALSE)+'BMP P Tracking Table'!$AA240*VLOOKUP('BMP P Tracking Table'!$R240,'Loading Rates'!$B$1:$L$24,9,FALSE),'BMP P Tracking Table'!$AB240*VLOOKUP('BMP P Tracking Table'!$R240,'Loading Rates'!$B$1:$L$24,10,FALSE)),'BMP P Tracking Table'!$AP240*VLOOKUP('BMP P Tracking Table'!$R240,'Loading Rates'!$B$1:$L$24,4,FALSE)+IF('BMP P Tracking Table'!$AQ240="By HSG",'BMP P Tracking Table'!$AR240*VLOOKUP('BMP P Tracking Table'!$R240,'Loading Rates'!$B$1:$L$24,6,FALSE)+'BMP P Tracking Table'!$AS240*VLOOKUP('BMP P Tracking Table'!$R240,'Loading Rates'!$B$1:$L$24,7,FALSE)+'BMP P Tracking Table'!$AT240*VLOOKUP('BMP P Tracking Table'!$R240,'Loading Rates'!$B$1:$L$24,8,FALSE)+'BMP P Tracking Table'!$AU240*VLOOKUP('BMP P Tracking Table'!$R240,'Loading Rates'!$B$1:$L$24,9,FALSE),'BMP P Tracking Table'!$AV240*VLOOKUP('BMP P Tracking Table'!$R240,'Loading Rates'!$B$1:$L$24,10,FALSE))),"")</f>
        <v/>
      </c>
      <c r="BA240" s="104" t="str">
        <f>IFERROR(IF('BMP P Tracking Table'!$AM240="Yes",MIN(2,IF('BMP P Tracking Table'!$AQ240="Total Pervious",(-(3630*'BMP P Tracking Table'!$AP240+20.691*'BMP P Tracking Table'!$AV240)+SQRT((3630*'BMP P Tracking Table'!$AP240+20.691*'BMP P Tracking Table'!$AV240)^2-(4*(996.798*'BMP P Tracking Table'!$AV240)*-'BMP P Tracking Table'!$AX240)))/(2*(996.798*'BMP P Tracking Table'!$AV240)),IF(SUM('BMP P Tracking Table'!$AR240:$AU240)=0,'BMP P Tracking Table'!$AV240/(-3630*'BMP P Tracking Table'!$AP240),(-(3630*'BMP P Tracking Table'!$AP240+20.691*'BMP P Tracking Table'!$AU240-216.711*'BMP P Tracking Table'!$AT240-83.853*'BMP P Tracking Table'!$AS240-42.834*'BMP P Tracking Table'!$AR240)+SQRT((3630*'BMP P Tracking Table'!$AP240+20.691*'BMP P Tracking Table'!$AU240-216.711*'BMP P Tracking Table'!$AT240-83.853*'BMP P Tracking Table'!$AS240-42.834*'BMP P Tracking Table'!$AR240)^2-(4*(149.919*'BMP P Tracking Table'!$AR240+236.676*'BMP P Tracking Table'!$AS240+726*'BMP P Tracking Table'!$AT240+996.798*'BMP P Tracking Table'!$AU240)*-'BMP P Tracking Table'!$AX240)))/(2*(149.919*'BMP P Tracking Table'!$AR240+236.676*'BMP P Tracking Table'!$AS240+726*'BMP P Tracking Table'!$AT240+996.798*'BMP P Tracking Table'!$AU240))))),MIN(2,IF('BMP P Tracking Table'!$AQ240="Total Pervious",(-(3630*'BMP P Tracking Table'!$V240+20.691*'BMP P Tracking Table'!$AB240)+SQRT((3630*'BMP P Tracking Table'!$V240+20.691*'BMP P Tracking Table'!$AB240)^2-(4*(996.798*'BMP P Tracking Table'!$AB240)*-'BMP P Tracking Table'!$AX240)))/(2*(996.798*'BMP P Tracking Table'!$AB240)),IF(SUM('BMP P Tracking Table'!$X240:$AA240)=0,'BMP P Tracking Table'!$AX240/(-3630*'BMP P Tracking Table'!$V240),(-(3630*'BMP P Tracking Table'!$V240+20.691*'BMP P Tracking Table'!$AA240-216.711*'BMP P Tracking Table'!$Z240-83.853*'BMP P Tracking Table'!$Y240-42.834*'BMP P Tracking Table'!$X240)+SQRT((3630*'BMP P Tracking Table'!$V240+20.691*'BMP P Tracking Table'!$AA240-216.711*'BMP P Tracking Table'!$Z240-83.853*'BMP P Tracking Table'!$Y240-42.834*'BMP P Tracking Table'!$X240)^2-(4*(149.919*'BMP P Tracking Table'!$X240+236.676*'BMP P Tracking Table'!$Y240+726*'BMP P Tracking Table'!$Z240+996.798*'BMP P Tracking Table'!$AA240)*-'BMP P Tracking Table'!$AX240)))/(2*(149.919*'BMP P Tracking Table'!$X240+236.676*'BMP P Tracking Table'!$Y240+726*'BMP P Tracking Table'!$Z240+996.798*'BMP P Tracking Table'!$AA240)))))),"")</f>
        <v/>
      </c>
      <c r="BB240" s="102" t="str">
        <f>IFERROR((VLOOKUP(CONCATENATE('BMP P Tracking Table'!$AW240," ",'BMP P Tracking Table'!$AY240),'Performance Curves'!$C$1:$L$46,_xlfn.SINGLE(MATCH('BMP P Tracking Table'!$BA240,'Performance Curves'!$D$1:$L$1,1))+2,FALSE)-VLOOKUP(CONCATENATE('BMP P Tracking Table'!$AW240," ",'BMP P Tracking Table'!$AY240),'Performance Curves'!$C$1:$L$46,_xlfn.SINGLE(MATCH('BMP P Tracking Table'!$BA240,'Performance Curves'!$D$1:$L$1,1))+1,FALSE)),"")</f>
        <v/>
      </c>
      <c r="BC240" s="102" t="str">
        <f>IFERROR(('BMP P Tracking Table'!$BA240-INDEX('Performance Curves'!$D$1:$L$1,1,MATCH('BMP P Tracking Table'!$BA240,'Performance Curves'!$D$1:$L$1,1)))/(INDEX('Performance Curves'!$D$1:$L$1,1,MATCH('BMP P Tracking Table'!$BA240,'Performance Curves'!$D$1:$L$1,1)+1)-INDEX('Performance Curves'!$D$1:$L$1,1,MATCH('BMP P Tracking Table'!$BA240,'Performance Curves'!$D$1:$L$1,1))),"")</f>
        <v/>
      </c>
      <c r="BD240" s="103" t="str" cm="1">
        <f t="array" ref="BD240">IFERROR(IF('BMP P Tracking Table'!$BA240=2,VLOOKUP(CONCATENATE('BMP P Tracking Table'!$AW240," ",'BMP P Tracking Table'!$AY240),'Performance Curves'!$C$1:$L$44,_xlfn.SINGLE(MATCH('BMP P Tracking Table'!$BA240,'Performance Curves'!$D$1:$L$1,1))+1,FALSE),'BMP P Tracking Table'!$BB240*'BMP P Tracking Table'!$BC240+VLOOKUP(CONCATENATE('BMP P Tracking Table'!$AW240," ",'BMP P Tracking Table'!$AY240),'Performance Curves'!$C$1:$L$44,_xlfn.SINGLE(MATCH('BMP P Tracking Table'!$BA240,'Performance Curves'!$D$1:$L$1,1))+1,FALSE)),"")</f>
        <v/>
      </c>
      <c r="BE240" s="104" t="str">
        <f>IFERROR('BMP P Tracking Table'!$BD240*'BMP P Tracking Table'!$AZ240,"")</f>
        <v/>
      </c>
      <c r="BF240" s="98"/>
      <c r="BG240" s="37">
        <f t="shared" si="36"/>
        <v>0</v>
      </c>
    </row>
    <row r="241" spans="2:59" s="36" customFormat="1">
      <c r="B241" s="65"/>
      <c r="C241" s="65"/>
      <c r="D241" s="65"/>
      <c r="E241" s="65"/>
      <c r="F241" s="94"/>
      <c r="G241" s="94"/>
      <c r="H241" s="65"/>
      <c r="I241" s="65"/>
      <c r="J241" s="65"/>
      <c r="K241" s="95"/>
      <c r="L241" s="65"/>
      <c r="M241" s="65"/>
      <c r="N241" s="65"/>
      <c r="O241" s="65"/>
      <c r="P241" s="65"/>
      <c r="Q241" s="65"/>
      <c r="R241" s="65" t="str">
        <f>IFERROR(VLOOKUP('BMP P Tracking Table'!$Q241,Dropdowns!$C$2:$E$15,3,FALSE),"")</f>
        <v/>
      </c>
      <c r="S241" s="65" t="str">
        <f>IFERROR(VLOOKUP('BMP P Tracking Table'!$R241,Dropdowns!$Q$3:$R$23,2,FALSE),"")</f>
        <v/>
      </c>
      <c r="T241" s="65"/>
      <c r="U241" s="65"/>
      <c r="V241" s="65"/>
      <c r="W241" s="65"/>
      <c r="X241" s="65"/>
      <c r="Y241" s="65"/>
      <c r="Z241" s="65"/>
      <c r="AA241" s="65"/>
      <c r="AB241" s="65"/>
      <c r="AC241" s="97"/>
      <c r="AD241" s="65"/>
      <c r="AE241" s="104" t="str">
        <f>IFERROR('BMP P Tracking Table'!$V241*VLOOKUP('BMP P Tracking Table'!$R241,'Loading Rates'!$B$1:$L$24,4,FALSE)+IF('BMP P Tracking Table'!$W241="By HSG",'BMP P Tracking Table'!$X241*VLOOKUP('BMP P Tracking Table'!$R241,'Loading Rates'!$B$1:$L$24,6,FALSE)+'BMP P Tracking Table'!$Y241*VLOOKUP('BMP P Tracking Table'!$R241,'Loading Rates'!$B$1:$L$24,7,FALSE)+'BMP P Tracking Table'!$Z241*VLOOKUP('BMP P Tracking Table'!$R241,'Loading Rates'!$B$1:$L$24,8,FALSE)+'BMP P Tracking Table'!$AA241*VLOOKUP('BMP P Tracking Table'!$R241,'Loading Rates'!$B$1:$L$24,9,FALSE),'BMP P Tracking Table'!$AB241*VLOOKUP('BMP P Tracking Table'!$R241,'Loading Rates'!$B$1:$L$24,10,FALSE)),"")</f>
        <v/>
      </c>
      <c r="AF241" s="104" t="str">
        <f>IFERROR(MIN(2,IF('BMP P Tracking Table'!$W241="Total Pervious",(-(3630*'BMP P Tracking Table'!$V241+20.691*'BMP P Tracking Table'!$AB241)+SQRT((3630*'BMP P Tracking Table'!$V241+20.691*'BMP P Tracking Table'!$AB241)^2-(4*(996.798*'BMP P Tracking Table'!$AB241)*-'BMP P Tracking Table'!$AC241)))/(2*(996.798*'BMP P Tracking Table'!$AB241)),IF(SUM('BMP P Tracking Table'!$X241:$AA241)=0,'BMP P Tracking Table'!$AC241/(-3630*'BMP P Tracking Table'!$V241),(-(3630*'BMP P Tracking Table'!$V241+20.691*'BMP P Tracking Table'!$AA241-216.711*'BMP P Tracking Table'!$Z241-83.853*'BMP P Tracking Table'!$Y241-42.834*'BMP P Tracking Table'!$X241)+SQRT((3630*'BMP P Tracking Table'!$V241+20.691*'BMP P Tracking Table'!$AA241-216.711*'BMP P Tracking Table'!$Z241-83.853*'BMP P Tracking Table'!$Y241-42.834*'BMP P Tracking Table'!$X241)^2-(4*(149.919*'BMP P Tracking Table'!$X241+236.676*'BMP P Tracking Table'!$Y241+726*'BMP P Tracking Table'!$Z241+996.798*'BMP P Tracking Table'!$AA241)*-'BMP P Tracking Table'!$AC241)))/(2*(149.919*'BMP P Tracking Table'!$X241+236.676*'BMP P Tracking Table'!$Y241+726*'BMP P Tracking Table'!$Z241+996.798*'BMP P Tracking Table'!$AA241))))),"")</f>
        <v/>
      </c>
      <c r="AG241" s="104" t="str">
        <f>IFERROR((VLOOKUP(CONCATENATE('BMP P Tracking Table'!$U241," ",'BMP P Tracking Table'!$AD241),'Performance Curves'!$C$1:$L$46,_xlfn.SINGLE(MATCH('BMP P Tracking Table'!$AF241,'Performance Curves'!$D$1:$L$1,1))+2,FALSE)-VLOOKUP(CONCATENATE('BMP P Tracking Table'!$U241," ",'BMP P Tracking Table'!$AD241),'Performance Curves'!$C$1:$L$46,_xlfn.SINGLE(MATCH('BMP P Tracking Table'!$AF241,'Performance Curves'!$D$1:$L$1,1))+1,FALSE)),"")</f>
        <v/>
      </c>
      <c r="AH241" s="104" t="str">
        <f>IFERROR(('BMP P Tracking Table'!$AF241-INDEX('Performance Curves'!$D$1:$L$1,1,MATCH('BMP P Tracking Table'!$AF241,'Performance Curves'!$D$1:$L$1,1)))/(INDEX('Performance Curves'!$D$1:$L$1,1,MATCH('BMP P Tracking Table'!$AF241,'Performance Curves'!$D$1:$L$1,1)+1)-INDEX('Performance Curves'!$D$1:$L$1,1,MATCH('BMP P Tracking Table'!$AF241,'Performance Curves'!$D$1:$L$1,1))),"")</f>
        <v/>
      </c>
      <c r="AI241" s="103" t="str">
        <f>IFERROR(IF('BMP P Tracking Table'!$AF241=2,VLOOKUP(CONCATENATE('BMP P Tracking Table'!$U241," ",'BMP P Tracking Table'!$AD241),'Performance Curves'!$C$1:$L$46,_xlfn.SINGLE(MATCH('BMP P Tracking Table'!$AF241,'Performance Curves'!$D$1:$L$1,1))+1,FALSE),'BMP P Tracking Table'!$AG241*'BMP P Tracking Table'!$AH241+VLOOKUP(CONCATENATE('BMP P Tracking Table'!$U241," ",'BMP P Tracking Table'!$AD241),'Performance Curves'!$C$1:$L$46,_xlfn.SINGLE(MATCH('BMP P Tracking Table'!$AF241,'Performance Curves'!$D$1:$L$1,1))+1,FALSE)),"")</f>
        <v/>
      </c>
      <c r="AJ241" s="104" t="str">
        <f>IFERROR('BMP P Tracking Table'!$AI241*'BMP P Tracking Table'!$AE241,"")</f>
        <v/>
      </c>
      <c r="AK241" s="65"/>
      <c r="AL241" s="98"/>
      <c r="AM241" s="98"/>
      <c r="AN241" s="64">
        <v>1</v>
      </c>
      <c r="AO241" s="102" t="str">
        <f t="shared" si="35"/>
        <v/>
      </c>
      <c r="AP241" s="98"/>
      <c r="AQ241" s="98"/>
      <c r="AR241" s="98"/>
      <c r="AS241" s="98"/>
      <c r="AT241" s="98"/>
      <c r="AU241" s="98"/>
      <c r="AV241" s="98"/>
      <c r="AW241" s="65"/>
      <c r="AX241" s="99"/>
      <c r="AY241" s="99"/>
      <c r="AZ241" s="104" t="str">
        <f>IF('BMP P Tracking Table'!$AL241="Yes",IF('BMP P Tracking Table'!$AM241="No",'BMP P Tracking Table'!$V241*VLOOKUP('BMP P Tracking Table'!$R241,'Loading Rates'!$B$1:$L$24,4,FALSE)+IF('BMP P Tracking Table'!$W241="By HSG",'BMP P Tracking Table'!$X241*VLOOKUP('BMP P Tracking Table'!$R241,'Loading Rates'!$B$1:$L$24,6,FALSE)+'BMP P Tracking Table'!$Y241*VLOOKUP('BMP P Tracking Table'!$R241,'Loading Rates'!$B$1:$L$24,7,FALSE)+'BMP P Tracking Table'!$Z241*VLOOKUP('BMP P Tracking Table'!$R241,'Loading Rates'!$B$1:$L$24,8,FALSE)+'BMP P Tracking Table'!$AA241*VLOOKUP('BMP P Tracking Table'!$R241,'Loading Rates'!$B$1:$L$24,9,FALSE),'BMP P Tracking Table'!$AB241*VLOOKUP('BMP P Tracking Table'!$R241,'Loading Rates'!$B$1:$L$24,10,FALSE)),'BMP P Tracking Table'!$AP241*VLOOKUP('BMP P Tracking Table'!$R241,'Loading Rates'!$B$1:$L$24,4,FALSE)+IF('BMP P Tracking Table'!$AQ241="By HSG",'BMP P Tracking Table'!$AR241*VLOOKUP('BMP P Tracking Table'!$R241,'Loading Rates'!$B$1:$L$24,6,FALSE)+'BMP P Tracking Table'!$AS241*VLOOKUP('BMP P Tracking Table'!$R241,'Loading Rates'!$B$1:$L$24,7,FALSE)+'BMP P Tracking Table'!$AT241*VLOOKUP('BMP P Tracking Table'!$R241,'Loading Rates'!$B$1:$L$24,8,FALSE)+'BMP P Tracking Table'!$AU241*VLOOKUP('BMP P Tracking Table'!$R241,'Loading Rates'!$B$1:$L$24,9,FALSE),'BMP P Tracking Table'!$AV241*VLOOKUP('BMP P Tracking Table'!$R241,'Loading Rates'!$B$1:$L$24,10,FALSE))),"")</f>
        <v/>
      </c>
      <c r="BA241" s="104" t="str">
        <f>IFERROR(IF('BMP P Tracking Table'!$AM241="Yes",MIN(2,IF('BMP P Tracking Table'!$AQ241="Total Pervious",(-(3630*'BMP P Tracking Table'!$AP241+20.691*'BMP P Tracking Table'!$AV241)+SQRT((3630*'BMP P Tracking Table'!$AP241+20.691*'BMP P Tracking Table'!$AV241)^2-(4*(996.798*'BMP P Tracking Table'!$AV241)*-'BMP P Tracking Table'!$AX241)))/(2*(996.798*'BMP P Tracking Table'!$AV241)),IF(SUM('BMP P Tracking Table'!$AR241:$AU241)=0,'BMP P Tracking Table'!$AV241/(-3630*'BMP P Tracking Table'!$AP241),(-(3630*'BMP P Tracking Table'!$AP241+20.691*'BMP P Tracking Table'!$AU241-216.711*'BMP P Tracking Table'!$AT241-83.853*'BMP P Tracking Table'!$AS241-42.834*'BMP P Tracking Table'!$AR241)+SQRT((3630*'BMP P Tracking Table'!$AP241+20.691*'BMP P Tracking Table'!$AU241-216.711*'BMP P Tracking Table'!$AT241-83.853*'BMP P Tracking Table'!$AS241-42.834*'BMP P Tracking Table'!$AR241)^2-(4*(149.919*'BMP P Tracking Table'!$AR241+236.676*'BMP P Tracking Table'!$AS241+726*'BMP P Tracking Table'!$AT241+996.798*'BMP P Tracking Table'!$AU241)*-'BMP P Tracking Table'!$AX241)))/(2*(149.919*'BMP P Tracking Table'!$AR241+236.676*'BMP P Tracking Table'!$AS241+726*'BMP P Tracking Table'!$AT241+996.798*'BMP P Tracking Table'!$AU241))))),MIN(2,IF('BMP P Tracking Table'!$AQ241="Total Pervious",(-(3630*'BMP P Tracking Table'!$V241+20.691*'BMP P Tracking Table'!$AB241)+SQRT((3630*'BMP P Tracking Table'!$V241+20.691*'BMP P Tracking Table'!$AB241)^2-(4*(996.798*'BMP P Tracking Table'!$AB241)*-'BMP P Tracking Table'!$AX241)))/(2*(996.798*'BMP P Tracking Table'!$AB241)),IF(SUM('BMP P Tracking Table'!$X241:$AA241)=0,'BMP P Tracking Table'!$AX241/(-3630*'BMP P Tracking Table'!$V241),(-(3630*'BMP P Tracking Table'!$V241+20.691*'BMP P Tracking Table'!$AA241-216.711*'BMP P Tracking Table'!$Z241-83.853*'BMP P Tracking Table'!$Y241-42.834*'BMP P Tracking Table'!$X241)+SQRT((3630*'BMP P Tracking Table'!$V241+20.691*'BMP P Tracking Table'!$AA241-216.711*'BMP P Tracking Table'!$Z241-83.853*'BMP P Tracking Table'!$Y241-42.834*'BMP P Tracking Table'!$X241)^2-(4*(149.919*'BMP P Tracking Table'!$X241+236.676*'BMP P Tracking Table'!$Y241+726*'BMP P Tracking Table'!$Z241+996.798*'BMP P Tracking Table'!$AA241)*-'BMP P Tracking Table'!$AX241)))/(2*(149.919*'BMP P Tracking Table'!$X241+236.676*'BMP P Tracking Table'!$Y241+726*'BMP P Tracking Table'!$Z241+996.798*'BMP P Tracking Table'!$AA241)))))),"")</f>
        <v/>
      </c>
      <c r="BB241" s="102" t="str">
        <f>IFERROR((VLOOKUP(CONCATENATE('BMP P Tracking Table'!$AW241," ",'BMP P Tracking Table'!$AY241),'Performance Curves'!$C$1:$L$46,_xlfn.SINGLE(MATCH('BMP P Tracking Table'!$BA241,'Performance Curves'!$D$1:$L$1,1))+2,FALSE)-VLOOKUP(CONCATENATE('BMP P Tracking Table'!$AW241," ",'BMP P Tracking Table'!$AY241),'Performance Curves'!$C$1:$L$46,_xlfn.SINGLE(MATCH('BMP P Tracking Table'!$BA241,'Performance Curves'!$D$1:$L$1,1))+1,FALSE)),"")</f>
        <v/>
      </c>
      <c r="BC241" s="102" t="str">
        <f>IFERROR(('BMP P Tracking Table'!$BA241-INDEX('Performance Curves'!$D$1:$L$1,1,MATCH('BMP P Tracking Table'!$BA241,'Performance Curves'!$D$1:$L$1,1)))/(INDEX('Performance Curves'!$D$1:$L$1,1,MATCH('BMP P Tracking Table'!$BA241,'Performance Curves'!$D$1:$L$1,1)+1)-INDEX('Performance Curves'!$D$1:$L$1,1,MATCH('BMP P Tracking Table'!$BA241,'Performance Curves'!$D$1:$L$1,1))),"")</f>
        <v/>
      </c>
      <c r="BD241" s="103" t="str" cm="1">
        <f t="array" ref="BD241">IFERROR(IF('BMP P Tracking Table'!$BA241=2,VLOOKUP(CONCATENATE('BMP P Tracking Table'!$AW241," ",'BMP P Tracking Table'!$AY241),'Performance Curves'!$C$1:$L$44,_xlfn.SINGLE(MATCH('BMP P Tracking Table'!$BA241,'Performance Curves'!$D$1:$L$1,1))+1,FALSE),'BMP P Tracking Table'!$BB241*'BMP P Tracking Table'!$BC241+VLOOKUP(CONCATENATE('BMP P Tracking Table'!$AW241," ",'BMP P Tracking Table'!$AY241),'Performance Curves'!$C$1:$L$44,_xlfn.SINGLE(MATCH('BMP P Tracking Table'!$BA241,'Performance Curves'!$D$1:$L$1,1))+1,FALSE)),"")</f>
        <v/>
      </c>
      <c r="BE241" s="104" t="str">
        <f>IFERROR('BMP P Tracking Table'!$BD241*'BMP P Tracking Table'!$AZ241,"")</f>
        <v/>
      </c>
      <c r="BF241" s="98"/>
      <c r="BG241" s="37">
        <f t="shared" si="36"/>
        <v>0</v>
      </c>
    </row>
    <row r="242" spans="2:59" s="36" customFormat="1">
      <c r="B242" s="65"/>
      <c r="C242" s="65"/>
      <c r="D242" s="65"/>
      <c r="E242" s="65"/>
      <c r="F242" s="94"/>
      <c r="G242" s="94"/>
      <c r="H242" s="65"/>
      <c r="I242" s="65"/>
      <c r="J242" s="65"/>
      <c r="K242" s="95"/>
      <c r="L242" s="65"/>
      <c r="M242" s="65"/>
      <c r="N242" s="65"/>
      <c r="O242" s="65"/>
      <c r="P242" s="65"/>
      <c r="Q242" s="65"/>
      <c r="R242" s="65" t="str">
        <f>IFERROR(VLOOKUP('BMP P Tracking Table'!$Q242,Dropdowns!$C$2:$E$15,3,FALSE),"")</f>
        <v/>
      </c>
      <c r="S242" s="65" t="str">
        <f>IFERROR(VLOOKUP('BMP P Tracking Table'!$R242,Dropdowns!$Q$3:$R$23,2,FALSE),"")</f>
        <v/>
      </c>
      <c r="T242" s="65"/>
      <c r="U242" s="65"/>
      <c r="V242" s="65"/>
      <c r="W242" s="65"/>
      <c r="X242" s="65"/>
      <c r="Y242" s="65"/>
      <c r="Z242" s="65"/>
      <c r="AA242" s="65"/>
      <c r="AB242" s="65"/>
      <c r="AC242" s="97"/>
      <c r="AD242" s="65"/>
      <c r="AE242" s="104" t="str">
        <f>IFERROR('BMP P Tracking Table'!$V242*VLOOKUP('BMP P Tracking Table'!$R242,'Loading Rates'!$B$1:$L$24,4,FALSE)+IF('BMP P Tracking Table'!$W242="By HSG",'BMP P Tracking Table'!$X242*VLOOKUP('BMP P Tracking Table'!$R242,'Loading Rates'!$B$1:$L$24,6,FALSE)+'BMP P Tracking Table'!$Y242*VLOOKUP('BMP P Tracking Table'!$R242,'Loading Rates'!$B$1:$L$24,7,FALSE)+'BMP P Tracking Table'!$Z242*VLOOKUP('BMP P Tracking Table'!$R242,'Loading Rates'!$B$1:$L$24,8,FALSE)+'BMP P Tracking Table'!$AA242*VLOOKUP('BMP P Tracking Table'!$R242,'Loading Rates'!$B$1:$L$24,9,FALSE),'BMP P Tracking Table'!$AB242*VLOOKUP('BMP P Tracking Table'!$R242,'Loading Rates'!$B$1:$L$24,10,FALSE)),"")</f>
        <v/>
      </c>
      <c r="AF242" s="104" t="str">
        <f>IFERROR(MIN(2,IF('BMP P Tracking Table'!$W242="Total Pervious",(-(3630*'BMP P Tracking Table'!$V242+20.691*'BMP P Tracking Table'!$AB242)+SQRT((3630*'BMP P Tracking Table'!$V242+20.691*'BMP P Tracking Table'!$AB242)^2-(4*(996.798*'BMP P Tracking Table'!$AB242)*-'BMP P Tracking Table'!$AC242)))/(2*(996.798*'BMP P Tracking Table'!$AB242)),IF(SUM('BMP P Tracking Table'!$X242:$AA242)=0,'BMP P Tracking Table'!$AC242/(-3630*'BMP P Tracking Table'!$V242),(-(3630*'BMP P Tracking Table'!$V242+20.691*'BMP P Tracking Table'!$AA242-216.711*'BMP P Tracking Table'!$Z242-83.853*'BMP P Tracking Table'!$Y242-42.834*'BMP P Tracking Table'!$X242)+SQRT((3630*'BMP P Tracking Table'!$V242+20.691*'BMP P Tracking Table'!$AA242-216.711*'BMP P Tracking Table'!$Z242-83.853*'BMP P Tracking Table'!$Y242-42.834*'BMP P Tracking Table'!$X242)^2-(4*(149.919*'BMP P Tracking Table'!$X242+236.676*'BMP P Tracking Table'!$Y242+726*'BMP P Tracking Table'!$Z242+996.798*'BMP P Tracking Table'!$AA242)*-'BMP P Tracking Table'!$AC242)))/(2*(149.919*'BMP P Tracking Table'!$X242+236.676*'BMP P Tracking Table'!$Y242+726*'BMP P Tracking Table'!$Z242+996.798*'BMP P Tracking Table'!$AA242))))),"")</f>
        <v/>
      </c>
      <c r="AG242" s="104" t="str">
        <f>IFERROR((VLOOKUP(CONCATENATE('BMP P Tracking Table'!$U242," ",'BMP P Tracking Table'!$AD242),'Performance Curves'!$C$1:$L$46,_xlfn.SINGLE(MATCH('BMP P Tracking Table'!$AF242,'Performance Curves'!$D$1:$L$1,1))+2,FALSE)-VLOOKUP(CONCATENATE('BMP P Tracking Table'!$U242," ",'BMP P Tracking Table'!$AD242),'Performance Curves'!$C$1:$L$46,_xlfn.SINGLE(MATCH('BMP P Tracking Table'!$AF242,'Performance Curves'!$D$1:$L$1,1))+1,FALSE)),"")</f>
        <v/>
      </c>
      <c r="AH242" s="104" t="str">
        <f>IFERROR(('BMP P Tracking Table'!$AF242-INDEX('Performance Curves'!$D$1:$L$1,1,MATCH('BMP P Tracking Table'!$AF242,'Performance Curves'!$D$1:$L$1,1)))/(INDEX('Performance Curves'!$D$1:$L$1,1,MATCH('BMP P Tracking Table'!$AF242,'Performance Curves'!$D$1:$L$1,1)+1)-INDEX('Performance Curves'!$D$1:$L$1,1,MATCH('BMP P Tracking Table'!$AF242,'Performance Curves'!$D$1:$L$1,1))),"")</f>
        <v/>
      </c>
      <c r="AI242" s="103" t="str">
        <f>IFERROR(IF('BMP P Tracking Table'!$AF242=2,VLOOKUP(CONCATENATE('BMP P Tracking Table'!$U242," ",'BMP P Tracking Table'!$AD242),'Performance Curves'!$C$1:$L$46,_xlfn.SINGLE(MATCH('BMP P Tracking Table'!$AF242,'Performance Curves'!$D$1:$L$1,1))+1,FALSE),'BMP P Tracking Table'!$AG242*'BMP P Tracking Table'!$AH242+VLOOKUP(CONCATENATE('BMP P Tracking Table'!$U242," ",'BMP P Tracking Table'!$AD242),'Performance Curves'!$C$1:$L$46,_xlfn.SINGLE(MATCH('BMP P Tracking Table'!$AF242,'Performance Curves'!$D$1:$L$1,1))+1,FALSE)),"")</f>
        <v/>
      </c>
      <c r="AJ242" s="104" t="str">
        <f>IFERROR('BMP P Tracking Table'!$AI242*'BMP P Tracking Table'!$AE242,"")</f>
        <v/>
      </c>
      <c r="AK242" s="65"/>
      <c r="AL242" s="98"/>
      <c r="AM242" s="98"/>
      <c r="AN242" s="64">
        <v>1</v>
      </c>
      <c r="AO242" s="102" t="str">
        <f t="shared" si="35"/>
        <v/>
      </c>
      <c r="AP242" s="98"/>
      <c r="AQ242" s="98"/>
      <c r="AR242" s="98"/>
      <c r="AS242" s="98"/>
      <c r="AT242" s="98"/>
      <c r="AU242" s="98"/>
      <c r="AV242" s="98"/>
      <c r="AW242" s="65"/>
      <c r="AX242" s="99"/>
      <c r="AY242" s="99"/>
      <c r="AZ242" s="104" t="str">
        <f>IF('BMP P Tracking Table'!$AL242="Yes",IF('BMP P Tracking Table'!$AM242="No",'BMP P Tracking Table'!$V242*VLOOKUP('BMP P Tracking Table'!$R242,'Loading Rates'!$B$1:$L$24,4,FALSE)+IF('BMP P Tracking Table'!$W242="By HSG",'BMP P Tracking Table'!$X242*VLOOKUP('BMP P Tracking Table'!$R242,'Loading Rates'!$B$1:$L$24,6,FALSE)+'BMP P Tracking Table'!$Y242*VLOOKUP('BMP P Tracking Table'!$R242,'Loading Rates'!$B$1:$L$24,7,FALSE)+'BMP P Tracking Table'!$Z242*VLOOKUP('BMP P Tracking Table'!$R242,'Loading Rates'!$B$1:$L$24,8,FALSE)+'BMP P Tracking Table'!$AA242*VLOOKUP('BMP P Tracking Table'!$R242,'Loading Rates'!$B$1:$L$24,9,FALSE),'BMP P Tracking Table'!$AB242*VLOOKUP('BMP P Tracking Table'!$R242,'Loading Rates'!$B$1:$L$24,10,FALSE)),'BMP P Tracking Table'!$AP242*VLOOKUP('BMP P Tracking Table'!$R242,'Loading Rates'!$B$1:$L$24,4,FALSE)+IF('BMP P Tracking Table'!$AQ242="By HSG",'BMP P Tracking Table'!$AR242*VLOOKUP('BMP P Tracking Table'!$R242,'Loading Rates'!$B$1:$L$24,6,FALSE)+'BMP P Tracking Table'!$AS242*VLOOKUP('BMP P Tracking Table'!$R242,'Loading Rates'!$B$1:$L$24,7,FALSE)+'BMP P Tracking Table'!$AT242*VLOOKUP('BMP P Tracking Table'!$R242,'Loading Rates'!$B$1:$L$24,8,FALSE)+'BMP P Tracking Table'!$AU242*VLOOKUP('BMP P Tracking Table'!$R242,'Loading Rates'!$B$1:$L$24,9,FALSE),'BMP P Tracking Table'!$AV242*VLOOKUP('BMP P Tracking Table'!$R242,'Loading Rates'!$B$1:$L$24,10,FALSE))),"")</f>
        <v/>
      </c>
      <c r="BA242" s="104" t="str">
        <f>IFERROR(IF('BMP P Tracking Table'!$AM242="Yes",MIN(2,IF('BMP P Tracking Table'!$AQ242="Total Pervious",(-(3630*'BMP P Tracking Table'!$AP242+20.691*'BMP P Tracking Table'!$AV242)+SQRT((3630*'BMP P Tracking Table'!$AP242+20.691*'BMP P Tracking Table'!$AV242)^2-(4*(996.798*'BMP P Tracking Table'!$AV242)*-'BMP P Tracking Table'!$AX242)))/(2*(996.798*'BMP P Tracking Table'!$AV242)),IF(SUM('BMP P Tracking Table'!$AR242:$AU242)=0,'BMP P Tracking Table'!$AV242/(-3630*'BMP P Tracking Table'!$AP242),(-(3630*'BMP P Tracking Table'!$AP242+20.691*'BMP P Tracking Table'!$AU242-216.711*'BMP P Tracking Table'!$AT242-83.853*'BMP P Tracking Table'!$AS242-42.834*'BMP P Tracking Table'!$AR242)+SQRT((3630*'BMP P Tracking Table'!$AP242+20.691*'BMP P Tracking Table'!$AU242-216.711*'BMP P Tracking Table'!$AT242-83.853*'BMP P Tracking Table'!$AS242-42.834*'BMP P Tracking Table'!$AR242)^2-(4*(149.919*'BMP P Tracking Table'!$AR242+236.676*'BMP P Tracking Table'!$AS242+726*'BMP P Tracking Table'!$AT242+996.798*'BMP P Tracking Table'!$AU242)*-'BMP P Tracking Table'!$AX242)))/(2*(149.919*'BMP P Tracking Table'!$AR242+236.676*'BMP P Tracking Table'!$AS242+726*'BMP P Tracking Table'!$AT242+996.798*'BMP P Tracking Table'!$AU242))))),MIN(2,IF('BMP P Tracking Table'!$AQ242="Total Pervious",(-(3630*'BMP P Tracking Table'!$V242+20.691*'BMP P Tracking Table'!$AB242)+SQRT((3630*'BMP P Tracking Table'!$V242+20.691*'BMP P Tracking Table'!$AB242)^2-(4*(996.798*'BMP P Tracking Table'!$AB242)*-'BMP P Tracking Table'!$AX242)))/(2*(996.798*'BMP P Tracking Table'!$AB242)),IF(SUM('BMP P Tracking Table'!$X242:$AA242)=0,'BMP P Tracking Table'!$AX242/(-3630*'BMP P Tracking Table'!$V242),(-(3630*'BMP P Tracking Table'!$V242+20.691*'BMP P Tracking Table'!$AA242-216.711*'BMP P Tracking Table'!$Z242-83.853*'BMP P Tracking Table'!$Y242-42.834*'BMP P Tracking Table'!$X242)+SQRT((3630*'BMP P Tracking Table'!$V242+20.691*'BMP P Tracking Table'!$AA242-216.711*'BMP P Tracking Table'!$Z242-83.853*'BMP P Tracking Table'!$Y242-42.834*'BMP P Tracking Table'!$X242)^2-(4*(149.919*'BMP P Tracking Table'!$X242+236.676*'BMP P Tracking Table'!$Y242+726*'BMP P Tracking Table'!$Z242+996.798*'BMP P Tracking Table'!$AA242)*-'BMP P Tracking Table'!$AX242)))/(2*(149.919*'BMP P Tracking Table'!$X242+236.676*'BMP P Tracking Table'!$Y242+726*'BMP P Tracking Table'!$Z242+996.798*'BMP P Tracking Table'!$AA242)))))),"")</f>
        <v/>
      </c>
      <c r="BB242" s="102" t="str">
        <f>IFERROR((VLOOKUP(CONCATENATE('BMP P Tracking Table'!$AW242," ",'BMP P Tracking Table'!$AY242),'Performance Curves'!$C$1:$L$46,_xlfn.SINGLE(MATCH('BMP P Tracking Table'!$BA242,'Performance Curves'!$D$1:$L$1,1))+2,FALSE)-VLOOKUP(CONCATENATE('BMP P Tracking Table'!$AW242," ",'BMP P Tracking Table'!$AY242),'Performance Curves'!$C$1:$L$46,_xlfn.SINGLE(MATCH('BMP P Tracking Table'!$BA242,'Performance Curves'!$D$1:$L$1,1))+1,FALSE)),"")</f>
        <v/>
      </c>
      <c r="BC242" s="102" t="str">
        <f>IFERROR(('BMP P Tracking Table'!$BA242-INDEX('Performance Curves'!$D$1:$L$1,1,MATCH('BMP P Tracking Table'!$BA242,'Performance Curves'!$D$1:$L$1,1)))/(INDEX('Performance Curves'!$D$1:$L$1,1,MATCH('BMP P Tracking Table'!$BA242,'Performance Curves'!$D$1:$L$1,1)+1)-INDEX('Performance Curves'!$D$1:$L$1,1,MATCH('BMP P Tracking Table'!$BA242,'Performance Curves'!$D$1:$L$1,1))),"")</f>
        <v/>
      </c>
      <c r="BD242" s="103" t="str" cm="1">
        <f t="array" ref="BD242">IFERROR(IF('BMP P Tracking Table'!$BA242=2,VLOOKUP(CONCATENATE('BMP P Tracking Table'!$AW242," ",'BMP P Tracking Table'!$AY242),'Performance Curves'!$C$1:$L$44,_xlfn.SINGLE(MATCH('BMP P Tracking Table'!$BA242,'Performance Curves'!$D$1:$L$1,1))+1,FALSE),'BMP P Tracking Table'!$BB242*'BMP P Tracking Table'!$BC242+VLOOKUP(CONCATENATE('BMP P Tracking Table'!$AW242," ",'BMP P Tracking Table'!$AY242),'Performance Curves'!$C$1:$L$44,_xlfn.SINGLE(MATCH('BMP P Tracking Table'!$BA242,'Performance Curves'!$D$1:$L$1,1))+1,FALSE)),"")</f>
        <v/>
      </c>
      <c r="BE242" s="104" t="str">
        <f>IFERROR('BMP P Tracking Table'!$BD242*'BMP P Tracking Table'!$AZ242,"")</f>
        <v/>
      </c>
      <c r="BF242" s="98"/>
      <c r="BG242" s="37">
        <f t="shared" si="36"/>
        <v>0</v>
      </c>
    </row>
    <row r="243" spans="2:59" s="36" customFormat="1">
      <c r="B243" s="65"/>
      <c r="C243" s="65"/>
      <c r="D243" s="65"/>
      <c r="E243" s="65"/>
      <c r="F243" s="94"/>
      <c r="G243" s="94"/>
      <c r="H243" s="65"/>
      <c r="I243" s="65"/>
      <c r="J243" s="65"/>
      <c r="K243" s="95"/>
      <c r="L243" s="65"/>
      <c r="M243" s="65"/>
      <c r="N243" s="65"/>
      <c r="O243" s="65"/>
      <c r="P243" s="65"/>
      <c r="Q243" s="65"/>
      <c r="R243" s="65" t="str">
        <f>IFERROR(VLOOKUP('BMP P Tracking Table'!$Q243,Dropdowns!$C$2:$E$15,3,FALSE),"")</f>
        <v/>
      </c>
      <c r="S243" s="65" t="str">
        <f>IFERROR(VLOOKUP('BMP P Tracking Table'!$R243,Dropdowns!$Q$3:$R$23,2,FALSE),"")</f>
        <v/>
      </c>
      <c r="T243" s="65"/>
      <c r="U243" s="65"/>
      <c r="V243" s="65"/>
      <c r="W243" s="65"/>
      <c r="X243" s="65"/>
      <c r="Y243" s="65"/>
      <c r="Z243" s="65"/>
      <c r="AA243" s="65"/>
      <c r="AB243" s="65"/>
      <c r="AC243" s="97"/>
      <c r="AD243" s="65"/>
      <c r="AE243" s="104" t="str">
        <f>IFERROR('BMP P Tracking Table'!$V243*VLOOKUP('BMP P Tracking Table'!$R243,'Loading Rates'!$B$1:$L$24,4,FALSE)+IF('BMP P Tracking Table'!$W243="By HSG",'BMP P Tracking Table'!$X243*VLOOKUP('BMP P Tracking Table'!$R243,'Loading Rates'!$B$1:$L$24,6,FALSE)+'BMP P Tracking Table'!$Y243*VLOOKUP('BMP P Tracking Table'!$R243,'Loading Rates'!$B$1:$L$24,7,FALSE)+'BMP P Tracking Table'!$Z243*VLOOKUP('BMP P Tracking Table'!$R243,'Loading Rates'!$B$1:$L$24,8,FALSE)+'BMP P Tracking Table'!$AA243*VLOOKUP('BMP P Tracking Table'!$R243,'Loading Rates'!$B$1:$L$24,9,FALSE),'BMP P Tracking Table'!$AB243*VLOOKUP('BMP P Tracking Table'!$R243,'Loading Rates'!$B$1:$L$24,10,FALSE)),"")</f>
        <v/>
      </c>
      <c r="AF243" s="104" t="str">
        <f>IFERROR(MIN(2,IF('BMP P Tracking Table'!$W243="Total Pervious",(-(3630*'BMP P Tracking Table'!$V243+20.691*'BMP P Tracking Table'!$AB243)+SQRT((3630*'BMP P Tracking Table'!$V243+20.691*'BMP P Tracking Table'!$AB243)^2-(4*(996.798*'BMP P Tracking Table'!$AB243)*-'BMP P Tracking Table'!$AC243)))/(2*(996.798*'BMP P Tracking Table'!$AB243)),IF(SUM('BMP P Tracking Table'!$X243:$AA243)=0,'BMP P Tracking Table'!$AC243/(-3630*'BMP P Tracking Table'!$V243),(-(3630*'BMP P Tracking Table'!$V243+20.691*'BMP P Tracking Table'!$AA243-216.711*'BMP P Tracking Table'!$Z243-83.853*'BMP P Tracking Table'!$Y243-42.834*'BMP P Tracking Table'!$X243)+SQRT((3630*'BMP P Tracking Table'!$V243+20.691*'BMP P Tracking Table'!$AA243-216.711*'BMP P Tracking Table'!$Z243-83.853*'BMP P Tracking Table'!$Y243-42.834*'BMP P Tracking Table'!$X243)^2-(4*(149.919*'BMP P Tracking Table'!$X243+236.676*'BMP P Tracking Table'!$Y243+726*'BMP P Tracking Table'!$Z243+996.798*'BMP P Tracking Table'!$AA243)*-'BMP P Tracking Table'!$AC243)))/(2*(149.919*'BMP P Tracking Table'!$X243+236.676*'BMP P Tracking Table'!$Y243+726*'BMP P Tracking Table'!$Z243+996.798*'BMP P Tracking Table'!$AA243))))),"")</f>
        <v/>
      </c>
      <c r="AG243" s="104" t="str">
        <f>IFERROR((VLOOKUP(CONCATENATE('BMP P Tracking Table'!$U243," ",'BMP P Tracking Table'!$AD243),'Performance Curves'!$C$1:$L$46,_xlfn.SINGLE(MATCH('BMP P Tracking Table'!$AF243,'Performance Curves'!$D$1:$L$1,1))+2,FALSE)-VLOOKUP(CONCATENATE('BMP P Tracking Table'!$U243," ",'BMP P Tracking Table'!$AD243),'Performance Curves'!$C$1:$L$46,_xlfn.SINGLE(MATCH('BMP P Tracking Table'!$AF243,'Performance Curves'!$D$1:$L$1,1))+1,FALSE)),"")</f>
        <v/>
      </c>
      <c r="AH243" s="104" t="str">
        <f>IFERROR(('BMP P Tracking Table'!$AF243-INDEX('Performance Curves'!$D$1:$L$1,1,MATCH('BMP P Tracking Table'!$AF243,'Performance Curves'!$D$1:$L$1,1)))/(INDEX('Performance Curves'!$D$1:$L$1,1,MATCH('BMP P Tracking Table'!$AF243,'Performance Curves'!$D$1:$L$1,1)+1)-INDEX('Performance Curves'!$D$1:$L$1,1,MATCH('BMP P Tracking Table'!$AF243,'Performance Curves'!$D$1:$L$1,1))),"")</f>
        <v/>
      </c>
      <c r="AI243" s="103" t="str">
        <f>IFERROR(IF('BMP P Tracking Table'!$AF243=2,VLOOKUP(CONCATENATE('BMP P Tracking Table'!$U243," ",'BMP P Tracking Table'!$AD243),'Performance Curves'!$C$1:$L$46,_xlfn.SINGLE(MATCH('BMP P Tracking Table'!$AF243,'Performance Curves'!$D$1:$L$1,1))+1,FALSE),'BMP P Tracking Table'!$AG243*'BMP P Tracking Table'!$AH243+VLOOKUP(CONCATENATE('BMP P Tracking Table'!$U243," ",'BMP P Tracking Table'!$AD243),'Performance Curves'!$C$1:$L$46,_xlfn.SINGLE(MATCH('BMP P Tracking Table'!$AF243,'Performance Curves'!$D$1:$L$1,1))+1,FALSE)),"")</f>
        <v/>
      </c>
      <c r="AJ243" s="104" t="str">
        <f>IFERROR('BMP P Tracking Table'!$AI243*'BMP P Tracking Table'!$AE243,"")</f>
        <v/>
      </c>
      <c r="AK243" s="65"/>
      <c r="AL243" s="98"/>
      <c r="AM243" s="98"/>
      <c r="AN243" s="64">
        <v>1</v>
      </c>
      <c r="AO243" s="102" t="str">
        <f t="shared" si="35"/>
        <v/>
      </c>
      <c r="AP243" s="98"/>
      <c r="AQ243" s="98"/>
      <c r="AR243" s="98"/>
      <c r="AS243" s="98"/>
      <c r="AT243" s="98"/>
      <c r="AU243" s="98"/>
      <c r="AV243" s="98"/>
      <c r="AW243" s="65"/>
      <c r="AX243" s="99"/>
      <c r="AY243" s="99"/>
      <c r="AZ243" s="104" t="str">
        <f>IF('BMP P Tracking Table'!$AL243="Yes",IF('BMP P Tracking Table'!$AM243="No",'BMP P Tracking Table'!$V243*VLOOKUP('BMP P Tracking Table'!$R243,'Loading Rates'!$B$1:$L$24,4,FALSE)+IF('BMP P Tracking Table'!$W243="By HSG",'BMP P Tracking Table'!$X243*VLOOKUP('BMP P Tracking Table'!$R243,'Loading Rates'!$B$1:$L$24,6,FALSE)+'BMP P Tracking Table'!$Y243*VLOOKUP('BMP P Tracking Table'!$R243,'Loading Rates'!$B$1:$L$24,7,FALSE)+'BMP P Tracking Table'!$Z243*VLOOKUP('BMP P Tracking Table'!$R243,'Loading Rates'!$B$1:$L$24,8,FALSE)+'BMP P Tracking Table'!$AA243*VLOOKUP('BMP P Tracking Table'!$R243,'Loading Rates'!$B$1:$L$24,9,FALSE),'BMP P Tracking Table'!$AB243*VLOOKUP('BMP P Tracking Table'!$R243,'Loading Rates'!$B$1:$L$24,10,FALSE)),'BMP P Tracking Table'!$AP243*VLOOKUP('BMP P Tracking Table'!$R243,'Loading Rates'!$B$1:$L$24,4,FALSE)+IF('BMP P Tracking Table'!$AQ243="By HSG",'BMP P Tracking Table'!$AR243*VLOOKUP('BMP P Tracking Table'!$R243,'Loading Rates'!$B$1:$L$24,6,FALSE)+'BMP P Tracking Table'!$AS243*VLOOKUP('BMP P Tracking Table'!$R243,'Loading Rates'!$B$1:$L$24,7,FALSE)+'BMP P Tracking Table'!$AT243*VLOOKUP('BMP P Tracking Table'!$R243,'Loading Rates'!$B$1:$L$24,8,FALSE)+'BMP P Tracking Table'!$AU243*VLOOKUP('BMP P Tracking Table'!$R243,'Loading Rates'!$B$1:$L$24,9,FALSE),'BMP P Tracking Table'!$AV243*VLOOKUP('BMP P Tracking Table'!$R243,'Loading Rates'!$B$1:$L$24,10,FALSE))),"")</f>
        <v/>
      </c>
      <c r="BA243" s="104" t="str">
        <f>IFERROR(IF('BMP P Tracking Table'!$AM243="Yes",MIN(2,IF('BMP P Tracking Table'!$AQ243="Total Pervious",(-(3630*'BMP P Tracking Table'!$AP243+20.691*'BMP P Tracking Table'!$AV243)+SQRT((3630*'BMP P Tracking Table'!$AP243+20.691*'BMP P Tracking Table'!$AV243)^2-(4*(996.798*'BMP P Tracking Table'!$AV243)*-'BMP P Tracking Table'!$AX243)))/(2*(996.798*'BMP P Tracking Table'!$AV243)),IF(SUM('BMP P Tracking Table'!$AR243:$AU243)=0,'BMP P Tracking Table'!$AV243/(-3630*'BMP P Tracking Table'!$AP243),(-(3630*'BMP P Tracking Table'!$AP243+20.691*'BMP P Tracking Table'!$AU243-216.711*'BMP P Tracking Table'!$AT243-83.853*'BMP P Tracking Table'!$AS243-42.834*'BMP P Tracking Table'!$AR243)+SQRT((3630*'BMP P Tracking Table'!$AP243+20.691*'BMP P Tracking Table'!$AU243-216.711*'BMP P Tracking Table'!$AT243-83.853*'BMP P Tracking Table'!$AS243-42.834*'BMP P Tracking Table'!$AR243)^2-(4*(149.919*'BMP P Tracking Table'!$AR243+236.676*'BMP P Tracking Table'!$AS243+726*'BMP P Tracking Table'!$AT243+996.798*'BMP P Tracking Table'!$AU243)*-'BMP P Tracking Table'!$AX243)))/(2*(149.919*'BMP P Tracking Table'!$AR243+236.676*'BMP P Tracking Table'!$AS243+726*'BMP P Tracking Table'!$AT243+996.798*'BMP P Tracking Table'!$AU243))))),MIN(2,IF('BMP P Tracking Table'!$AQ243="Total Pervious",(-(3630*'BMP P Tracking Table'!$V243+20.691*'BMP P Tracking Table'!$AB243)+SQRT((3630*'BMP P Tracking Table'!$V243+20.691*'BMP P Tracking Table'!$AB243)^2-(4*(996.798*'BMP P Tracking Table'!$AB243)*-'BMP P Tracking Table'!$AX243)))/(2*(996.798*'BMP P Tracking Table'!$AB243)),IF(SUM('BMP P Tracking Table'!$X243:$AA243)=0,'BMP P Tracking Table'!$AX243/(-3630*'BMP P Tracking Table'!$V243),(-(3630*'BMP P Tracking Table'!$V243+20.691*'BMP P Tracking Table'!$AA243-216.711*'BMP P Tracking Table'!$Z243-83.853*'BMP P Tracking Table'!$Y243-42.834*'BMP P Tracking Table'!$X243)+SQRT((3630*'BMP P Tracking Table'!$V243+20.691*'BMP P Tracking Table'!$AA243-216.711*'BMP P Tracking Table'!$Z243-83.853*'BMP P Tracking Table'!$Y243-42.834*'BMP P Tracking Table'!$X243)^2-(4*(149.919*'BMP P Tracking Table'!$X243+236.676*'BMP P Tracking Table'!$Y243+726*'BMP P Tracking Table'!$Z243+996.798*'BMP P Tracking Table'!$AA243)*-'BMP P Tracking Table'!$AX243)))/(2*(149.919*'BMP P Tracking Table'!$X243+236.676*'BMP P Tracking Table'!$Y243+726*'BMP P Tracking Table'!$Z243+996.798*'BMP P Tracking Table'!$AA243)))))),"")</f>
        <v/>
      </c>
      <c r="BB243" s="102" t="str">
        <f>IFERROR((VLOOKUP(CONCATENATE('BMP P Tracking Table'!$AW243," ",'BMP P Tracking Table'!$AY243),'Performance Curves'!$C$1:$L$46,_xlfn.SINGLE(MATCH('BMP P Tracking Table'!$BA243,'Performance Curves'!$D$1:$L$1,1))+2,FALSE)-VLOOKUP(CONCATENATE('BMP P Tracking Table'!$AW243," ",'BMP P Tracking Table'!$AY243),'Performance Curves'!$C$1:$L$46,_xlfn.SINGLE(MATCH('BMP P Tracking Table'!$BA243,'Performance Curves'!$D$1:$L$1,1))+1,FALSE)),"")</f>
        <v/>
      </c>
      <c r="BC243" s="102" t="str">
        <f>IFERROR(('BMP P Tracking Table'!$BA243-INDEX('Performance Curves'!$D$1:$L$1,1,MATCH('BMP P Tracking Table'!$BA243,'Performance Curves'!$D$1:$L$1,1)))/(INDEX('Performance Curves'!$D$1:$L$1,1,MATCH('BMP P Tracking Table'!$BA243,'Performance Curves'!$D$1:$L$1,1)+1)-INDEX('Performance Curves'!$D$1:$L$1,1,MATCH('BMP P Tracking Table'!$BA243,'Performance Curves'!$D$1:$L$1,1))),"")</f>
        <v/>
      </c>
      <c r="BD243" s="103" t="str" cm="1">
        <f t="array" ref="BD243">IFERROR(IF('BMP P Tracking Table'!$BA243=2,VLOOKUP(CONCATENATE('BMP P Tracking Table'!$AW243," ",'BMP P Tracking Table'!$AY243),'Performance Curves'!$C$1:$L$44,_xlfn.SINGLE(MATCH('BMP P Tracking Table'!$BA243,'Performance Curves'!$D$1:$L$1,1))+1,FALSE),'BMP P Tracking Table'!$BB243*'BMP P Tracking Table'!$BC243+VLOOKUP(CONCATENATE('BMP P Tracking Table'!$AW243," ",'BMP P Tracking Table'!$AY243),'Performance Curves'!$C$1:$L$44,_xlfn.SINGLE(MATCH('BMP P Tracking Table'!$BA243,'Performance Curves'!$D$1:$L$1,1))+1,FALSE)),"")</f>
        <v/>
      </c>
      <c r="BE243" s="104" t="str">
        <f>IFERROR('BMP P Tracking Table'!$BD243*'BMP P Tracking Table'!$AZ243,"")</f>
        <v/>
      </c>
      <c r="BF243" s="98"/>
      <c r="BG243" s="37">
        <f t="shared" si="36"/>
        <v>0</v>
      </c>
    </row>
    <row r="244" spans="2:59" s="36" customFormat="1">
      <c r="B244" s="65"/>
      <c r="C244" s="65"/>
      <c r="D244" s="65"/>
      <c r="E244" s="65"/>
      <c r="F244" s="94"/>
      <c r="G244" s="94"/>
      <c r="H244" s="65"/>
      <c r="I244" s="65"/>
      <c r="J244" s="65"/>
      <c r="K244" s="95"/>
      <c r="L244" s="65"/>
      <c r="M244" s="65"/>
      <c r="N244" s="65"/>
      <c r="O244" s="65"/>
      <c r="P244" s="65"/>
      <c r="Q244" s="65"/>
      <c r="R244" s="65" t="str">
        <f>IFERROR(VLOOKUP('BMP P Tracking Table'!$Q244,Dropdowns!$C$2:$E$15,3,FALSE),"")</f>
        <v/>
      </c>
      <c r="S244" s="65" t="str">
        <f>IFERROR(VLOOKUP('BMP P Tracking Table'!$R244,Dropdowns!$Q$3:$R$23,2,FALSE),"")</f>
        <v/>
      </c>
      <c r="T244" s="65"/>
      <c r="U244" s="65"/>
      <c r="V244" s="65"/>
      <c r="W244" s="65"/>
      <c r="X244" s="65"/>
      <c r="Y244" s="65"/>
      <c r="Z244" s="65"/>
      <c r="AA244" s="65"/>
      <c r="AB244" s="65"/>
      <c r="AC244" s="97"/>
      <c r="AD244" s="65"/>
      <c r="AE244" s="104" t="str">
        <f>IFERROR('BMP P Tracking Table'!$V244*VLOOKUP('BMP P Tracking Table'!$R244,'Loading Rates'!$B$1:$L$24,4,FALSE)+IF('BMP P Tracking Table'!$W244="By HSG",'BMP P Tracking Table'!$X244*VLOOKUP('BMP P Tracking Table'!$R244,'Loading Rates'!$B$1:$L$24,6,FALSE)+'BMP P Tracking Table'!$Y244*VLOOKUP('BMP P Tracking Table'!$R244,'Loading Rates'!$B$1:$L$24,7,FALSE)+'BMP P Tracking Table'!$Z244*VLOOKUP('BMP P Tracking Table'!$R244,'Loading Rates'!$B$1:$L$24,8,FALSE)+'BMP P Tracking Table'!$AA244*VLOOKUP('BMP P Tracking Table'!$R244,'Loading Rates'!$B$1:$L$24,9,FALSE),'BMP P Tracking Table'!$AB244*VLOOKUP('BMP P Tracking Table'!$R244,'Loading Rates'!$B$1:$L$24,10,FALSE)),"")</f>
        <v/>
      </c>
      <c r="AF244" s="104" t="str">
        <f>IFERROR(MIN(2,IF('BMP P Tracking Table'!$W244="Total Pervious",(-(3630*'BMP P Tracking Table'!$V244+20.691*'BMP P Tracking Table'!$AB244)+SQRT((3630*'BMP P Tracking Table'!$V244+20.691*'BMP P Tracking Table'!$AB244)^2-(4*(996.798*'BMP P Tracking Table'!$AB244)*-'BMP P Tracking Table'!$AC244)))/(2*(996.798*'BMP P Tracking Table'!$AB244)),IF(SUM('BMP P Tracking Table'!$X244:$AA244)=0,'BMP P Tracking Table'!$AC244/(-3630*'BMP P Tracking Table'!$V244),(-(3630*'BMP P Tracking Table'!$V244+20.691*'BMP P Tracking Table'!$AA244-216.711*'BMP P Tracking Table'!$Z244-83.853*'BMP P Tracking Table'!$Y244-42.834*'BMP P Tracking Table'!$X244)+SQRT((3630*'BMP P Tracking Table'!$V244+20.691*'BMP P Tracking Table'!$AA244-216.711*'BMP P Tracking Table'!$Z244-83.853*'BMP P Tracking Table'!$Y244-42.834*'BMP P Tracking Table'!$X244)^2-(4*(149.919*'BMP P Tracking Table'!$X244+236.676*'BMP P Tracking Table'!$Y244+726*'BMP P Tracking Table'!$Z244+996.798*'BMP P Tracking Table'!$AA244)*-'BMP P Tracking Table'!$AC244)))/(2*(149.919*'BMP P Tracking Table'!$X244+236.676*'BMP P Tracking Table'!$Y244+726*'BMP P Tracking Table'!$Z244+996.798*'BMP P Tracking Table'!$AA244))))),"")</f>
        <v/>
      </c>
      <c r="AG244" s="104" t="str">
        <f>IFERROR((VLOOKUP(CONCATENATE('BMP P Tracking Table'!$U244," ",'BMP P Tracking Table'!$AD244),'Performance Curves'!$C$1:$L$46,_xlfn.SINGLE(MATCH('BMP P Tracking Table'!$AF244,'Performance Curves'!$D$1:$L$1,1))+2,FALSE)-VLOOKUP(CONCATENATE('BMP P Tracking Table'!$U244," ",'BMP P Tracking Table'!$AD244),'Performance Curves'!$C$1:$L$46,_xlfn.SINGLE(MATCH('BMP P Tracking Table'!$AF244,'Performance Curves'!$D$1:$L$1,1))+1,FALSE)),"")</f>
        <v/>
      </c>
      <c r="AH244" s="104" t="str">
        <f>IFERROR(('BMP P Tracking Table'!$AF244-INDEX('Performance Curves'!$D$1:$L$1,1,MATCH('BMP P Tracking Table'!$AF244,'Performance Curves'!$D$1:$L$1,1)))/(INDEX('Performance Curves'!$D$1:$L$1,1,MATCH('BMP P Tracking Table'!$AF244,'Performance Curves'!$D$1:$L$1,1)+1)-INDEX('Performance Curves'!$D$1:$L$1,1,MATCH('BMP P Tracking Table'!$AF244,'Performance Curves'!$D$1:$L$1,1))),"")</f>
        <v/>
      </c>
      <c r="AI244" s="103" t="str">
        <f>IFERROR(IF('BMP P Tracking Table'!$AF244=2,VLOOKUP(CONCATENATE('BMP P Tracking Table'!$U244," ",'BMP P Tracking Table'!$AD244),'Performance Curves'!$C$1:$L$46,_xlfn.SINGLE(MATCH('BMP P Tracking Table'!$AF244,'Performance Curves'!$D$1:$L$1,1))+1,FALSE),'BMP P Tracking Table'!$AG244*'BMP P Tracking Table'!$AH244+VLOOKUP(CONCATENATE('BMP P Tracking Table'!$U244," ",'BMP P Tracking Table'!$AD244),'Performance Curves'!$C$1:$L$46,_xlfn.SINGLE(MATCH('BMP P Tracking Table'!$AF244,'Performance Curves'!$D$1:$L$1,1))+1,FALSE)),"")</f>
        <v/>
      </c>
      <c r="AJ244" s="104" t="str">
        <f>IFERROR('BMP P Tracking Table'!$AI244*'BMP P Tracking Table'!$AE244,"")</f>
        <v/>
      </c>
      <c r="AK244" s="65"/>
      <c r="AL244" s="98"/>
      <c r="AM244" s="98"/>
      <c r="AN244" s="64">
        <v>1</v>
      </c>
      <c r="AO244" s="102" t="str">
        <f t="shared" si="35"/>
        <v/>
      </c>
      <c r="AP244" s="98"/>
      <c r="AQ244" s="98"/>
      <c r="AR244" s="98"/>
      <c r="AS244" s="98"/>
      <c r="AT244" s="98"/>
      <c r="AU244" s="98"/>
      <c r="AV244" s="98"/>
      <c r="AW244" s="65"/>
      <c r="AX244" s="99"/>
      <c r="AY244" s="99"/>
      <c r="AZ244" s="104" t="str">
        <f>IF('BMP P Tracking Table'!$AL244="Yes",IF('BMP P Tracking Table'!$AM244="No",'BMP P Tracking Table'!$V244*VLOOKUP('BMP P Tracking Table'!$R244,'Loading Rates'!$B$1:$L$24,4,FALSE)+IF('BMP P Tracking Table'!$W244="By HSG",'BMP P Tracking Table'!$X244*VLOOKUP('BMP P Tracking Table'!$R244,'Loading Rates'!$B$1:$L$24,6,FALSE)+'BMP P Tracking Table'!$Y244*VLOOKUP('BMP P Tracking Table'!$R244,'Loading Rates'!$B$1:$L$24,7,FALSE)+'BMP P Tracking Table'!$Z244*VLOOKUP('BMP P Tracking Table'!$R244,'Loading Rates'!$B$1:$L$24,8,FALSE)+'BMP P Tracking Table'!$AA244*VLOOKUP('BMP P Tracking Table'!$R244,'Loading Rates'!$B$1:$L$24,9,FALSE),'BMP P Tracking Table'!$AB244*VLOOKUP('BMP P Tracking Table'!$R244,'Loading Rates'!$B$1:$L$24,10,FALSE)),'BMP P Tracking Table'!$AP244*VLOOKUP('BMP P Tracking Table'!$R244,'Loading Rates'!$B$1:$L$24,4,FALSE)+IF('BMP P Tracking Table'!$AQ244="By HSG",'BMP P Tracking Table'!$AR244*VLOOKUP('BMP P Tracking Table'!$R244,'Loading Rates'!$B$1:$L$24,6,FALSE)+'BMP P Tracking Table'!$AS244*VLOOKUP('BMP P Tracking Table'!$R244,'Loading Rates'!$B$1:$L$24,7,FALSE)+'BMP P Tracking Table'!$AT244*VLOOKUP('BMP P Tracking Table'!$R244,'Loading Rates'!$B$1:$L$24,8,FALSE)+'BMP P Tracking Table'!$AU244*VLOOKUP('BMP P Tracking Table'!$R244,'Loading Rates'!$B$1:$L$24,9,FALSE),'BMP P Tracking Table'!$AV244*VLOOKUP('BMP P Tracking Table'!$R244,'Loading Rates'!$B$1:$L$24,10,FALSE))),"")</f>
        <v/>
      </c>
      <c r="BA244" s="104" t="str">
        <f>IFERROR(IF('BMP P Tracking Table'!$AM244="Yes",MIN(2,IF('BMP P Tracking Table'!$AQ244="Total Pervious",(-(3630*'BMP P Tracking Table'!$AP244+20.691*'BMP P Tracking Table'!$AV244)+SQRT((3630*'BMP P Tracking Table'!$AP244+20.691*'BMP P Tracking Table'!$AV244)^2-(4*(996.798*'BMP P Tracking Table'!$AV244)*-'BMP P Tracking Table'!$AX244)))/(2*(996.798*'BMP P Tracking Table'!$AV244)),IF(SUM('BMP P Tracking Table'!$AR244:$AU244)=0,'BMP P Tracking Table'!$AV244/(-3630*'BMP P Tracking Table'!$AP244),(-(3630*'BMP P Tracking Table'!$AP244+20.691*'BMP P Tracking Table'!$AU244-216.711*'BMP P Tracking Table'!$AT244-83.853*'BMP P Tracking Table'!$AS244-42.834*'BMP P Tracking Table'!$AR244)+SQRT((3630*'BMP P Tracking Table'!$AP244+20.691*'BMP P Tracking Table'!$AU244-216.711*'BMP P Tracking Table'!$AT244-83.853*'BMP P Tracking Table'!$AS244-42.834*'BMP P Tracking Table'!$AR244)^2-(4*(149.919*'BMP P Tracking Table'!$AR244+236.676*'BMP P Tracking Table'!$AS244+726*'BMP P Tracking Table'!$AT244+996.798*'BMP P Tracking Table'!$AU244)*-'BMP P Tracking Table'!$AX244)))/(2*(149.919*'BMP P Tracking Table'!$AR244+236.676*'BMP P Tracking Table'!$AS244+726*'BMP P Tracking Table'!$AT244+996.798*'BMP P Tracking Table'!$AU244))))),MIN(2,IF('BMP P Tracking Table'!$AQ244="Total Pervious",(-(3630*'BMP P Tracking Table'!$V244+20.691*'BMP P Tracking Table'!$AB244)+SQRT((3630*'BMP P Tracking Table'!$V244+20.691*'BMP P Tracking Table'!$AB244)^2-(4*(996.798*'BMP P Tracking Table'!$AB244)*-'BMP P Tracking Table'!$AX244)))/(2*(996.798*'BMP P Tracking Table'!$AB244)),IF(SUM('BMP P Tracking Table'!$X244:$AA244)=0,'BMP P Tracking Table'!$AX244/(-3630*'BMP P Tracking Table'!$V244),(-(3630*'BMP P Tracking Table'!$V244+20.691*'BMP P Tracking Table'!$AA244-216.711*'BMP P Tracking Table'!$Z244-83.853*'BMP P Tracking Table'!$Y244-42.834*'BMP P Tracking Table'!$X244)+SQRT((3630*'BMP P Tracking Table'!$V244+20.691*'BMP P Tracking Table'!$AA244-216.711*'BMP P Tracking Table'!$Z244-83.853*'BMP P Tracking Table'!$Y244-42.834*'BMP P Tracking Table'!$X244)^2-(4*(149.919*'BMP P Tracking Table'!$X244+236.676*'BMP P Tracking Table'!$Y244+726*'BMP P Tracking Table'!$Z244+996.798*'BMP P Tracking Table'!$AA244)*-'BMP P Tracking Table'!$AX244)))/(2*(149.919*'BMP P Tracking Table'!$X244+236.676*'BMP P Tracking Table'!$Y244+726*'BMP P Tracking Table'!$Z244+996.798*'BMP P Tracking Table'!$AA244)))))),"")</f>
        <v/>
      </c>
      <c r="BB244" s="102" t="str">
        <f>IFERROR((VLOOKUP(CONCATENATE('BMP P Tracking Table'!$AW244," ",'BMP P Tracking Table'!$AY244),'Performance Curves'!$C$1:$L$46,_xlfn.SINGLE(MATCH('BMP P Tracking Table'!$BA244,'Performance Curves'!$D$1:$L$1,1))+2,FALSE)-VLOOKUP(CONCATENATE('BMP P Tracking Table'!$AW244," ",'BMP P Tracking Table'!$AY244),'Performance Curves'!$C$1:$L$46,_xlfn.SINGLE(MATCH('BMP P Tracking Table'!$BA244,'Performance Curves'!$D$1:$L$1,1))+1,FALSE)),"")</f>
        <v/>
      </c>
      <c r="BC244" s="102" t="str">
        <f>IFERROR(('BMP P Tracking Table'!$BA244-INDEX('Performance Curves'!$D$1:$L$1,1,MATCH('BMP P Tracking Table'!$BA244,'Performance Curves'!$D$1:$L$1,1)))/(INDEX('Performance Curves'!$D$1:$L$1,1,MATCH('BMP P Tracking Table'!$BA244,'Performance Curves'!$D$1:$L$1,1)+1)-INDEX('Performance Curves'!$D$1:$L$1,1,MATCH('BMP P Tracking Table'!$BA244,'Performance Curves'!$D$1:$L$1,1))),"")</f>
        <v/>
      </c>
      <c r="BD244" s="103" t="str" cm="1">
        <f t="array" ref="BD244">IFERROR(IF('BMP P Tracking Table'!$BA244=2,VLOOKUP(CONCATENATE('BMP P Tracking Table'!$AW244," ",'BMP P Tracking Table'!$AY244),'Performance Curves'!$C$1:$L$44,_xlfn.SINGLE(MATCH('BMP P Tracking Table'!$BA244,'Performance Curves'!$D$1:$L$1,1))+1,FALSE),'BMP P Tracking Table'!$BB244*'BMP P Tracking Table'!$BC244+VLOOKUP(CONCATENATE('BMP P Tracking Table'!$AW244," ",'BMP P Tracking Table'!$AY244),'Performance Curves'!$C$1:$L$44,_xlfn.SINGLE(MATCH('BMP P Tracking Table'!$BA244,'Performance Curves'!$D$1:$L$1,1))+1,FALSE)),"")</f>
        <v/>
      </c>
      <c r="BE244" s="104" t="str">
        <f>IFERROR('BMP P Tracking Table'!$BD244*'BMP P Tracking Table'!$AZ244,"")</f>
        <v/>
      </c>
      <c r="BF244" s="98"/>
      <c r="BG244" s="37">
        <f t="shared" si="36"/>
        <v>0</v>
      </c>
    </row>
    <row r="245" spans="2:59" s="36" customFormat="1">
      <c r="B245" s="65"/>
      <c r="C245" s="65"/>
      <c r="D245" s="65"/>
      <c r="E245" s="65"/>
      <c r="F245" s="94"/>
      <c r="G245" s="94"/>
      <c r="H245" s="65"/>
      <c r="I245" s="65"/>
      <c r="J245" s="65"/>
      <c r="K245" s="95"/>
      <c r="L245" s="65"/>
      <c r="M245" s="65"/>
      <c r="N245" s="65"/>
      <c r="O245" s="65"/>
      <c r="P245" s="65"/>
      <c r="Q245" s="65"/>
      <c r="R245" s="65" t="str">
        <f>IFERROR(VLOOKUP('BMP P Tracking Table'!$Q245,Dropdowns!$C$2:$E$15,3,FALSE),"")</f>
        <v/>
      </c>
      <c r="S245" s="65" t="str">
        <f>IFERROR(VLOOKUP('BMP P Tracking Table'!$R245,Dropdowns!$Q$3:$R$23,2,FALSE),"")</f>
        <v/>
      </c>
      <c r="T245" s="65"/>
      <c r="U245" s="65"/>
      <c r="V245" s="65"/>
      <c r="W245" s="65"/>
      <c r="X245" s="65"/>
      <c r="Y245" s="65"/>
      <c r="Z245" s="65"/>
      <c r="AA245" s="65"/>
      <c r="AB245" s="65"/>
      <c r="AC245" s="97"/>
      <c r="AD245" s="65"/>
      <c r="AE245" s="104" t="str">
        <f>IFERROR('BMP P Tracking Table'!$V245*VLOOKUP('BMP P Tracking Table'!$R245,'Loading Rates'!$B$1:$L$24,4,FALSE)+IF('BMP P Tracking Table'!$W245="By HSG",'BMP P Tracking Table'!$X245*VLOOKUP('BMP P Tracking Table'!$R245,'Loading Rates'!$B$1:$L$24,6,FALSE)+'BMP P Tracking Table'!$Y245*VLOOKUP('BMP P Tracking Table'!$R245,'Loading Rates'!$B$1:$L$24,7,FALSE)+'BMP P Tracking Table'!$Z245*VLOOKUP('BMP P Tracking Table'!$R245,'Loading Rates'!$B$1:$L$24,8,FALSE)+'BMP P Tracking Table'!$AA245*VLOOKUP('BMP P Tracking Table'!$R245,'Loading Rates'!$B$1:$L$24,9,FALSE),'BMP P Tracking Table'!$AB245*VLOOKUP('BMP P Tracking Table'!$R245,'Loading Rates'!$B$1:$L$24,10,FALSE)),"")</f>
        <v/>
      </c>
      <c r="AF245" s="104" t="str">
        <f>IFERROR(MIN(2,IF('BMP P Tracking Table'!$W245="Total Pervious",(-(3630*'BMP P Tracking Table'!$V245+20.691*'BMP P Tracking Table'!$AB245)+SQRT((3630*'BMP P Tracking Table'!$V245+20.691*'BMP P Tracking Table'!$AB245)^2-(4*(996.798*'BMP P Tracking Table'!$AB245)*-'BMP P Tracking Table'!$AC245)))/(2*(996.798*'BMP P Tracking Table'!$AB245)),IF(SUM('BMP P Tracking Table'!$X245:$AA245)=0,'BMP P Tracking Table'!$AC245/(-3630*'BMP P Tracking Table'!$V245),(-(3630*'BMP P Tracking Table'!$V245+20.691*'BMP P Tracking Table'!$AA245-216.711*'BMP P Tracking Table'!$Z245-83.853*'BMP P Tracking Table'!$Y245-42.834*'BMP P Tracking Table'!$X245)+SQRT((3630*'BMP P Tracking Table'!$V245+20.691*'BMP P Tracking Table'!$AA245-216.711*'BMP P Tracking Table'!$Z245-83.853*'BMP P Tracking Table'!$Y245-42.834*'BMP P Tracking Table'!$X245)^2-(4*(149.919*'BMP P Tracking Table'!$X245+236.676*'BMP P Tracking Table'!$Y245+726*'BMP P Tracking Table'!$Z245+996.798*'BMP P Tracking Table'!$AA245)*-'BMP P Tracking Table'!$AC245)))/(2*(149.919*'BMP P Tracking Table'!$X245+236.676*'BMP P Tracking Table'!$Y245+726*'BMP P Tracking Table'!$Z245+996.798*'BMP P Tracking Table'!$AA245))))),"")</f>
        <v/>
      </c>
      <c r="AG245" s="104" t="str">
        <f>IFERROR((VLOOKUP(CONCATENATE('BMP P Tracking Table'!$U245," ",'BMP P Tracking Table'!$AD245),'Performance Curves'!$C$1:$L$46,_xlfn.SINGLE(MATCH('BMP P Tracking Table'!$AF245,'Performance Curves'!$D$1:$L$1,1))+2,FALSE)-VLOOKUP(CONCATENATE('BMP P Tracking Table'!$U245," ",'BMP P Tracking Table'!$AD245),'Performance Curves'!$C$1:$L$46,_xlfn.SINGLE(MATCH('BMP P Tracking Table'!$AF245,'Performance Curves'!$D$1:$L$1,1))+1,FALSE)),"")</f>
        <v/>
      </c>
      <c r="AH245" s="104" t="str">
        <f>IFERROR(('BMP P Tracking Table'!$AF245-INDEX('Performance Curves'!$D$1:$L$1,1,MATCH('BMP P Tracking Table'!$AF245,'Performance Curves'!$D$1:$L$1,1)))/(INDEX('Performance Curves'!$D$1:$L$1,1,MATCH('BMP P Tracking Table'!$AF245,'Performance Curves'!$D$1:$L$1,1)+1)-INDEX('Performance Curves'!$D$1:$L$1,1,MATCH('BMP P Tracking Table'!$AF245,'Performance Curves'!$D$1:$L$1,1))),"")</f>
        <v/>
      </c>
      <c r="AI245" s="103" t="str">
        <f>IFERROR(IF('BMP P Tracking Table'!$AF245=2,VLOOKUP(CONCATENATE('BMP P Tracking Table'!$U245," ",'BMP P Tracking Table'!$AD245),'Performance Curves'!$C$1:$L$46,_xlfn.SINGLE(MATCH('BMP P Tracking Table'!$AF245,'Performance Curves'!$D$1:$L$1,1))+1,FALSE),'BMP P Tracking Table'!$AG245*'BMP P Tracking Table'!$AH245+VLOOKUP(CONCATENATE('BMP P Tracking Table'!$U245," ",'BMP P Tracking Table'!$AD245),'Performance Curves'!$C$1:$L$46,_xlfn.SINGLE(MATCH('BMP P Tracking Table'!$AF245,'Performance Curves'!$D$1:$L$1,1))+1,FALSE)),"")</f>
        <v/>
      </c>
      <c r="AJ245" s="104" t="str">
        <f>IFERROR('BMP P Tracking Table'!$AI245*'BMP P Tracking Table'!$AE245,"")</f>
        <v/>
      </c>
      <c r="AK245" s="65"/>
      <c r="AL245" s="98"/>
      <c r="AM245" s="98"/>
      <c r="AN245" s="64">
        <v>1</v>
      </c>
      <c r="AO245" s="102" t="str">
        <f t="shared" si="35"/>
        <v/>
      </c>
      <c r="AP245" s="98"/>
      <c r="AQ245" s="98"/>
      <c r="AR245" s="98"/>
      <c r="AS245" s="98"/>
      <c r="AT245" s="98"/>
      <c r="AU245" s="98"/>
      <c r="AV245" s="98"/>
      <c r="AW245" s="65"/>
      <c r="AX245" s="99"/>
      <c r="AY245" s="99"/>
      <c r="AZ245" s="104" t="str">
        <f>IF('BMP P Tracking Table'!$AL245="Yes",IF('BMP P Tracking Table'!$AM245="No",'BMP P Tracking Table'!$V245*VLOOKUP('BMP P Tracking Table'!$R245,'Loading Rates'!$B$1:$L$24,4,FALSE)+IF('BMP P Tracking Table'!$W245="By HSG",'BMP P Tracking Table'!$X245*VLOOKUP('BMP P Tracking Table'!$R245,'Loading Rates'!$B$1:$L$24,6,FALSE)+'BMP P Tracking Table'!$Y245*VLOOKUP('BMP P Tracking Table'!$R245,'Loading Rates'!$B$1:$L$24,7,FALSE)+'BMP P Tracking Table'!$Z245*VLOOKUP('BMP P Tracking Table'!$R245,'Loading Rates'!$B$1:$L$24,8,FALSE)+'BMP P Tracking Table'!$AA245*VLOOKUP('BMP P Tracking Table'!$R245,'Loading Rates'!$B$1:$L$24,9,FALSE),'BMP P Tracking Table'!$AB245*VLOOKUP('BMP P Tracking Table'!$R245,'Loading Rates'!$B$1:$L$24,10,FALSE)),'BMP P Tracking Table'!$AP245*VLOOKUP('BMP P Tracking Table'!$R245,'Loading Rates'!$B$1:$L$24,4,FALSE)+IF('BMP P Tracking Table'!$AQ245="By HSG",'BMP P Tracking Table'!$AR245*VLOOKUP('BMP P Tracking Table'!$R245,'Loading Rates'!$B$1:$L$24,6,FALSE)+'BMP P Tracking Table'!$AS245*VLOOKUP('BMP P Tracking Table'!$R245,'Loading Rates'!$B$1:$L$24,7,FALSE)+'BMP P Tracking Table'!$AT245*VLOOKUP('BMP P Tracking Table'!$R245,'Loading Rates'!$B$1:$L$24,8,FALSE)+'BMP P Tracking Table'!$AU245*VLOOKUP('BMP P Tracking Table'!$R245,'Loading Rates'!$B$1:$L$24,9,FALSE),'BMP P Tracking Table'!$AV245*VLOOKUP('BMP P Tracking Table'!$R245,'Loading Rates'!$B$1:$L$24,10,FALSE))),"")</f>
        <v/>
      </c>
      <c r="BA245" s="104" t="str">
        <f>IFERROR(IF('BMP P Tracking Table'!$AM245="Yes",MIN(2,IF('BMP P Tracking Table'!$AQ245="Total Pervious",(-(3630*'BMP P Tracking Table'!$AP245+20.691*'BMP P Tracking Table'!$AV245)+SQRT((3630*'BMP P Tracking Table'!$AP245+20.691*'BMP P Tracking Table'!$AV245)^2-(4*(996.798*'BMP P Tracking Table'!$AV245)*-'BMP P Tracking Table'!$AX245)))/(2*(996.798*'BMP P Tracking Table'!$AV245)),IF(SUM('BMP P Tracking Table'!$AR245:$AU245)=0,'BMP P Tracking Table'!$AV245/(-3630*'BMP P Tracking Table'!$AP245),(-(3630*'BMP P Tracking Table'!$AP245+20.691*'BMP P Tracking Table'!$AU245-216.711*'BMP P Tracking Table'!$AT245-83.853*'BMP P Tracking Table'!$AS245-42.834*'BMP P Tracking Table'!$AR245)+SQRT((3630*'BMP P Tracking Table'!$AP245+20.691*'BMP P Tracking Table'!$AU245-216.711*'BMP P Tracking Table'!$AT245-83.853*'BMP P Tracking Table'!$AS245-42.834*'BMP P Tracking Table'!$AR245)^2-(4*(149.919*'BMP P Tracking Table'!$AR245+236.676*'BMP P Tracking Table'!$AS245+726*'BMP P Tracking Table'!$AT245+996.798*'BMP P Tracking Table'!$AU245)*-'BMP P Tracking Table'!$AX245)))/(2*(149.919*'BMP P Tracking Table'!$AR245+236.676*'BMP P Tracking Table'!$AS245+726*'BMP P Tracking Table'!$AT245+996.798*'BMP P Tracking Table'!$AU245))))),MIN(2,IF('BMP P Tracking Table'!$AQ245="Total Pervious",(-(3630*'BMP P Tracking Table'!$V245+20.691*'BMP P Tracking Table'!$AB245)+SQRT((3630*'BMP P Tracking Table'!$V245+20.691*'BMP P Tracking Table'!$AB245)^2-(4*(996.798*'BMP P Tracking Table'!$AB245)*-'BMP P Tracking Table'!$AX245)))/(2*(996.798*'BMP P Tracking Table'!$AB245)),IF(SUM('BMP P Tracking Table'!$X245:$AA245)=0,'BMP P Tracking Table'!$AX245/(-3630*'BMP P Tracking Table'!$V245),(-(3630*'BMP P Tracking Table'!$V245+20.691*'BMP P Tracking Table'!$AA245-216.711*'BMP P Tracking Table'!$Z245-83.853*'BMP P Tracking Table'!$Y245-42.834*'BMP P Tracking Table'!$X245)+SQRT((3630*'BMP P Tracking Table'!$V245+20.691*'BMP P Tracking Table'!$AA245-216.711*'BMP P Tracking Table'!$Z245-83.853*'BMP P Tracking Table'!$Y245-42.834*'BMP P Tracking Table'!$X245)^2-(4*(149.919*'BMP P Tracking Table'!$X245+236.676*'BMP P Tracking Table'!$Y245+726*'BMP P Tracking Table'!$Z245+996.798*'BMP P Tracking Table'!$AA245)*-'BMP P Tracking Table'!$AX245)))/(2*(149.919*'BMP P Tracking Table'!$X245+236.676*'BMP P Tracking Table'!$Y245+726*'BMP P Tracking Table'!$Z245+996.798*'BMP P Tracking Table'!$AA245)))))),"")</f>
        <v/>
      </c>
      <c r="BB245" s="102" t="str">
        <f>IFERROR((VLOOKUP(CONCATENATE('BMP P Tracking Table'!$AW245," ",'BMP P Tracking Table'!$AY245),'Performance Curves'!$C$1:$L$46,_xlfn.SINGLE(MATCH('BMP P Tracking Table'!$BA245,'Performance Curves'!$D$1:$L$1,1))+2,FALSE)-VLOOKUP(CONCATENATE('BMP P Tracking Table'!$AW245," ",'BMP P Tracking Table'!$AY245),'Performance Curves'!$C$1:$L$46,_xlfn.SINGLE(MATCH('BMP P Tracking Table'!$BA245,'Performance Curves'!$D$1:$L$1,1))+1,FALSE)),"")</f>
        <v/>
      </c>
      <c r="BC245" s="102" t="str">
        <f>IFERROR(('BMP P Tracking Table'!$BA245-INDEX('Performance Curves'!$D$1:$L$1,1,MATCH('BMP P Tracking Table'!$BA245,'Performance Curves'!$D$1:$L$1,1)))/(INDEX('Performance Curves'!$D$1:$L$1,1,MATCH('BMP P Tracking Table'!$BA245,'Performance Curves'!$D$1:$L$1,1)+1)-INDEX('Performance Curves'!$D$1:$L$1,1,MATCH('BMP P Tracking Table'!$BA245,'Performance Curves'!$D$1:$L$1,1))),"")</f>
        <v/>
      </c>
      <c r="BD245" s="103" t="str" cm="1">
        <f t="array" ref="BD245">IFERROR(IF('BMP P Tracking Table'!$BA245=2,VLOOKUP(CONCATENATE('BMP P Tracking Table'!$AW245," ",'BMP P Tracking Table'!$AY245),'Performance Curves'!$C$1:$L$44,_xlfn.SINGLE(MATCH('BMP P Tracking Table'!$BA245,'Performance Curves'!$D$1:$L$1,1))+1,FALSE),'BMP P Tracking Table'!$BB245*'BMP P Tracking Table'!$BC245+VLOOKUP(CONCATENATE('BMP P Tracking Table'!$AW245," ",'BMP P Tracking Table'!$AY245),'Performance Curves'!$C$1:$L$44,_xlfn.SINGLE(MATCH('BMP P Tracking Table'!$BA245,'Performance Curves'!$D$1:$L$1,1))+1,FALSE)),"")</f>
        <v/>
      </c>
      <c r="BE245" s="104" t="str">
        <f>IFERROR('BMP P Tracking Table'!$BD245*'BMP P Tracking Table'!$AZ245,"")</f>
        <v/>
      </c>
      <c r="BF245" s="98"/>
      <c r="BG245" s="37">
        <f t="shared" si="36"/>
        <v>0</v>
      </c>
    </row>
    <row r="246" spans="2:59" s="36" customFormat="1">
      <c r="B246" s="65"/>
      <c r="C246" s="65"/>
      <c r="D246" s="65"/>
      <c r="E246" s="65"/>
      <c r="F246" s="94"/>
      <c r="G246" s="94"/>
      <c r="H246" s="65"/>
      <c r="I246" s="65"/>
      <c r="J246" s="65"/>
      <c r="K246" s="95"/>
      <c r="L246" s="65"/>
      <c r="M246" s="65"/>
      <c r="N246" s="65"/>
      <c r="O246" s="65"/>
      <c r="P246" s="65"/>
      <c r="Q246" s="65"/>
      <c r="R246" s="65" t="str">
        <f>IFERROR(VLOOKUP('BMP P Tracking Table'!$Q246,Dropdowns!$C$2:$E$15,3,FALSE),"")</f>
        <v/>
      </c>
      <c r="S246" s="65" t="str">
        <f>IFERROR(VLOOKUP('BMP P Tracking Table'!$R246,Dropdowns!$Q$3:$R$23,2,FALSE),"")</f>
        <v/>
      </c>
      <c r="T246" s="65"/>
      <c r="U246" s="65"/>
      <c r="V246" s="65"/>
      <c r="W246" s="65"/>
      <c r="X246" s="65"/>
      <c r="Y246" s="65"/>
      <c r="Z246" s="65"/>
      <c r="AA246" s="65"/>
      <c r="AB246" s="65"/>
      <c r="AC246" s="97"/>
      <c r="AD246" s="65"/>
      <c r="AE246" s="104" t="str">
        <f>IFERROR('BMP P Tracking Table'!$V246*VLOOKUP('BMP P Tracking Table'!$R246,'Loading Rates'!$B$1:$L$24,4,FALSE)+IF('BMP P Tracking Table'!$W246="By HSG",'BMP P Tracking Table'!$X246*VLOOKUP('BMP P Tracking Table'!$R246,'Loading Rates'!$B$1:$L$24,6,FALSE)+'BMP P Tracking Table'!$Y246*VLOOKUP('BMP P Tracking Table'!$R246,'Loading Rates'!$B$1:$L$24,7,FALSE)+'BMP P Tracking Table'!$Z246*VLOOKUP('BMP P Tracking Table'!$R246,'Loading Rates'!$B$1:$L$24,8,FALSE)+'BMP P Tracking Table'!$AA246*VLOOKUP('BMP P Tracking Table'!$R246,'Loading Rates'!$B$1:$L$24,9,FALSE),'BMP P Tracking Table'!$AB246*VLOOKUP('BMP P Tracking Table'!$R246,'Loading Rates'!$B$1:$L$24,10,FALSE)),"")</f>
        <v/>
      </c>
      <c r="AF246" s="104" t="str">
        <f>IFERROR(MIN(2,IF('BMP P Tracking Table'!$W246="Total Pervious",(-(3630*'BMP P Tracking Table'!$V246+20.691*'BMP P Tracking Table'!$AB246)+SQRT((3630*'BMP P Tracking Table'!$V246+20.691*'BMP P Tracking Table'!$AB246)^2-(4*(996.798*'BMP P Tracking Table'!$AB246)*-'BMP P Tracking Table'!$AC246)))/(2*(996.798*'BMP P Tracking Table'!$AB246)),IF(SUM('BMP P Tracking Table'!$X246:$AA246)=0,'BMP P Tracking Table'!$AC246/(-3630*'BMP P Tracking Table'!$V246),(-(3630*'BMP P Tracking Table'!$V246+20.691*'BMP P Tracking Table'!$AA246-216.711*'BMP P Tracking Table'!$Z246-83.853*'BMP P Tracking Table'!$Y246-42.834*'BMP P Tracking Table'!$X246)+SQRT((3630*'BMP P Tracking Table'!$V246+20.691*'BMP P Tracking Table'!$AA246-216.711*'BMP P Tracking Table'!$Z246-83.853*'BMP P Tracking Table'!$Y246-42.834*'BMP P Tracking Table'!$X246)^2-(4*(149.919*'BMP P Tracking Table'!$X246+236.676*'BMP P Tracking Table'!$Y246+726*'BMP P Tracking Table'!$Z246+996.798*'BMP P Tracking Table'!$AA246)*-'BMP P Tracking Table'!$AC246)))/(2*(149.919*'BMP P Tracking Table'!$X246+236.676*'BMP P Tracking Table'!$Y246+726*'BMP P Tracking Table'!$Z246+996.798*'BMP P Tracking Table'!$AA246))))),"")</f>
        <v/>
      </c>
      <c r="AG246" s="104" t="str">
        <f>IFERROR((VLOOKUP(CONCATENATE('BMP P Tracking Table'!$U246," ",'BMP P Tracking Table'!$AD246),'Performance Curves'!$C$1:$L$46,_xlfn.SINGLE(MATCH('BMP P Tracking Table'!$AF246,'Performance Curves'!$D$1:$L$1,1))+2,FALSE)-VLOOKUP(CONCATENATE('BMP P Tracking Table'!$U246," ",'BMP P Tracking Table'!$AD246),'Performance Curves'!$C$1:$L$46,_xlfn.SINGLE(MATCH('BMP P Tracking Table'!$AF246,'Performance Curves'!$D$1:$L$1,1))+1,FALSE)),"")</f>
        <v/>
      </c>
      <c r="AH246" s="104" t="str">
        <f>IFERROR(('BMP P Tracking Table'!$AF246-INDEX('Performance Curves'!$D$1:$L$1,1,MATCH('BMP P Tracking Table'!$AF246,'Performance Curves'!$D$1:$L$1,1)))/(INDEX('Performance Curves'!$D$1:$L$1,1,MATCH('BMP P Tracking Table'!$AF246,'Performance Curves'!$D$1:$L$1,1)+1)-INDEX('Performance Curves'!$D$1:$L$1,1,MATCH('BMP P Tracking Table'!$AF246,'Performance Curves'!$D$1:$L$1,1))),"")</f>
        <v/>
      </c>
      <c r="AI246" s="103" t="str">
        <f>IFERROR(IF('BMP P Tracking Table'!$AF246=2,VLOOKUP(CONCATENATE('BMP P Tracking Table'!$U246," ",'BMP P Tracking Table'!$AD246),'Performance Curves'!$C$1:$L$46,_xlfn.SINGLE(MATCH('BMP P Tracking Table'!$AF246,'Performance Curves'!$D$1:$L$1,1))+1,FALSE),'BMP P Tracking Table'!$AG246*'BMP P Tracking Table'!$AH246+VLOOKUP(CONCATENATE('BMP P Tracking Table'!$U246," ",'BMP P Tracking Table'!$AD246),'Performance Curves'!$C$1:$L$46,_xlfn.SINGLE(MATCH('BMP P Tracking Table'!$AF246,'Performance Curves'!$D$1:$L$1,1))+1,FALSE)),"")</f>
        <v/>
      </c>
      <c r="AJ246" s="104" t="str">
        <f>IFERROR('BMP P Tracking Table'!$AI246*'BMP P Tracking Table'!$AE246,"")</f>
        <v/>
      </c>
      <c r="AK246" s="65"/>
      <c r="AL246" s="98"/>
      <c r="AM246" s="98"/>
      <c r="AN246" s="64">
        <v>1</v>
      </c>
      <c r="AO246" s="102" t="str">
        <f t="shared" si="35"/>
        <v/>
      </c>
      <c r="AP246" s="98"/>
      <c r="AQ246" s="98"/>
      <c r="AR246" s="98"/>
      <c r="AS246" s="98"/>
      <c r="AT246" s="98"/>
      <c r="AU246" s="98"/>
      <c r="AV246" s="98"/>
      <c r="AW246" s="65"/>
      <c r="AX246" s="99"/>
      <c r="AY246" s="99"/>
      <c r="AZ246" s="104" t="str">
        <f>IF('BMP P Tracking Table'!$AL246="Yes",IF('BMP P Tracking Table'!$AM246="No",'BMP P Tracking Table'!$V246*VLOOKUP('BMP P Tracking Table'!$R246,'Loading Rates'!$B$1:$L$24,4,FALSE)+IF('BMP P Tracking Table'!$W246="By HSG",'BMP P Tracking Table'!$X246*VLOOKUP('BMP P Tracking Table'!$R246,'Loading Rates'!$B$1:$L$24,6,FALSE)+'BMP P Tracking Table'!$Y246*VLOOKUP('BMP P Tracking Table'!$R246,'Loading Rates'!$B$1:$L$24,7,FALSE)+'BMP P Tracking Table'!$Z246*VLOOKUP('BMP P Tracking Table'!$R246,'Loading Rates'!$B$1:$L$24,8,FALSE)+'BMP P Tracking Table'!$AA246*VLOOKUP('BMP P Tracking Table'!$R246,'Loading Rates'!$B$1:$L$24,9,FALSE),'BMP P Tracking Table'!$AB246*VLOOKUP('BMP P Tracking Table'!$R246,'Loading Rates'!$B$1:$L$24,10,FALSE)),'BMP P Tracking Table'!$AP246*VLOOKUP('BMP P Tracking Table'!$R246,'Loading Rates'!$B$1:$L$24,4,FALSE)+IF('BMP P Tracking Table'!$AQ246="By HSG",'BMP P Tracking Table'!$AR246*VLOOKUP('BMP P Tracking Table'!$R246,'Loading Rates'!$B$1:$L$24,6,FALSE)+'BMP P Tracking Table'!$AS246*VLOOKUP('BMP P Tracking Table'!$R246,'Loading Rates'!$B$1:$L$24,7,FALSE)+'BMP P Tracking Table'!$AT246*VLOOKUP('BMP P Tracking Table'!$R246,'Loading Rates'!$B$1:$L$24,8,FALSE)+'BMP P Tracking Table'!$AU246*VLOOKUP('BMP P Tracking Table'!$R246,'Loading Rates'!$B$1:$L$24,9,FALSE),'BMP P Tracking Table'!$AV246*VLOOKUP('BMP P Tracking Table'!$R246,'Loading Rates'!$B$1:$L$24,10,FALSE))),"")</f>
        <v/>
      </c>
      <c r="BA246" s="104" t="str">
        <f>IFERROR(IF('BMP P Tracking Table'!$AM246="Yes",MIN(2,IF('BMP P Tracking Table'!$AQ246="Total Pervious",(-(3630*'BMP P Tracking Table'!$AP246+20.691*'BMP P Tracking Table'!$AV246)+SQRT((3630*'BMP P Tracking Table'!$AP246+20.691*'BMP P Tracking Table'!$AV246)^2-(4*(996.798*'BMP P Tracking Table'!$AV246)*-'BMP P Tracking Table'!$AX246)))/(2*(996.798*'BMP P Tracking Table'!$AV246)),IF(SUM('BMP P Tracking Table'!$AR246:$AU246)=0,'BMP P Tracking Table'!$AV246/(-3630*'BMP P Tracking Table'!$AP246),(-(3630*'BMP P Tracking Table'!$AP246+20.691*'BMP P Tracking Table'!$AU246-216.711*'BMP P Tracking Table'!$AT246-83.853*'BMP P Tracking Table'!$AS246-42.834*'BMP P Tracking Table'!$AR246)+SQRT((3630*'BMP P Tracking Table'!$AP246+20.691*'BMP P Tracking Table'!$AU246-216.711*'BMP P Tracking Table'!$AT246-83.853*'BMP P Tracking Table'!$AS246-42.834*'BMP P Tracking Table'!$AR246)^2-(4*(149.919*'BMP P Tracking Table'!$AR246+236.676*'BMP P Tracking Table'!$AS246+726*'BMP P Tracking Table'!$AT246+996.798*'BMP P Tracking Table'!$AU246)*-'BMP P Tracking Table'!$AX246)))/(2*(149.919*'BMP P Tracking Table'!$AR246+236.676*'BMP P Tracking Table'!$AS246+726*'BMP P Tracking Table'!$AT246+996.798*'BMP P Tracking Table'!$AU246))))),MIN(2,IF('BMP P Tracking Table'!$AQ246="Total Pervious",(-(3630*'BMP P Tracking Table'!$V246+20.691*'BMP P Tracking Table'!$AB246)+SQRT((3630*'BMP P Tracking Table'!$V246+20.691*'BMP P Tracking Table'!$AB246)^2-(4*(996.798*'BMP P Tracking Table'!$AB246)*-'BMP P Tracking Table'!$AX246)))/(2*(996.798*'BMP P Tracking Table'!$AB246)),IF(SUM('BMP P Tracking Table'!$X246:$AA246)=0,'BMP P Tracking Table'!$AX246/(-3630*'BMP P Tracking Table'!$V246),(-(3630*'BMP P Tracking Table'!$V246+20.691*'BMP P Tracking Table'!$AA246-216.711*'BMP P Tracking Table'!$Z246-83.853*'BMP P Tracking Table'!$Y246-42.834*'BMP P Tracking Table'!$X246)+SQRT((3630*'BMP P Tracking Table'!$V246+20.691*'BMP P Tracking Table'!$AA246-216.711*'BMP P Tracking Table'!$Z246-83.853*'BMP P Tracking Table'!$Y246-42.834*'BMP P Tracking Table'!$X246)^2-(4*(149.919*'BMP P Tracking Table'!$X246+236.676*'BMP P Tracking Table'!$Y246+726*'BMP P Tracking Table'!$Z246+996.798*'BMP P Tracking Table'!$AA246)*-'BMP P Tracking Table'!$AX246)))/(2*(149.919*'BMP P Tracking Table'!$X246+236.676*'BMP P Tracking Table'!$Y246+726*'BMP P Tracking Table'!$Z246+996.798*'BMP P Tracking Table'!$AA246)))))),"")</f>
        <v/>
      </c>
      <c r="BB246" s="102" t="str">
        <f>IFERROR((VLOOKUP(CONCATENATE('BMP P Tracking Table'!$AW246," ",'BMP P Tracking Table'!$AY246),'Performance Curves'!$C$1:$L$46,_xlfn.SINGLE(MATCH('BMP P Tracking Table'!$BA246,'Performance Curves'!$D$1:$L$1,1))+2,FALSE)-VLOOKUP(CONCATENATE('BMP P Tracking Table'!$AW246," ",'BMP P Tracking Table'!$AY246),'Performance Curves'!$C$1:$L$46,_xlfn.SINGLE(MATCH('BMP P Tracking Table'!$BA246,'Performance Curves'!$D$1:$L$1,1))+1,FALSE)),"")</f>
        <v/>
      </c>
      <c r="BC246" s="102" t="str">
        <f>IFERROR(('BMP P Tracking Table'!$BA246-INDEX('Performance Curves'!$D$1:$L$1,1,MATCH('BMP P Tracking Table'!$BA246,'Performance Curves'!$D$1:$L$1,1)))/(INDEX('Performance Curves'!$D$1:$L$1,1,MATCH('BMP P Tracking Table'!$BA246,'Performance Curves'!$D$1:$L$1,1)+1)-INDEX('Performance Curves'!$D$1:$L$1,1,MATCH('BMP P Tracking Table'!$BA246,'Performance Curves'!$D$1:$L$1,1))),"")</f>
        <v/>
      </c>
      <c r="BD246" s="103" t="str" cm="1">
        <f t="array" ref="BD246">IFERROR(IF('BMP P Tracking Table'!$BA246=2,VLOOKUP(CONCATENATE('BMP P Tracking Table'!$AW246," ",'BMP P Tracking Table'!$AY246),'Performance Curves'!$C$1:$L$44,_xlfn.SINGLE(MATCH('BMP P Tracking Table'!$BA246,'Performance Curves'!$D$1:$L$1,1))+1,FALSE),'BMP P Tracking Table'!$BB246*'BMP P Tracking Table'!$BC246+VLOOKUP(CONCATENATE('BMP P Tracking Table'!$AW246," ",'BMP P Tracking Table'!$AY246),'Performance Curves'!$C$1:$L$44,_xlfn.SINGLE(MATCH('BMP P Tracking Table'!$BA246,'Performance Curves'!$D$1:$L$1,1))+1,FALSE)),"")</f>
        <v/>
      </c>
      <c r="BE246" s="104" t="str">
        <f>IFERROR('BMP P Tracking Table'!$BD246*'BMP P Tracking Table'!$AZ246,"")</f>
        <v/>
      </c>
      <c r="BF246" s="98"/>
      <c r="BG246" s="37">
        <f t="shared" si="36"/>
        <v>0</v>
      </c>
    </row>
    <row r="247" spans="2:59" s="36" customFormat="1">
      <c r="B247" s="65"/>
      <c r="C247" s="65"/>
      <c r="D247" s="65"/>
      <c r="E247" s="65"/>
      <c r="F247" s="94"/>
      <c r="G247" s="94"/>
      <c r="H247" s="65"/>
      <c r="I247" s="65"/>
      <c r="J247" s="65"/>
      <c r="K247" s="95"/>
      <c r="L247" s="65"/>
      <c r="M247" s="65"/>
      <c r="N247" s="65"/>
      <c r="O247" s="65"/>
      <c r="P247" s="65"/>
      <c r="Q247" s="65"/>
      <c r="R247" s="65" t="str">
        <f>IFERROR(VLOOKUP('BMP P Tracking Table'!$Q247,Dropdowns!$C$2:$E$15,3,FALSE),"")</f>
        <v/>
      </c>
      <c r="S247" s="65" t="str">
        <f>IFERROR(VLOOKUP('BMP P Tracking Table'!$R247,Dropdowns!$Q$3:$R$23,2,FALSE),"")</f>
        <v/>
      </c>
      <c r="T247" s="65"/>
      <c r="U247" s="65"/>
      <c r="V247" s="65"/>
      <c r="W247" s="65"/>
      <c r="X247" s="65"/>
      <c r="Y247" s="65"/>
      <c r="Z247" s="65"/>
      <c r="AA247" s="65"/>
      <c r="AB247" s="65"/>
      <c r="AC247" s="97"/>
      <c r="AD247" s="65"/>
      <c r="AE247" s="104" t="str">
        <f>IFERROR('BMP P Tracking Table'!$V247*VLOOKUP('BMP P Tracking Table'!$R247,'Loading Rates'!$B$1:$L$24,4,FALSE)+IF('BMP P Tracking Table'!$W247="By HSG",'BMP P Tracking Table'!$X247*VLOOKUP('BMP P Tracking Table'!$R247,'Loading Rates'!$B$1:$L$24,6,FALSE)+'BMP P Tracking Table'!$Y247*VLOOKUP('BMP P Tracking Table'!$R247,'Loading Rates'!$B$1:$L$24,7,FALSE)+'BMP P Tracking Table'!$Z247*VLOOKUP('BMP P Tracking Table'!$R247,'Loading Rates'!$B$1:$L$24,8,FALSE)+'BMP P Tracking Table'!$AA247*VLOOKUP('BMP P Tracking Table'!$R247,'Loading Rates'!$B$1:$L$24,9,FALSE),'BMP P Tracking Table'!$AB247*VLOOKUP('BMP P Tracking Table'!$R247,'Loading Rates'!$B$1:$L$24,10,FALSE)),"")</f>
        <v/>
      </c>
      <c r="AF247" s="104" t="str">
        <f>IFERROR(MIN(2,IF('BMP P Tracking Table'!$W247="Total Pervious",(-(3630*'BMP P Tracking Table'!$V247+20.691*'BMP P Tracking Table'!$AB247)+SQRT((3630*'BMP P Tracking Table'!$V247+20.691*'BMP P Tracking Table'!$AB247)^2-(4*(996.798*'BMP P Tracking Table'!$AB247)*-'BMP P Tracking Table'!$AC247)))/(2*(996.798*'BMP P Tracking Table'!$AB247)),IF(SUM('BMP P Tracking Table'!$X247:$AA247)=0,'BMP P Tracking Table'!$AC247/(-3630*'BMP P Tracking Table'!$V247),(-(3630*'BMP P Tracking Table'!$V247+20.691*'BMP P Tracking Table'!$AA247-216.711*'BMP P Tracking Table'!$Z247-83.853*'BMP P Tracking Table'!$Y247-42.834*'BMP P Tracking Table'!$X247)+SQRT((3630*'BMP P Tracking Table'!$V247+20.691*'BMP P Tracking Table'!$AA247-216.711*'BMP P Tracking Table'!$Z247-83.853*'BMP P Tracking Table'!$Y247-42.834*'BMP P Tracking Table'!$X247)^2-(4*(149.919*'BMP P Tracking Table'!$X247+236.676*'BMP P Tracking Table'!$Y247+726*'BMP P Tracking Table'!$Z247+996.798*'BMP P Tracking Table'!$AA247)*-'BMP P Tracking Table'!$AC247)))/(2*(149.919*'BMP P Tracking Table'!$X247+236.676*'BMP P Tracking Table'!$Y247+726*'BMP P Tracking Table'!$Z247+996.798*'BMP P Tracking Table'!$AA247))))),"")</f>
        <v/>
      </c>
      <c r="AG247" s="104" t="str">
        <f>IFERROR((VLOOKUP(CONCATENATE('BMP P Tracking Table'!$U247," ",'BMP P Tracking Table'!$AD247),'Performance Curves'!$C$1:$L$46,_xlfn.SINGLE(MATCH('BMP P Tracking Table'!$AF247,'Performance Curves'!$D$1:$L$1,1))+2,FALSE)-VLOOKUP(CONCATENATE('BMP P Tracking Table'!$U247," ",'BMP P Tracking Table'!$AD247),'Performance Curves'!$C$1:$L$46,_xlfn.SINGLE(MATCH('BMP P Tracking Table'!$AF247,'Performance Curves'!$D$1:$L$1,1))+1,FALSE)),"")</f>
        <v/>
      </c>
      <c r="AH247" s="104" t="str">
        <f>IFERROR(('BMP P Tracking Table'!$AF247-INDEX('Performance Curves'!$D$1:$L$1,1,MATCH('BMP P Tracking Table'!$AF247,'Performance Curves'!$D$1:$L$1,1)))/(INDEX('Performance Curves'!$D$1:$L$1,1,MATCH('BMP P Tracking Table'!$AF247,'Performance Curves'!$D$1:$L$1,1)+1)-INDEX('Performance Curves'!$D$1:$L$1,1,MATCH('BMP P Tracking Table'!$AF247,'Performance Curves'!$D$1:$L$1,1))),"")</f>
        <v/>
      </c>
      <c r="AI247" s="103" t="str">
        <f>IFERROR(IF('BMP P Tracking Table'!$AF247=2,VLOOKUP(CONCATENATE('BMP P Tracking Table'!$U247," ",'BMP P Tracking Table'!$AD247),'Performance Curves'!$C$1:$L$46,_xlfn.SINGLE(MATCH('BMP P Tracking Table'!$AF247,'Performance Curves'!$D$1:$L$1,1))+1,FALSE),'BMP P Tracking Table'!$AG247*'BMP P Tracking Table'!$AH247+VLOOKUP(CONCATENATE('BMP P Tracking Table'!$U247," ",'BMP P Tracking Table'!$AD247),'Performance Curves'!$C$1:$L$46,_xlfn.SINGLE(MATCH('BMP P Tracking Table'!$AF247,'Performance Curves'!$D$1:$L$1,1))+1,FALSE)),"")</f>
        <v/>
      </c>
      <c r="AJ247" s="104" t="str">
        <f>IFERROR('BMP P Tracking Table'!$AI247*'BMP P Tracking Table'!$AE247,"")</f>
        <v/>
      </c>
      <c r="AK247" s="65"/>
      <c r="AL247" s="98"/>
      <c r="AM247" s="98"/>
      <c r="AN247" s="64">
        <v>1</v>
      </c>
      <c r="AO247" s="102" t="str">
        <f t="shared" si="35"/>
        <v/>
      </c>
      <c r="AP247" s="98"/>
      <c r="AQ247" s="98"/>
      <c r="AR247" s="98"/>
      <c r="AS247" s="98"/>
      <c r="AT247" s="98"/>
      <c r="AU247" s="98"/>
      <c r="AV247" s="98"/>
      <c r="AW247" s="65"/>
      <c r="AX247" s="99"/>
      <c r="AY247" s="99"/>
      <c r="AZ247" s="104" t="str">
        <f>IF('BMP P Tracking Table'!$AL247="Yes",IF('BMP P Tracking Table'!$AM247="No",'BMP P Tracking Table'!$V247*VLOOKUP('BMP P Tracking Table'!$R247,'Loading Rates'!$B$1:$L$24,4,FALSE)+IF('BMP P Tracking Table'!$W247="By HSG",'BMP P Tracking Table'!$X247*VLOOKUP('BMP P Tracking Table'!$R247,'Loading Rates'!$B$1:$L$24,6,FALSE)+'BMP P Tracking Table'!$Y247*VLOOKUP('BMP P Tracking Table'!$R247,'Loading Rates'!$B$1:$L$24,7,FALSE)+'BMP P Tracking Table'!$Z247*VLOOKUP('BMP P Tracking Table'!$R247,'Loading Rates'!$B$1:$L$24,8,FALSE)+'BMP P Tracking Table'!$AA247*VLOOKUP('BMP P Tracking Table'!$R247,'Loading Rates'!$B$1:$L$24,9,FALSE),'BMP P Tracking Table'!$AB247*VLOOKUP('BMP P Tracking Table'!$R247,'Loading Rates'!$B$1:$L$24,10,FALSE)),'BMP P Tracking Table'!$AP247*VLOOKUP('BMP P Tracking Table'!$R247,'Loading Rates'!$B$1:$L$24,4,FALSE)+IF('BMP P Tracking Table'!$AQ247="By HSG",'BMP P Tracking Table'!$AR247*VLOOKUP('BMP P Tracking Table'!$R247,'Loading Rates'!$B$1:$L$24,6,FALSE)+'BMP P Tracking Table'!$AS247*VLOOKUP('BMP P Tracking Table'!$R247,'Loading Rates'!$B$1:$L$24,7,FALSE)+'BMP P Tracking Table'!$AT247*VLOOKUP('BMP P Tracking Table'!$R247,'Loading Rates'!$B$1:$L$24,8,FALSE)+'BMP P Tracking Table'!$AU247*VLOOKUP('BMP P Tracking Table'!$R247,'Loading Rates'!$B$1:$L$24,9,FALSE),'BMP P Tracking Table'!$AV247*VLOOKUP('BMP P Tracking Table'!$R247,'Loading Rates'!$B$1:$L$24,10,FALSE))),"")</f>
        <v/>
      </c>
      <c r="BA247" s="104" t="str">
        <f>IFERROR(IF('BMP P Tracking Table'!$AM247="Yes",MIN(2,IF('BMP P Tracking Table'!$AQ247="Total Pervious",(-(3630*'BMP P Tracking Table'!$AP247+20.691*'BMP P Tracking Table'!$AV247)+SQRT((3630*'BMP P Tracking Table'!$AP247+20.691*'BMP P Tracking Table'!$AV247)^2-(4*(996.798*'BMP P Tracking Table'!$AV247)*-'BMP P Tracking Table'!$AX247)))/(2*(996.798*'BMP P Tracking Table'!$AV247)),IF(SUM('BMP P Tracking Table'!$AR247:$AU247)=0,'BMP P Tracking Table'!$AV247/(-3630*'BMP P Tracking Table'!$AP247),(-(3630*'BMP P Tracking Table'!$AP247+20.691*'BMP P Tracking Table'!$AU247-216.711*'BMP P Tracking Table'!$AT247-83.853*'BMP P Tracking Table'!$AS247-42.834*'BMP P Tracking Table'!$AR247)+SQRT((3630*'BMP P Tracking Table'!$AP247+20.691*'BMP P Tracking Table'!$AU247-216.711*'BMP P Tracking Table'!$AT247-83.853*'BMP P Tracking Table'!$AS247-42.834*'BMP P Tracking Table'!$AR247)^2-(4*(149.919*'BMP P Tracking Table'!$AR247+236.676*'BMP P Tracking Table'!$AS247+726*'BMP P Tracking Table'!$AT247+996.798*'BMP P Tracking Table'!$AU247)*-'BMP P Tracking Table'!$AX247)))/(2*(149.919*'BMP P Tracking Table'!$AR247+236.676*'BMP P Tracking Table'!$AS247+726*'BMP P Tracking Table'!$AT247+996.798*'BMP P Tracking Table'!$AU247))))),MIN(2,IF('BMP P Tracking Table'!$AQ247="Total Pervious",(-(3630*'BMP P Tracking Table'!$V247+20.691*'BMP P Tracking Table'!$AB247)+SQRT((3630*'BMP P Tracking Table'!$V247+20.691*'BMP P Tracking Table'!$AB247)^2-(4*(996.798*'BMP P Tracking Table'!$AB247)*-'BMP P Tracking Table'!$AX247)))/(2*(996.798*'BMP P Tracking Table'!$AB247)),IF(SUM('BMP P Tracking Table'!$X247:$AA247)=0,'BMP P Tracking Table'!$AX247/(-3630*'BMP P Tracking Table'!$V247),(-(3630*'BMP P Tracking Table'!$V247+20.691*'BMP P Tracking Table'!$AA247-216.711*'BMP P Tracking Table'!$Z247-83.853*'BMP P Tracking Table'!$Y247-42.834*'BMP P Tracking Table'!$X247)+SQRT((3630*'BMP P Tracking Table'!$V247+20.691*'BMP P Tracking Table'!$AA247-216.711*'BMP P Tracking Table'!$Z247-83.853*'BMP P Tracking Table'!$Y247-42.834*'BMP P Tracking Table'!$X247)^2-(4*(149.919*'BMP P Tracking Table'!$X247+236.676*'BMP P Tracking Table'!$Y247+726*'BMP P Tracking Table'!$Z247+996.798*'BMP P Tracking Table'!$AA247)*-'BMP P Tracking Table'!$AX247)))/(2*(149.919*'BMP P Tracking Table'!$X247+236.676*'BMP P Tracking Table'!$Y247+726*'BMP P Tracking Table'!$Z247+996.798*'BMP P Tracking Table'!$AA247)))))),"")</f>
        <v/>
      </c>
      <c r="BB247" s="102" t="str">
        <f>IFERROR((VLOOKUP(CONCATENATE('BMP P Tracking Table'!$AW247," ",'BMP P Tracking Table'!$AY247),'Performance Curves'!$C$1:$L$46,_xlfn.SINGLE(MATCH('BMP P Tracking Table'!$BA247,'Performance Curves'!$D$1:$L$1,1))+2,FALSE)-VLOOKUP(CONCATENATE('BMP P Tracking Table'!$AW247," ",'BMP P Tracking Table'!$AY247),'Performance Curves'!$C$1:$L$46,_xlfn.SINGLE(MATCH('BMP P Tracking Table'!$BA247,'Performance Curves'!$D$1:$L$1,1))+1,FALSE)),"")</f>
        <v/>
      </c>
      <c r="BC247" s="102" t="str">
        <f>IFERROR(('BMP P Tracking Table'!$BA247-INDEX('Performance Curves'!$D$1:$L$1,1,MATCH('BMP P Tracking Table'!$BA247,'Performance Curves'!$D$1:$L$1,1)))/(INDEX('Performance Curves'!$D$1:$L$1,1,MATCH('BMP P Tracking Table'!$BA247,'Performance Curves'!$D$1:$L$1,1)+1)-INDEX('Performance Curves'!$D$1:$L$1,1,MATCH('BMP P Tracking Table'!$BA247,'Performance Curves'!$D$1:$L$1,1))),"")</f>
        <v/>
      </c>
      <c r="BD247" s="103" t="str" cm="1">
        <f t="array" ref="BD247">IFERROR(IF('BMP P Tracking Table'!$BA247=2,VLOOKUP(CONCATENATE('BMP P Tracking Table'!$AW247," ",'BMP P Tracking Table'!$AY247),'Performance Curves'!$C$1:$L$44,_xlfn.SINGLE(MATCH('BMP P Tracking Table'!$BA247,'Performance Curves'!$D$1:$L$1,1))+1,FALSE),'BMP P Tracking Table'!$BB247*'BMP P Tracking Table'!$BC247+VLOOKUP(CONCATENATE('BMP P Tracking Table'!$AW247," ",'BMP P Tracking Table'!$AY247),'Performance Curves'!$C$1:$L$44,_xlfn.SINGLE(MATCH('BMP P Tracking Table'!$BA247,'Performance Curves'!$D$1:$L$1,1))+1,FALSE)),"")</f>
        <v/>
      </c>
      <c r="BE247" s="104" t="str">
        <f>IFERROR('BMP P Tracking Table'!$BD247*'BMP P Tracking Table'!$AZ247,"")</f>
        <v/>
      </c>
      <c r="BF247" s="98"/>
      <c r="BG247" s="37">
        <f t="shared" si="36"/>
        <v>0</v>
      </c>
    </row>
    <row r="248" spans="2:59" s="36" customFormat="1">
      <c r="B248" s="65"/>
      <c r="C248" s="65"/>
      <c r="D248" s="65"/>
      <c r="E248" s="65"/>
      <c r="F248" s="94"/>
      <c r="G248" s="94"/>
      <c r="H248" s="65"/>
      <c r="I248" s="65"/>
      <c r="J248" s="65"/>
      <c r="K248" s="95"/>
      <c r="L248" s="65"/>
      <c r="M248" s="65"/>
      <c r="N248" s="65"/>
      <c r="O248" s="65"/>
      <c r="P248" s="65"/>
      <c r="Q248" s="65"/>
      <c r="R248" s="65" t="str">
        <f>IFERROR(VLOOKUP('BMP P Tracking Table'!$Q248,Dropdowns!$C$2:$E$15,3,FALSE),"")</f>
        <v/>
      </c>
      <c r="S248" s="65" t="str">
        <f>IFERROR(VLOOKUP('BMP P Tracking Table'!$R248,Dropdowns!$Q$3:$R$23,2,FALSE),"")</f>
        <v/>
      </c>
      <c r="T248" s="65"/>
      <c r="U248" s="65"/>
      <c r="V248" s="65"/>
      <c r="W248" s="65"/>
      <c r="X248" s="65"/>
      <c r="Y248" s="65"/>
      <c r="Z248" s="65"/>
      <c r="AA248" s="65"/>
      <c r="AB248" s="65"/>
      <c r="AC248" s="97"/>
      <c r="AD248" s="65"/>
      <c r="AE248" s="104" t="str">
        <f>IFERROR('BMP P Tracking Table'!$V248*VLOOKUP('BMP P Tracking Table'!$R248,'Loading Rates'!$B$1:$L$24,4,FALSE)+IF('BMP P Tracking Table'!$W248="By HSG",'BMP P Tracking Table'!$X248*VLOOKUP('BMP P Tracking Table'!$R248,'Loading Rates'!$B$1:$L$24,6,FALSE)+'BMP P Tracking Table'!$Y248*VLOOKUP('BMP P Tracking Table'!$R248,'Loading Rates'!$B$1:$L$24,7,FALSE)+'BMP P Tracking Table'!$Z248*VLOOKUP('BMP P Tracking Table'!$R248,'Loading Rates'!$B$1:$L$24,8,FALSE)+'BMP P Tracking Table'!$AA248*VLOOKUP('BMP P Tracking Table'!$R248,'Loading Rates'!$B$1:$L$24,9,FALSE),'BMP P Tracking Table'!$AB248*VLOOKUP('BMP P Tracking Table'!$R248,'Loading Rates'!$B$1:$L$24,10,FALSE)),"")</f>
        <v/>
      </c>
      <c r="AF248" s="104" t="str">
        <f>IFERROR(MIN(2,IF('BMP P Tracking Table'!$W248="Total Pervious",(-(3630*'BMP P Tracking Table'!$V248+20.691*'BMP P Tracking Table'!$AB248)+SQRT((3630*'BMP P Tracking Table'!$V248+20.691*'BMP P Tracking Table'!$AB248)^2-(4*(996.798*'BMP P Tracking Table'!$AB248)*-'BMP P Tracking Table'!$AC248)))/(2*(996.798*'BMP P Tracking Table'!$AB248)),IF(SUM('BMP P Tracking Table'!$X248:$AA248)=0,'BMP P Tracking Table'!$AC248/(-3630*'BMP P Tracking Table'!$V248),(-(3630*'BMP P Tracking Table'!$V248+20.691*'BMP P Tracking Table'!$AA248-216.711*'BMP P Tracking Table'!$Z248-83.853*'BMP P Tracking Table'!$Y248-42.834*'BMP P Tracking Table'!$X248)+SQRT((3630*'BMP P Tracking Table'!$V248+20.691*'BMP P Tracking Table'!$AA248-216.711*'BMP P Tracking Table'!$Z248-83.853*'BMP P Tracking Table'!$Y248-42.834*'BMP P Tracking Table'!$X248)^2-(4*(149.919*'BMP P Tracking Table'!$X248+236.676*'BMP P Tracking Table'!$Y248+726*'BMP P Tracking Table'!$Z248+996.798*'BMP P Tracking Table'!$AA248)*-'BMP P Tracking Table'!$AC248)))/(2*(149.919*'BMP P Tracking Table'!$X248+236.676*'BMP P Tracking Table'!$Y248+726*'BMP P Tracking Table'!$Z248+996.798*'BMP P Tracking Table'!$AA248))))),"")</f>
        <v/>
      </c>
      <c r="AG248" s="104" t="str">
        <f>IFERROR((VLOOKUP(CONCATENATE('BMP P Tracking Table'!$U248," ",'BMP P Tracking Table'!$AD248),'Performance Curves'!$C$1:$L$46,_xlfn.SINGLE(MATCH('BMP P Tracking Table'!$AF248,'Performance Curves'!$D$1:$L$1,1))+2,FALSE)-VLOOKUP(CONCATENATE('BMP P Tracking Table'!$U248," ",'BMP P Tracking Table'!$AD248),'Performance Curves'!$C$1:$L$46,_xlfn.SINGLE(MATCH('BMP P Tracking Table'!$AF248,'Performance Curves'!$D$1:$L$1,1))+1,FALSE)),"")</f>
        <v/>
      </c>
      <c r="AH248" s="104" t="str">
        <f>IFERROR(('BMP P Tracking Table'!$AF248-INDEX('Performance Curves'!$D$1:$L$1,1,MATCH('BMP P Tracking Table'!$AF248,'Performance Curves'!$D$1:$L$1,1)))/(INDEX('Performance Curves'!$D$1:$L$1,1,MATCH('BMP P Tracking Table'!$AF248,'Performance Curves'!$D$1:$L$1,1)+1)-INDEX('Performance Curves'!$D$1:$L$1,1,MATCH('BMP P Tracking Table'!$AF248,'Performance Curves'!$D$1:$L$1,1))),"")</f>
        <v/>
      </c>
      <c r="AI248" s="103" t="str">
        <f>IFERROR(IF('BMP P Tracking Table'!$AF248=2,VLOOKUP(CONCATENATE('BMP P Tracking Table'!$U248," ",'BMP P Tracking Table'!$AD248),'Performance Curves'!$C$1:$L$46,_xlfn.SINGLE(MATCH('BMP P Tracking Table'!$AF248,'Performance Curves'!$D$1:$L$1,1))+1,FALSE),'BMP P Tracking Table'!$AG248*'BMP P Tracking Table'!$AH248+VLOOKUP(CONCATENATE('BMP P Tracking Table'!$U248," ",'BMP P Tracking Table'!$AD248),'Performance Curves'!$C$1:$L$46,_xlfn.SINGLE(MATCH('BMP P Tracking Table'!$AF248,'Performance Curves'!$D$1:$L$1,1))+1,FALSE)),"")</f>
        <v/>
      </c>
      <c r="AJ248" s="104" t="str">
        <f>IFERROR('BMP P Tracking Table'!$AI248*'BMP P Tracking Table'!$AE248,"")</f>
        <v/>
      </c>
      <c r="AK248" s="65"/>
      <c r="AL248" s="98"/>
      <c r="AM248" s="98"/>
      <c r="AN248" s="64">
        <v>1</v>
      </c>
      <c r="AO248" s="102" t="str">
        <f t="shared" si="35"/>
        <v/>
      </c>
      <c r="AP248" s="98"/>
      <c r="AQ248" s="98"/>
      <c r="AR248" s="98"/>
      <c r="AS248" s="98"/>
      <c r="AT248" s="98"/>
      <c r="AU248" s="98"/>
      <c r="AV248" s="98"/>
      <c r="AW248" s="65"/>
      <c r="AX248" s="99"/>
      <c r="AY248" s="99"/>
      <c r="AZ248" s="104" t="str">
        <f>IF('BMP P Tracking Table'!$AL248="Yes",IF('BMP P Tracking Table'!$AM248="No",'BMP P Tracking Table'!$V248*VLOOKUP('BMP P Tracking Table'!$R248,'Loading Rates'!$B$1:$L$24,4,FALSE)+IF('BMP P Tracking Table'!$W248="By HSG",'BMP P Tracking Table'!$X248*VLOOKUP('BMP P Tracking Table'!$R248,'Loading Rates'!$B$1:$L$24,6,FALSE)+'BMP P Tracking Table'!$Y248*VLOOKUP('BMP P Tracking Table'!$R248,'Loading Rates'!$B$1:$L$24,7,FALSE)+'BMP P Tracking Table'!$Z248*VLOOKUP('BMP P Tracking Table'!$R248,'Loading Rates'!$B$1:$L$24,8,FALSE)+'BMP P Tracking Table'!$AA248*VLOOKUP('BMP P Tracking Table'!$R248,'Loading Rates'!$B$1:$L$24,9,FALSE),'BMP P Tracking Table'!$AB248*VLOOKUP('BMP P Tracking Table'!$R248,'Loading Rates'!$B$1:$L$24,10,FALSE)),'BMP P Tracking Table'!$AP248*VLOOKUP('BMP P Tracking Table'!$R248,'Loading Rates'!$B$1:$L$24,4,FALSE)+IF('BMP P Tracking Table'!$AQ248="By HSG",'BMP P Tracking Table'!$AR248*VLOOKUP('BMP P Tracking Table'!$R248,'Loading Rates'!$B$1:$L$24,6,FALSE)+'BMP P Tracking Table'!$AS248*VLOOKUP('BMP P Tracking Table'!$R248,'Loading Rates'!$B$1:$L$24,7,FALSE)+'BMP P Tracking Table'!$AT248*VLOOKUP('BMP P Tracking Table'!$R248,'Loading Rates'!$B$1:$L$24,8,FALSE)+'BMP P Tracking Table'!$AU248*VLOOKUP('BMP P Tracking Table'!$R248,'Loading Rates'!$B$1:$L$24,9,FALSE),'BMP P Tracking Table'!$AV248*VLOOKUP('BMP P Tracking Table'!$R248,'Loading Rates'!$B$1:$L$24,10,FALSE))),"")</f>
        <v/>
      </c>
      <c r="BA248" s="104" t="str">
        <f>IFERROR(IF('BMP P Tracking Table'!$AM248="Yes",MIN(2,IF('BMP P Tracking Table'!$AQ248="Total Pervious",(-(3630*'BMP P Tracking Table'!$AP248+20.691*'BMP P Tracking Table'!$AV248)+SQRT((3630*'BMP P Tracking Table'!$AP248+20.691*'BMP P Tracking Table'!$AV248)^2-(4*(996.798*'BMP P Tracking Table'!$AV248)*-'BMP P Tracking Table'!$AX248)))/(2*(996.798*'BMP P Tracking Table'!$AV248)),IF(SUM('BMP P Tracking Table'!$AR248:$AU248)=0,'BMP P Tracking Table'!$AV248/(-3630*'BMP P Tracking Table'!$AP248),(-(3630*'BMP P Tracking Table'!$AP248+20.691*'BMP P Tracking Table'!$AU248-216.711*'BMP P Tracking Table'!$AT248-83.853*'BMP P Tracking Table'!$AS248-42.834*'BMP P Tracking Table'!$AR248)+SQRT((3630*'BMP P Tracking Table'!$AP248+20.691*'BMP P Tracking Table'!$AU248-216.711*'BMP P Tracking Table'!$AT248-83.853*'BMP P Tracking Table'!$AS248-42.834*'BMP P Tracking Table'!$AR248)^2-(4*(149.919*'BMP P Tracking Table'!$AR248+236.676*'BMP P Tracking Table'!$AS248+726*'BMP P Tracking Table'!$AT248+996.798*'BMP P Tracking Table'!$AU248)*-'BMP P Tracking Table'!$AX248)))/(2*(149.919*'BMP P Tracking Table'!$AR248+236.676*'BMP P Tracking Table'!$AS248+726*'BMP P Tracking Table'!$AT248+996.798*'BMP P Tracking Table'!$AU248))))),MIN(2,IF('BMP P Tracking Table'!$AQ248="Total Pervious",(-(3630*'BMP P Tracking Table'!$V248+20.691*'BMP P Tracking Table'!$AB248)+SQRT((3630*'BMP P Tracking Table'!$V248+20.691*'BMP P Tracking Table'!$AB248)^2-(4*(996.798*'BMP P Tracking Table'!$AB248)*-'BMP P Tracking Table'!$AX248)))/(2*(996.798*'BMP P Tracking Table'!$AB248)),IF(SUM('BMP P Tracking Table'!$X248:$AA248)=0,'BMP P Tracking Table'!$AX248/(-3630*'BMP P Tracking Table'!$V248),(-(3630*'BMP P Tracking Table'!$V248+20.691*'BMP P Tracking Table'!$AA248-216.711*'BMP P Tracking Table'!$Z248-83.853*'BMP P Tracking Table'!$Y248-42.834*'BMP P Tracking Table'!$X248)+SQRT((3630*'BMP P Tracking Table'!$V248+20.691*'BMP P Tracking Table'!$AA248-216.711*'BMP P Tracking Table'!$Z248-83.853*'BMP P Tracking Table'!$Y248-42.834*'BMP P Tracking Table'!$X248)^2-(4*(149.919*'BMP P Tracking Table'!$X248+236.676*'BMP P Tracking Table'!$Y248+726*'BMP P Tracking Table'!$Z248+996.798*'BMP P Tracking Table'!$AA248)*-'BMP P Tracking Table'!$AX248)))/(2*(149.919*'BMP P Tracking Table'!$X248+236.676*'BMP P Tracking Table'!$Y248+726*'BMP P Tracking Table'!$Z248+996.798*'BMP P Tracking Table'!$AA248)))))),"")</f>
        <v/>
      </c>
      <c r="BB248" s="102" t="str">
        <f>IFERROR((VLOOKUP(CONCATENATE('BMP P Tracking Table'!$AW248," ",'BMP P Tracking Table'!$AY248),'Performance Curves'!$C$1:$L$46,_xlfn.SINGLE(MATCH('BMP P Tracking Table'!$BA248,'Performance Curves'!$D$1:$L$1,1))+2,FALSE)-VLOOKUP(CONCATENATE('BMP P Tracking Table'!$AW248," ",'BMP P Tracking Table'!$AY248),'Performance Curves'!$C$1:$L$46,_xlfn.SINGLE(MATCH('BMP P Tracking Table'!$BA248,'Performance Curves'!$D$1:$L$1,1))+1,FALSE)),"")</f>
        <v/>
      </c>
      <c r="BC248" s="102" t="str">
        <f>IFERROR(('BMP P Tracking Table'!$BA248-INDEX('Performance Curves'!$D$1:$L$1,1,MATCH('BMP P Tracking Table'!$BA248,'Performance Curves'!$D$1:$L$1,1)))/(INDEX('Performance Curves'!$D$1:$L$1,1,MATCH('BMP P Tracking Table'!$BA248,'Performance Curves'!$D$1:$L$1,1)+1)-INDEX('Performance Curves'!$D$1:$L$1,1,MATCH('BMP P Tracking Table'!$BA248,'Performance Curves'!$D$1:$L$1,1))),"")</f>
        <v/>
      </c>
      <c r="BD248" s="103" t="str" cm="1">
        <f t="array" ref="BD248">IFERROR(IF('BMP P Tracking Table'!$BA248=2,VLOOKUP(CONCATENATE('BMP P Tracking Table'!$AW248," ",'BMP P Tracking Table'!$AY248),'Performance Curves'!$C$1:$L$44,_xlfn.SINGLE(MATCH('BMP P Tracking Table'!$BA248,'Performance Curves'!$D$1:$L$1,1))+1,FALSE),'BMP P Tracking Table'!$BB248*'BMP P Tracking Table'!$BC248+VLOOKUP(CONCATENATE('BMP P Tracking Table'!$AW248," ",'BMP P Tracking Table'!$AY248),'Performance Curves'!$C$1:$L$44,_xlfn.SINGLE(MATCH('BMP P Tracking Table'!$BA248,'Performance Curves'!$D$1:$L$1,1))+1,FALSE)),"")</f>
        <v/>
      </c>
      <c r="BE248" s="104" t="str">
        <f>IFERROR('BMP P Tracking Table'!$BD248*'BMP P Tracking Table'!$AZ248,"")</f>
        <v/>
      </c>
      <c r="BF248" s="92"/>
      <c r="BG248" s="37">
        <f t="shared" si="36"/>
        <v>0</v>
      </c>
    </row>
    <row r="249" spans="2:59" s="36" customFormat="1">
      <c r="B249" s="65"/>
      <c r="C249" s="65"/>
      <c r="D249" s="65"/>
      <c r="E249" s="65"/>
      <c r="F249" s="94"/>
      <c r="G249" s="94"/>
      <c r="H249" s="65"/>
      <c r="I249" s="65"/>
      <c r="J249" s="65"/>
      <c r="K249" s="95"/>
      <c r="L249" s="65"/>
      <c r="M249" s="65"/>
      <c r="N249" s="65"/>
      <c r="O249" s="65"/>
      <c r="P249" s="65"/>
      <c r="Q249" s="65"/>
      <c r="R249" s="65" t="str">
        <f>IFERROR(VLOOKUP('BMP P Tracking Table'!$Q249,Dropdowns!$C$2:$E$15,3,FALSE),"")</f>
        <v/>
      </c>
      <c r="S249" s="65" t="str">
        <f>IFERROR(VLOOKUP('BMP P Tracking Table'!$R249,Dropdowns!$Q$3:$R$23,2,FALSE),"")</f>
        <v/>
      </c>
      <c r="T249" s="65"/>
      <c r="U249" s="65"/>
      <c r="V249" s="65"/>
      <c r="W249" s="65"/>
      <c r="X249" s="65"/>
      <c r="Y249" s="65"/>
      <c r="Z249" s="65"/>
      <c r="AA249" s="65"/>
      <c r="AB249" s="65"/>
      <c r="AC249" s="97"/>
      <c r="AD249" s="65"/>
      <c r="AE249" s="104" t="str">
        <f>IFERROR('BMP P Tracking Table'!$V249*VLOOKUP('BMP P Tracking Table'!$R249,'Loading Rates'!$B$1:$L$24,4,FALSE)+IF('BMP P Tracking Table'!$W249="By HSG",'BMP P Tracking Table'!$X249*VLOOKUP('BMP P Tracking Table'!$R249,'Loading Rates'!$B$1:$L$24,6,FALSE)+'BMP P Tracking Table'!$Y249*VLOOKUP('BMP P Tracking Table'!$R249,'Loading Rates'!$B$1:$L$24,7,FALSE)+'BMP P Tracking Table'!$Z249*VLOOKUP('BMP P Tracking Table'!$R249,'Loading Rates'!$B$1:$L$24,8,FALSE)+'BMP P Tracking Table'!$AA249*VLOOKUP('BMP P Tracking Table'!$R249,'Loading Rates'!$B$1:$L$24,9,FALSE),'BMP P Tracking Table'!$AB249*VLOOKUP('BMP P Tracking Table'!$R249,'Loading Rates'!$B$1:$L$24,10,FALSE)),"")</f>
        <v/>
      </c>
      <c r="AF249" s="104" t="str">
        <f>IFERROR(MIN(2,IF('BMP P Tracking Table'!$W249="Total Pervious",(-(3630*'BMP P Tracking Table'!$V249+20.691*'BMP P Tracking Table'!$AB249)+SQRT((3630*'BMP P Tracking Table'!$V249+20.691*'BMP P Tracking Table'!$AB249)^2-(4*(996.798*'BMP P Tracking Table'!$AB249)*-'BMP P Tracking Table'!$AC249)))/(2*(996.798*'BMP P Tracking Table'!$AB249)),IF(SUM('BMP P Tracking Table'!$X249:$AA249)=0,'BMP P Tracking Table'!$AC249/(-3630*'BMP P Tracking Table'!$V249),(-(3630*'BMP P Tracking Table'!$V249+20.691*'BMP P Tracking Table'!$AA249-216.711*'BMP P Tracking Table'!$Z249-83.853*'BMP P Tracking Table'!$Y249-42.834*'BMP P Tracking Table'!$X249)+SQRT((3630*'BMP P Tracking Table'!$V249+20.691*'BMP P Tracking Table'!$AA249-216.711*'BMP P Tracking Table'!$Z249-83.853*'BMP P Tracking Table'!$Y249-42.834*'BMP P Tracking Table'!$X249)^2-(4*(149.919*'BMP P Tracking Table'!$X249+236.676*'BMP P Tracking Table'!$Y249+726*'BMP P Tracking Table'!$Z249+996.798*'BMP P Tracking Table'!$AA249)*-'BMP P Tracking Table'!$AC249)))/(2*(149.919*'BMP P Tracking Table'!$X249+236.676*'BMP P Tracking Table'!$Y249+726*'BMP P Tracking Table'!$Z249+996.798*'BMP P Tracking Table'!$AA249))))),"")</f>
        <v/>
      </c>
      <c r="AG249" s="104" t="str">
        <f>IFERROR((VLOOKUP(CONCATENATE('BMP P Tracking Table'!$U249," ",'BMP P Tracking Table'!$AD249),'Performance Curves'!$C$1:$L$46,_xlfn.SINGLE(MATCH('BMP P Tracking Table'!$AF249,'Performance Curves'!$D$1:$L$1,1))+2,FALSE)-VLOOKUP(CONCATENATE('BMP P Tracking Table'!$U249," ",'BMP P Tracking Table'!$AD249),'Performance Curves'!$C$1:$L$46,_xlfn.SINGLE(MATCH('BMP P Tracking Table'!$AF249,'Performance Curves'!$D$1:$L$1,1))+1,FALSE)),"")</f>
        <v/>
      </c>
      <c r="AH249" s="104" t="str">
        <f>IFERROR(('BMP P Tracking Table'!$AF249-INDEX('Performance Curves'!$D$1:$L$1,1,MATCH('BMP P Tracking Table'!$AF249,'Performance Curves'!$D$1:$L$1,1)))/(INDEX('Performance Curves'!$D$1:$L$1,1,MATCH('BMP P Tracking Table'!$AF249,'Performance Curves'!$D$1:$L$1,1)+1)-INDEX('Performance Curves'!$D$1:$L$1,1,MATCH('BMP P Tracking Table'!$AF249,'Performance Curves'!$D$1:$L$1,1))),"")</f>
        <v/>
      </c>
      <c r="AI249" s="103" t="str">
        <f>IFERROR(IF('BMP P Tracking Table'!$AF249=2,VLOOKUP(CONCATENATE('BMP P Tracking Table'!$U249," ",'BMP P Tracking Table'!$AD249),'Performance Curves'!$C$1:$L$46,_xlfn.SINGLE(MATCH('BMP P Tracking Table'!$AF249,'Performance Curves'!$D$1:$L$1,1))+1,FALSE),'BMP P Tracking Table'!$AG249*'BMP P Tracking Table'!$AH249+VLOOKUP(CONCATENATE('BMP P Tracking Table'!$U249," ",'BMP P Tracking Table'!$AD249),'Performance Curves'!$C$1:$L$46,_xlfn.SINGLE(MATCH('BMP P Tracking Table'!$AF249,'Performance Curves'!$D$1:$L$1,1))+1,FALSE)),"")</f>
        <v/>
      </c>
      <c r="AJ249" s="104" t="str">
        <f>IFERROR('BMP P Tracking Table'!$AI249*'BMP P Tracking Table'!$AE249,"")</f>
        <v/>
      </c>
      <c r="AK249" s="65"/>
      <c r="AL249" s="98"/>
      <c r="AM249" s="98"/>
      <c r="AN249" s="64">
        <v>1</v>
      </c>
      <c r="AO249" s="102" t="str">
        <f t="shared" si="35"/>
        <v/>
      </c>
      <c r="AP249" s="98"/>
      <c r="AQ249" s="98"/>
      <c r="AR249" s="98"/>
      <c r="AS249" s="98"/>
      <c r="AT249" s="98"/>
      <c r="AU249" s="98"/>
      <c r="AV249" s="98"/>
      <c r="AW249" s="65"/>
      <c r="AX249" s="99"/>
      <c r="AY249" s="99"/>
      <c r="AZ249" s="104" t="str">
        <f>IF('BMP P Tracking Table'!$AL249="Yes",IF('BMP P Tracking Table'!$AM249="No",'BMP P Tracking Table'!$V249*VLOOKUP('BMP P Tracking Table'!$R249,'Loading Rates'!$B$1:$L$24,4,FALSE)+IF('BMP P Tracking Table'!$W249="By HSG",'BMP P Tracking Table'!$X249*VLOOKUP('BMP P Tracking Table'!$R249,'Loading Rates'!$B$1:$L$24,6,FALSE)+'BMP P Tracking Table'!$Y249*VLOOKUP('BMP P Tracking Table'!$R249,'Loading Rates'!$B$1:$L$24,7,FALSE)+'BMP P Tracking Table'!$Z249*VLOOKUP('BMP P Tracking Table'!$R249,'Loading Rates'!$B$1:$L$24,8,FALSE)+'BMP P Tracking Table'!$AA249*VLOOKUP('BMP P Tracking Table'!$R249,'Loading Rates'!$B$1:$L$24,9,FALSE),'BMP P Tracking Table'!$AB249*VLOOKUP('BMP P Tracking Table'!$R249,'Loading Rates'!$B$1:$L$24,10,FALSE)),'BMP P Tracking Table'!$AP249*VLOOKUP('BMP P Tracking Table'!$R249,'Loading Rates'!$B$1:$L$24,4,FALSE)+IF('BMP P Tracking Table'!$AQ249="By HSG",'BMP P Tracking Table'!$AR249*VLOOKUP('BMP P Tracking Table'!$R249,'Loading Rates'!$B$1:$L$24,6,FALSE)+'BMP P Tracking Table'!$AS249*VLOOKUP('BMP P Tracking Table'!$R249,'Loading Rates'!$B$1:$L$24,7,FALSE)+'BMP P Tracking Table'!$AT249*VLOOKUP('BMP P Tracking Table'!$R249,'Loading Rates'!$B$1:$L$24,8,FALSE)+'BMP P Tracking Table'!$AU249*VLOOKUP('BMP P Tracking Table'!$R249,'Loading Rates'!$B$1:$L$24,9,FALSE),'BMP P Tracking Table'!$AV249*VLOOKUP('BMP P Tracking Table'!$R249,'Loading Rates'!$B$1:$L$24,10,FALSE))),"")</f>
        <v/>
      </c>
      <c r="BA249" s="104" t="str">
        <f>IFERROR(IF('BMP P Tracking Table'!$AM249="Yes",MIN(2,IF('BMP P Tracking Table'!$AQ249="Total Pervious",(-(3630*'BMP P Tracking Table'!$AP249+20.691*'BMP P Tracking Table'!$AV249)+SQRT((3630*'BMP P Tracking Table'!$AP249+20.691*'BMP P Tracking Table'!$AV249)^2-(4*(996.798*'BMP P Tracking Table'!$AV249)*-'BMP P Tracking Table'!$AX249)))/(2*(996.798*'BMP P Tracking Table'!$AV249)),IF(SUM('BMP P Tracking Table'!$AR249:$AU249)=0,'BMP P Tracking Table'!$AV249/(-3630*'BMP P Tracking Table'!$AP249),(-(3630*'BMP P Tracking Table'!$AP249+20.691*'BMP P Tracking Table'!$AU249-216.711*'BMP P Tracking Table'!$AT249-83.853*'BMP P Tracking Table'!$AS249-42.834*'BMP P Tracking Table'!$AR249)+SQRT((3630*'BMP P Tracking Table'!$AP249+20.691*'BMP P Tracking Table'!$AU249-216.711*'BMP P Tracking Table'!$AT249-83.853*'BMP P Tracking Table'!$AS249-42.834*'BMP P Tracking Table'!$AR249)^2-(4*(149.919*'BMP P Tracking Table'!$AR249+236.676*'BMP P Tracking Table'!$AS249+726*'BMP P Tracking Table'!$AT249+996.798*'BMP P Tracking Table'!$AU249)*-'BMP P Tracking Table'!$AX249)))/(2*(149.919*'BMP P Tracking Table'!$AR249+236.676*'BMP P Tracking Table'!$AS249+726*'BMP P Tracking Table'!$AT249+996.798*'BMP P Tracking Table'!$AU249))))),MIN(2,IF('BMP P Tracking Table'!$AQ249="Total Pervious",(-(3630*'BMP P Tracking Table'!$V249+20.691*'BMP P Tracking Table'!$AB249)+SQRT((3630*'BMP P Tracking Table'!$V249+20.691*'BMP P Tracking Table'!$AB249)^2-(4*(996.798*'BMP P Tracking Table'!$AB249)*-'BMP P Tracking Table'!$AX249)))/(2*(996.798*'BMP P Tracking Table'!$AB249)),IF(SUM('BMP P Tracking Table'!$X249:$AA249)=0,'BMP P Tracking Table'!$AX249/(-3630*'BMP P Tracking Table'!$V249),(-(3630*'BMP P Tracking Table'!$V249+20.691*'BMP P Tracking Table'!$AA249-216.711*'BMP P Tracking Table'!$Z249-83.853*'BMP P Tracking Table'!$Y249-42.834*'BMP P Tracking Table'!$X249)+SQRT((3630*'BMP P Tracking Table'!$V249+20.691*'BMP P Tracking Table'!$AA249-216.711*'BMP P Tracking Table'!$Z249-83.853*'BMP P Tracking Table'!$Y249-42.834*'BMP P Tracking Table'!$X249)^2-(4*(149.919*'BMP P Tracking Table'!$X249+236.676*'BMP P Tracking Table'!$Y249+726*'BMP P Tracking Table'!$Z249+996.798*'BMP P Tracking Table'!$AA249)*-'BMP P Tracking Table'!$AX249)))/(2*(149.919*'BMP P Tracking Table'!$X249+236.676*'BMP P Tracking Table'!$Y249+726*'BMP P Tracking Table'!$Z249+996.798*'BMP P Tracking Table'!$AA249)))))),"")</f>
        <v/>
      </c>
      <c r="BB249" s="102" t="str">
        <f>IFERROR((VLOOKUP(CONCATENATE('BMP P Tracking Table'!$AW249," ",'BMP P Tracking Table'!$AY249),'Performance Curves'!$C$1:$L$46,_xlfn.SINGLE(MATCH('BMP P Tracking Table'!$BA249,'Performance Curves'!$D$1:$L$1,1))+2,FALSE)-VLOOKUP(CONCATENATE('BMP P Tracking Table'!$AW249," ",'BMP P Tracking Table'!$AY249),'Performance Curves'!$C$1:$L$46,_xlfn.SINGLE(MATCH('BMP P Tracking Table'!$BA249,'Performance Curves'!$D$1:$L$1,1))+1,FALSE)),"")</f>
        <v/>
      </c>
      <c r="BC249" s="102" t="str">
        <f>IFERROR(('BMP P Tracking Table'!$BA249-INDEX('Performance Curves'!$D$1:$L$1,1,MATCH('BMP P Tracking Table'!$BA249,'Performance Curves'!$D$1:$L$1,1)))/(INDEX('Performance Curves'!$D$1:$L$1,1,MATCH('BMP P Tracking Table'!$BA249,'Performance Curves'!$D$1:$L$1,1)+1)-INDEX('Performance Curves'!$D$1:$L$1,1,MATCH('BMP P Tracking Table'!$BA249,'Performance Curves'!$D$1:$L$1,1))),"")</f>
        <v/>
      </c>
      <c r="BD249" s="103" t="str" cm="1">
        <f t="array" ref="BD249">IFERROR(IF('BMP P Tracking Table'!$BA249=2,VLOOKUP(CONCATENATE('BMP P Tracking Table'!$AW249," ",'BMP P Tracking Table'!$AY249),'Performance Curves'!$C$1:$L$44,_xlfn.SINGLE(MATCH('BMP P Tracking Table'!$BA249,'Performance Curves'!$D$1:$L$1,1))+1,FALSE),'BMP P Tracking Table'!$BB249*'BMP P Tracking Table'!$BC249+VLOOKUP(CONCATENATE('BMP P Tracking Table'!$AW249," ",'BMP P Tracking Table'!$AY249),'Performance Curves'!$C$1:$L$44,_xlfn.SINGLE(MATCH('BMP P Tracking Table'!$BA249,'Performance Curves'!$D$1:$L$1,1))+1,FALSE)),"")</f>
        <v/>
      </c>
      <c r="BE249" s="104" t="str">
        <f>IFERROR('BMP P Tracking Table'!$BD249*'BMP P Tracking Table'!$AZ249,"")</f>
        <v/>
      </c>
      <c r="BF249" s="98"/>
      <c r="BG249" s="37">
        <f t="shared" si="36"/>
        <v>0</v>
      </c>
    </row>
    <row r="250" spans="2:59" s="36" customFormat="1">
      <c r="B250" s="65"/>
      <c r="C250" s="65"/>
      <c r="D250" s="65"/>
      <c r="E250" s="65"/>
      <c r="F250" s="94"/>
      <c r="G250" s="94"/>
      <c r="H250" s="65"/>
      <c r="I250" s="65"/>
      <c r="J250" s="65"/>
      <c r="K250" s="95"/>
      <c r="L250" s="65"/>
      <c r="M250" s="65"/>
      <c r="N250" s="65"/>
      <c r="O250" s="65"/>
      <c r="P250" s="65"/>
      <c r="Q250" s="65"/>
      <c r="R250" s="65" t="str">
        <f>IFERROR(VLOOKUP('BMP P Tracking Table'!$Q250,Dropdowns!$C$2:$E$15,3,FALSE),"")</f>
        <v/>
      </c>
      <c r="S250" s="65" t="str">
        <f>IFERROR(VLOOKUP('BMP P Tracking Table'!$R250,Dropdowns!$Q$3:$R$23,2,FALSE),"")</f>
        <v/>
      </c>
      <c r="T250" s="65"/>
      <c r="U250" s="65"/>
      <c r="V250" s="65"/>
      <c r="W250" s="65"/>
      <c r="X250" s="65"/>
      <c r="Y250" s="65"/>
      <c r="Z250" s="65"/>
      <c r="AA250" s="65"/>
      <c r="AB250" s="65"/>
      <c r="AC250" s="97"/>
      <c r="AD250" s="65"/>
      <c r="AE250" s="104" t="str">
        <f>IFERROR('BMP P Tracking Table'!$V250*VLOOKUP('BMP P Tracking Table'!$R250,'Loading Rates'!$B$1:$L$24,4,FALSE)+IF('BMP P Tracking Table'!$W250="By HSG",'BMP P Tracking Table'!$X250*VLOOKUP('BMP P Tracking Table'!$R250,'Loading Rates'!$B$1:$L$24,6,FALSE)+'BMP P Tracking Table'!$Y250*VLOOKUP('BMP P Tracking Table'!$R250,'Loading Rates'!$B$1:$L$24,7,FALSE)+'BMP P Tracking Table'!$Z250*VLOOKUP('BMP P Tracking Table'!$R250,'Loading Rates'!$B$1:$L$24,8,FALSE)+'BMP P Tracking Table'!$AA250*VLOOKUP('BMP P Tracking Table'!$R250,'Loading Rates'!$B$1:$L$24,9,FALSE),'BMP P Tracking Table'!$AB250*VLOOKUP('BMP P Tracking Table'!$R250,'Loading Rates'!$B$1:$L$24,10,FALSE)),"")</f>
        <v/>
      </c>
      <c r="AF250" s="104" t="str">
        <f>IFERROR(MIN(2,IF('BMP P Tracking Table'!$W250="Total Pervious",(-(3630*'BMP P Tracking Table'!$V250+20.691*'BMP P Tracking Table'!$AB250)+SQRT((3630*'BMP P Tracking Table'!$V250+20.691*'BMP P Tracking Table'!$AB250)^2-(4*(996.798*'BMP P Tracking Table'!$AB250)*-'BMP P Tracking Table'!$AC250)))/(2*(996.798*'BMP P Tracking Table'!$AB250)),IF(SUM('BMP P Tracking Table'!$X250:$AA250)=0,'BMP P Tracking Table'!$AC250/(-3630*'BMP P Tracking Table'!$V250),(-(3630*'BMP P Tracking Table'!$V250+20.691*'BMP P Tracking Table'!$AA250-216.711*'BMP P Tracking Table'!$Z250-83.853*'BMP P Tracking Table'!$Y250-42.834*'BMP P Tracking Table'!$X250)+SQRT((3630*'BMP P Tracking Table'!$V250+20.691*'BMP P Tracking Table'!$AA250-216.711*'BMP P Tracking Table'!$Z250-83.853*'BMP P Tracking Table'!$Y250-42.834*'BMP P Tracking Table'!$X250)^2-(4*(149.919*'BMP P Tracking Table'!$X250+236.676*'BMP P Tracking Table'!$Y250+726*'BMP P Tracking Table'!$Z250+996.798*'BMP P Tracking Table'!$AA250)*-'BMP P Tracking Table'!$AC250)))/(2*(149.919*'BMP P Tracking Table'!$X250+236.676*'BMP P Tracking Table'!$Y250+726*'BMP P Tracking Table'!$Z250+996.798*'BMP P Tracking Table'!$AA250))))),"")</f>
        <v/>
      </c>
      <c r="AG250" s="104" t="str">
        <f>IFERROR((VLOOKUP(CONCATENATE('BMP P Tracking Table'!$U250," ",'BMP P Tracking Table'!$AD250),'Performance Curves'!$C$1:$L$46,_xlfn.SINGLE(MATCH('BMP P Tracking Table'!$AF250,'Performance Curves'!$D$1:$L$1,1))+2,FALSE)-VLOOKUP(CONCATENATE('BMP P Tracking Table'!$U250," ",'BMP P Tracking Table'!$AD250),'Performance Curves'!$C$1:$L$46,_xlfn.SINGLE(MATCH('BMP P Tracking Table'!$AF250,'Performance Curves'!$D$1:$L$1,1))+1,FALSE)),"")</f>
        <v/>
      </c>
      <c r="AH250" s="104" t="str">
        <f>IFERROR(('BMP P Tracking Table'!$AF250-INDEX('Performance Curves'!$D$1:$L$1,1,MATCH('BMP P Tracking Table'!$AF250,'Performance Curves'!$D$1:$L$1,1)))/(INDEX('Performance Curves'!$D$1:$L$1,1,MATCH('BMP P Tracking Table'!$AF250,'Performance Curves'!$D$1:$L$1,1)+1)-INDEX('Performance Curves'!$D$1:$L$1,1,MATCH('BMP P Tracking Table'!$AF250,'Performance Curves'!$D$1:$L$1,1))),"")</f>
        <v/>
      </c>
      <c r="AI250" s="103" t="str">
        <f>IFERROR(IF('BMP P Tracking Table'!$AF250=2,VLOOKUP(CONCATENATE('BMP P Tracking Table'!$U250," ",'BMP P Tracking Table'!$AD250),'Performance Curves'!$C$1:$L$46,_xlfn.SINGLE(MATCH('BMP P Tracking Table'!$AF250,'Performance Curves'!$D$1:$L$1,1))+1,FALSE),'BMP P Tracking Table'!$AG250*'BMP P Tracking Table'!$AH250+VLOOKUP(CONCATENATE('BMP P Tracking Table'!$U250," ",'BMP P Tracking Table'!$AD250),'Performance Curves'!$C$1:$L$46,_xlfn.SINGLE(MATCH('BMP P Tracking Table'!$AF250,'Performance Curves'!$D$1:$L$1,1))+1,FALSE)),"")</f>
        <v/>
      </c>
      <c r="AJ250" s="104" t="str">
        <f>IFERROR('BMP P Tracking Table'!$AI250*'BMP P Tracking Table'!$AE250,"")</f>
        <v/>
      </c>
      <c r="AK250" s="65"/>
      <c r="AL250" s="98"/>
      <c r="AM250" s="98"/>
      <c r="AN250" s="64">
        <v>1</v>
      </c>
      <c r="AO250" s="102" t="str">
        <f t="shared" si="35"/>
        <v/>
      </c>
      <c r="AP250" s="98"/>
      <c r="AQ250" s="98"/>
      <c r="AR250" s="98"/>
      <c r="AS250" s="98"/>
      <c r="AT250" s="98"/>
      <c r="AU250" s="98"/>
      <c r="AV250" s="98"/>
      <c r="AW250" s="65"/>
      <c r="AX250" s="99"/>
      <c r="AY250" s="99"/>
      <c r="AZ250" s="104" t="str">
        <f>IF('BMP P Tracking Table'!$AL250="Yes",IF('BMP P Tracking Table'!$AM250="No",'BMP P Tracking Table'!$V250*VLOOKUP('BMP P Tracking Table'!$R250,'Loading Rates'!$B$1:$L$24,4,FALSE)+IF('BMP P Tracking Table'!$W250="By HSG",'BMP P Tracking Table'!$X250*VLOOKUP('BMP P Tracking Table'!$R250,'Loading Rates'!$B$1:$L$24,6,FALSE)+'BMP P Tracking Table'!$Y250*VLOOKUP('BMP P Tracking Table'!$R250,'Loading Rates'!$B$1:$L$24,7,FALSE)+'BMP P Tracking Table'!$Z250*VLOOKUP('BMP P Tracking Table'!$R250,'Loading Rates'!$B$1:$L$24,8,FALSE)+'BMP P Tracking Table'!$AA250*VLOOKUP('BMP P Tracking Table'!$R250,'Loading Rates'!$B$1:$L$24,9,FALSE),'BMP P Tracking Table'!$AB250*VLOOKUP('BMP P Tracking Table'!$R250,'Loading Rates'!$B$1:$L$24,10,FALSE)),'BMP P Tracking Table'!$AP250*VLOOKUP('BMP P Tracking Table'!$R250,'Loading Rates'!$B$1:$L$24,4,FALSE)+IF('BMP P Tracking Table'!$AQ250="By HSG",'BMP P Tracking Table'!$AR250*VLOOKUP('BMP P Tracking Table'!$R250,'Loading Rates'!$B$1:$L$24,6,FALSE)+'BMP P Tracking Table'!$AS250*VLOOKUP('BMP P Tracking Table'!$R250,'Loading Rates'!$B$1:$L$24,7,FALSE)+'BMP P Tracking Table'!$AT250*VLOOKUP('BMP P Tracking Table'!$R250,'Loading Rates'!$B$1:$L$24,8,FALSE)+'BMP P Tracking Table'!$AU250*VLOOKUP('BMP P Tracking Table'!$R250,'Loading Rates'!$B$1:$L$24,9,FALSE),'BMP P Tracking Table'!$AV250*VLOOKUP('BMP P Tracking Table'!$R250,'Loading Rates'!$B$1:$L$24,10,FALSE))),"")</f>
        <v/>
      </c>
      <c r="BA250" s="104" t="str">
        <f>IFERROR(IF('BMP P Tracking Table'!$AM250="Yes",MIN(2,IF('BMP P Tracking Table'!$AQ250="Total Pervious",(-(3630*'BMP P Tracking Table'!$AP250+20.691*'BMP P Tracking Table'!$AV250)+SQRT((3630*'BMP P Tracking Table'!$AP250+20.691*'BMP P Tracking Table'!$AV250)^2-(4*(996.798*'BMP P Tracking Table'!$AV250)*-'BMP P Tracking Table'!$AX250)))/(2*(996.798*'BMP P Tracking Table'!$AV250)),IF(SUM('BMP P Tracking Table'!$AR250:$AU250)=0,'BMP P Tracking Table'!$AV250/(-3630*'BMP P Tracking Table'!$AP250),(-(3630*'BMP P Tracking Table'!$AP250+20.691*'BMP P Tracking Table'!$AU250-216.711*'BMP P Tracking Table'!$AT250-83.853*'BMP P Tracking Table'!$AS250-42.834*'BMP P Tracking Table'!$AR250)+SQRT((3630*'BMP P Tracking Table'!$AP250+20.691*'BMP P Tracking Table'!$AU250-216.711*'BMP P Tracking Table'!$AT250-83.853*'BMP P Tracking Table'!$AS250-42.834*'BMP P Tracking Table'!$AR250)^2-(4*(149.919*'BMP P Tracking Table'!$AR250+236.676*'BMP P Tracking Table'!$AS250+726*'BMP P Tracking Table'!$AT250+996.798*'BMP P Tracking Table'!$AU250)*-'BMP P Tracking Table'!$AX250)))/(2*(149.919*'BMP P Tracking Table'!$AR250+236.676*'BMP P Tracking Table'!$AS250+726*'BMP P Tracking Table'!$AT250+996.798*'BMP P Tracking Table'!$AU250))))),MIN(2,IF('BMP P Tracking Table'!$AQ250="Total Pervious",(-(3630*'BMP P Tracking Table'!$V250+20.691*'BMP P Tracking Table'!$AB250)+SQRT((3630*'BMP P Tracking Table'!$V250+20.691*'BMP P Tracking Table'!$AB250)^2-(4*(996.798*'BMP P Tracking Table'!$AB250)*-'BMP P Tracking Table'!$AX250)))/(2*(996.798*'BMP P Tracking Table'!$AB250)),IF(SUM('BMP P Tracking Table'!$X250:$AA250)=0,'BMP P Tracking Table'!$AX250/(-3630*'BMP P Tracking Table'!$V250),(-(3630*'BMP P Tracking Table'!$V250+20.691*'BMP P Tracking Table'!$AA250-216.711*'BMP P Tracking Table'!$Z250-83.853*'BMP P Tracking Table'!$Y250-42.834*'BMP P Tracking Table'!$X250)+SQRT((3630*'BMP P Tracking Table'!$V250+20.691*'BMP P Tracking Table'!$AA250-216.711*'BMP P Tracking Table'!$Z250-83.853*'BMP P Tracking Table'!$Y250-42.834*'BMP P Tracking Table'!$X250)^2-(4*(149.919*'BMP P Tracking Table'!$X250+236.676*'BMP P Tracking Table'!$Y250+726*'BMP P Tracking Table'!$Z250+996.798*'BMP P Tracking Table'!$AA250)*-'BMP P Tracking Table'!$AX250)))/(2*(149.919*'BMP P Tracking Table'!$X250+236.676*'BMP P Tracking Table'!$Y250+726*'BMP P Tracking Table'!$Z250+996.798*'BMP P Tracking Table'!$AA250)))))),"")</f>
        <v/>
      </c>
      <c r="BB250" s="102" t="str">
        <f>IFERROR((VLOOKUP(CONCATENATE('BMP P Tracking Table'!$AW250," ",'BMP P Tracking Table'!$AY250),'Performance Curves'!$C$1:$L$46,_xlfn.SINGLE(MATCH('BMP P Tracking Table'!$BA250,'Performance Curves'!$D$1:$L$1,1))+2,FALSE)-VLOOKUP(CONCATENATE('BMP P Tracking Table'!$AW250," ",'BMP P Tracking Table'!$AY250),'Performance Curves'!$C$1:$L$46,_xlfn.SINGLE(MATCH('BMP P Tracking Table'!$BA250,'Performance Curves'!$D$1:$L$1,1))+1,FALSE)),"")</f>
        <v/>
      </c>
      <c r="BC250" s="102" t="str">
        <f>IFERROR(('BMP P Tracking Table'!$BA250-INDEX('Performance Curves'!$D$1:$L$1,1,MATCH('BMP P Tracking Table'!$BA250,'Performance Curves'!$D$1:$L$1,1)))/(INDEX('Performance Curves'!$D$1:$L$1,1,MATCH('BMP P Tracking Table'!$BA250,'Performance Curves'!$D$1:$L$1,1)+1)-INDEX('Performance Curves'!$D$1:$L$1,1,MATCH('BMP P Tracking Table'!$BA250,'Performance Curves'!$D$1:$L$1,1))),"")</f>
        <v/>
      </c>
      <c r="BD250" s="103" t="str" cm="1">
        <f t="array" ref="BD250">IFERROR(IF('BMP P Tracking Table'!$BA250=2,VLOOKUP(CONCATENATE('BMP P Tracking Table'!$AW250," ",'BMP P Tracking Table'!$AY250),'Performance Curves'!$C$1:$L$44,_xlfn.SINGLE(MATCH('BMP P Tracking Table'!$BA250,'Performance Curves'!$D$1:$L$1,1))+1,FALSE),'BMP P Tracking Table'!$BB250*'BMP P Tracking Table'!$BC250+VLOOKUP(CONCATENATE('BMP P Tracking Table'!$AW250," ",'BMP P Tracking Table'!$AY250),'Performance Curves'!$C$1:$L$44,_xlfn.SINGLE(MATCH('BMP P Tracking Table'!$BA250,'Performance Curves'!$D$1:$L$1,1))+1,FALSE)),"")</f>
        <v/>
      </c>
      <c r="BE250" s="104" t="str">
        <f>IFERROR('BMP P Tracking Table'!$BD250*'BMP P Tracking Table'!$AZ250,"")</f>
        <v/>
      </c>
      <c r="BF250" s="98"/>
      <c r="BG250" s="37">
        <f t="shared" si="36"/>
        <v>0</v>
      </c>
    </row>
    <row r="251" spans="2:59" s="36" customFormat="1">
      <c r="B251" s="65"/>
      <c r="C251" s="65"/>
      <c r="D251" s="65"/>
      <c r="E251" s="65"/>
      <c r="F251" s="94"/>
      <c r="G251" s="94"/>
      <c r="H251" s="65"/>
      <c r="I251" s="65"/>
      <c r="J251" s="65"/>
      <c r="K251" s="95"/>
      <c r="L251" s="65"/>
      <c r="M251" s="65"/>
      <c r="N251" s="65"/>
      <c r="O251" s="65"/>
      <c r="P251" s="65"/>
      <c r="Q251" s="65"/>
      <c r="R251" s="65" t="str">
        <f>IFERROR(VLOOKUP('BMP P Tracking Table'!$Q251,Dropdowns!$C$2:$E$15,3,FALSE),"")</f>
        <v/>
      </c>
      <c r="S251" s="65" t="str">
        <f>IFERROR(VLOOKUP('BMP P Tracking Table'!$R251,Dropdowns!$Q$3:$R$23,2,FALSE),"")</f>
        <v/>
      </c>
      <c r="T251" s="65"/>
      <c r="U251" s="65"/>
      <c r="V251" s="65"/>
      <c r="W251" s="65"/>
      <c r="X251" s="65"/>
      <c r="Y251" s="65"/>
      <c r="Z251" s="65"/>
      <c r="AA251" s="65"/>
      <c r="AB251" s="65"/>
      <c r="AC251" s="97"/>
      <c r="AD251" s="65"/>
      <c r="AE251" s="104" t="str">
        <f>IFERROR('BMP P Tracking Table'!$V251*VLOOKUP('BMP P Tracking Table'!$R251,'Loading Rates'!$B$1:$L$24,4,FALSE)+IF('BMP P Tracking Table'!$W251="By HSG",'BMP P Tracking Table'!$X251*VLOOKUP('BMP P Tracking Table'!$R251,'Loading Rates'!$B$1:$L$24,6,FALSE)+'BMP P Tracking Table'!$Y251*VLOOKUP('BMP P Tracking Table'!$R251,'Loading Rates'!$B$1:$L$24,7,FALSE)+'BMP P Tracking Table'!$Z251*VLOOKUP('BMP P Tracking Table'!$R251,'Loading Rates'!$B$1:$L$24,8,FALSE)+'BMP P Tracking Table'!$AA251*VLOOKUP('BMP P Tracking Table'!$R251,'Loading Rates'!$B$1:$L$24,9,FALSE),'BMP P Tracking Table'!$AB251*VLOOKUP('BMP P Tracking Table'!$R251,'Loading Rates'!$B$1:$L$24,10,FALSE)),"")</f>
        <v/>
      </c>
      <c r="AF251" s="104" t="str">
        <f>IFERROR(MIN(2,IF('BMP P Tracking Table'!$W251="Total Pervious",(-(3630*'BMP P Tracking Table'!$V251+20.691*'BMP P Tracking Table'!$AB251)+SQRT((3630*'BMP P Tracking Table'!$V251+20.691*'BMP P Tracking Table'!$AB251)^2-(4*(996.798*'BMP P Tracking Table'!$AB251)*-'BMP P Tracking Table'!$AC251)))/(2*(996.798*'BMP P Tracking Table'!$AB251)),IF(SUM('BMP P Tracking Table'!$X251:$AA251)=0,'BMP P Tracking Table'!$AC251/(-3630*'BMP P Tracking Table'!$V251),(-(3630*'BMP P Tracking Table'!$V251+20.691*'BMP P Tracking Table'!$AA251-216.711*'BMP P Tracking Table'!$Z251-83.853*'BMP P Tracking Table'!$Y251-42.834*'BMP P Tracking Table'!$X251)+SQRT((3630*'BMP P Tracking Table'!$V251+20.691*'BMP P Tracking Table'!$AA251-216.711*'BMP P Tracking Table'!$Z251-83.853*'BMP P Tracking Table'!$Y251-42.834*'BMP P Tracking Table'!$X251)^2-(4*(149.919*'BMP P Tracking Table'!$X251+236.676*'BMP P Tracking Table'!$Y251+726*'BMP P Tracking Table'!$Z251+996.798*'BMP P Tracking Table'!$AA251)*-'BMP P Tracking Table'!$AC251)))/(2*(149.919*'BMP P Tracking Table'!$X251+236.676*'BMP P Tracking Table'!$Y251+726*'BMP P Tracking Table'!$Z251+996.798*'BMP P Tracking Table'!$AA251))))),"")</f>
        <v/>
      </c>
      <c r="AG251" s="104" t="str">
        <f>IFERROR((VLOOKUP(CONCATENATE('BMP P Tracking Table'!$U251," ",'BMP P Tracking Table'!$AD251),'Performance Curves'!$C$1:$L$46,_xlfn.SINGLE(MATCH('BMP P Tracking Table'!$AF251,'Performance Curves'!$D$1:$L$1,1))+2,FALSE)-VLOOKUP(CONCATENATE('BMP P Tracking Table'!$U251," ",'BMP P Tracking Table'!$AD251),'Performance Curves'!$C$1:$L$46,_xlfn.SINGLE(MATCH('BMP P Tracking Table'!$AF251,'Performance Curves'!$D$1:$L$1,1))+1,FALSE)),"")</f>
        <v/>
      </c>
      <c r="AH251" s="104" t="str">
        <f>IFERROR(('BMP P Tracking Table'!$AF251-INDEX('Performance Curves'!$D$1:$L$1,1,MATCH('BMP P Tracking Table'!$AF251,'Performance Curves'!$D$1:$L$1,1)))/(INDEX('Performance Curves'!$D$1:$L$1,1,MATCH('BMP P Tracking Table'!$AF251,'Performance Curves'!$D$1:$L$1,1)+1)-INDEX('Performance Curves'!$D$1:$L$1,1,MATCH('BMP P Tracking Table'!$AF251,'Performance Curves'!$D$1:$L$1,1))),"")</f>
        <v/>
      </c>
      <c r="AI251" s="103" t="str">
        <f>IFERROR(IF('BMP P Tracking Table'!$AF251=2,VLOOKUP(CONCATENATE('BMP P Tracking Table'!$U251," ",'BMP P Tracking Table'!$AD251),'Performance Curves'!$C$1:$L$46,_xlfn.SINGLE(MATCH('BMP P Tracking Table'!$AF251,'Performance Curves'!$D$1:$L$1,1))+1,FALSE),'BMP P Tracking Table'!$AG251*'BMP P Tracking Table'!$AH251+VLOOKUP(CONCATENATE('BMP P Tracking Table'!$U251," ",'BMP P Tracking Table'!$AD251),'Performance Curves'!$C$1:$L$46,_xlfn.SINGLE(MATCH('BMP P Tracking Table'!$AF251,'Performance Curves'!$D$1:$L$1,1))+1,FALSE)),"")</f>
        <v/>
      </c>
      <c r="AJ251" s="104" t="str">
        <f>IFERROR('BMP P Tracking Table'!$AI251*'BMP P Tracking Table'!$AE251,"")</f>
        <v/>
      </c>
      <c r="AK251" s="65"/>
      <c r="AL251" s="98"/>
      <c r="AM251" s="98"/>
      <c r="AN251" s="64">
        <v>1</v>
      </c>
      <c r="AO251" s="102" t="str">
        <f t="shared" si="35"/>
        <v/>
      </c>
      <c r="AP251" s="98"/>
      <c r="AQ251" s="98"/>
      <c r="AR251" s="98"/>
      <c r="AS251" s="98"/>
      <c r="AT251" s="98"/>
      <c r="AU251" s="98"/>
      <c r="AV251" s="98"/>
      <c r="AW251" s="65"/>
      <c r="AX251" s="99"/>
      <c r="AY251" s="99"/>
      <c r="AZ251" s="104" t="str">
        <f>IF('BMP P Tracking Table'!$AL251="Yes",IF('BMP P Tracking Table'!$AM251="No",'BMP P Tracking Table'!$V251*VLOOKUP('BMP P Tracking Table'!$R251,'Loading Rates'!$B$1:$L$24,4,FALSE)+IF('BMP P Tracking Table'!$W251="By HSG",'BMP P Tracking Table'!$X251*VLOOKUP('BMP P Tracking Table'!$R251,'Loading Rates'!$B$1:$L$24,6,FALSE)+'BMP P Tracking Table'!$Y251*VLOOKUP('BMP P Tracking Table'!$R251,'Loading Rates'!$B$1:$L$24,7,FALSE)+'BMP P Tracking Table'!$Z251*VLOOKUP('BMP P Tracking Table'!$R251,'Loading Rates'!$B$1:$L$24,8,FALSE)+'BMP P Tracking Table'!$AA251*VLOOKUP('BMP P Tracking Table'!$R251,'Loading Rates'!$B$1:$L$24,9,FALSE),'BMP P Tracking Table'!$AB251*VLOOKUP('BMP P Tracking Table'!$R251,'Loading Rates'!$B$1:$L$24,10,FALSE)),'BMP P Tracking Table'!$AP251*VLOOKUP('BMP P Tracking Table'!$R251,'Loading Rates'!$B$1:$L$24,4,FALSE)+IF('BMP P Tracking Table'!$AQ251="By HSG",'BMP P Tracking Table'!$AR251*VLOOKUP('BMP P Tracking Table'!$R251,'Loading Rates'!$B$1:$L$24,6,FALSE)+'BMP P Tracking Table'!$AS251*VLOOKUP('BMP P Tracking Table'!$R251,'Loading Rates'!$B$1:$L$24,7,FALSE)+'BMP P Tracking Table'!$AT251*VLOOKUP('BMP P Tracking Table'!$R251,'Loading Rates'!$B$1:$L$24,8,FALSE)+'BMP P Tracking Table'!$AU251*VLOOKUP('BMP P Tracking Table'!$R251,'Loading Rates'!$B$1:$L$24,9,FALSE),'BMP P Tracking Table'!$AV251*VLOOKUP('BMP P Tracking Table'!$R251,'Loading Rates'!$B$1:$L$24,10,FALSE))),"")</f>
        <v/>
      </c>
      <c r="BA251" s="104" t="str">
        <f>IFERROR(IF('BMP P Tracking Table'!$AM251="Yes",MIN(2,IF('BMP P Tracking Table'!$AQ251="Total Pervious",(-(3630*'BMP P Tracking Table'!$AP251+20.691*'BMP P Tracking Table'!$AV251)+SQRT((3630*'BMP P Tracking Table'!$AP251+20.691*'BMP P Tracking Table'!$AV251)^2-(4*(996.798*'BMP P Tracking Table'!$AV251)*-'BMP P Tracking Table'!$AX251)))/(2*(996.798*'BMP P Tracking Table'!$AV251)),IF(SUM('BMP P Tracking Table'!$AR251:$AU251)=0,'BMP P Tracking Table'!$AV251/(-3630*'BMP P Tracking Table'!$AP251),(-(3630*'BMP P Tracking Table'!$AP251+20.691*'BMP P Tracking Table'!$AU251-216.711*'BMP P Tracking Table'!$AT251-83.853*'BMP P Tracking Table'!$AS251-42.834*'BMP P Tracking Table'!$AR251)+SQRT((3630*'BMP P Tracking Table'!$AP251+20.691*'BMP P Tracking Table'!$AU251-216.711*'BMP P Tracking Table'!$AT251-83.853*'BMP P Tracking Table'!$AS251-42.834*'BMP P Tracking Table'!$AR251)^2-(4*(149.919*'BMP P Tracking Table'!$AR251+236.676*'BMP P Tracking Table'!$AS251+726*'BMP P Tracking Table'!$AT251+996.798*'BMP P Tracking Table'!$AU251)*-'BMP P Tracking Table'!$AX251)))/(2*(149.919*'BMP P Tracking Table'!$AR251+236.676*'BMP P Tracking Table'!$AS251+726*'BMP P Tracking Table'!$AT251+996.798*'BMP P Tracking Table'!$AU251))))),MIN(2,IF('BMP P Tracking Table'!$AQ251="Total Pervious",(-(3630*'BMP P Tracking Table'!$V251+20.691*'BMP P Tracking Table'!$AB251)+SQRT((3630*'BMP P Tracking Table'!$V251+20.691*'BMP P Tracking Table'!$AB251)^2-(4*(996.798*'BMP P Tracking Table'!$AB251)*-'BMP P Tracking Table'!$AX251)))/(2*(996.798*'BMP P Tracking Table'!$AB251)),IF(SUM('BMP P Tracking Table'!$X251:$AA251)=0,'BMP P Tracking Table'!$AX251/(-3630*'BMP P Tracking Table'!$V251),(-(3630*'BMP P Tracking Table'!$V251+20.691*'BMP P Tracking Table'!$AA251-216.711*'BMP P Tracking Table'!$Z251-83.853*'BMP P Tracking Table'!$Y251-42.834*'BMP P Tracking Table'!$X251)+SQRT((3630*'BMP P Tracking Table'!$V251+20.691*'BMP P Tracking Table'!$AA251-216.711*'BMP P Tracking Table'!$Z251-83.853*'BMP P Tracking Table'!$Y251-42.834*'BMP P Tracking Table'!$X251)^2-(4*(149.919*'BMP P Tracking Table'!$X251+236.676*'BMP P Tracking Table'!$Y251+726*'BMP P Tracking Table'!$Z251+996.798*'BMP P Tracking Table'!$AA251)*-'BMP P Tracking Table'!$AX251)))/(2*(149.919*'BMP P Tracking Table'!$X251+236.676*'BMP P Tracking Table'!$Y251+726*'BMP P Tracking Table'!$Z251+996.798*'BMP P Tracking Table'!$AA251)))))),"")</f>
        <v/>
      </c>
      <c r="BB251" s="102" t="str">
        <f>IFERROR((VLOOKUP(CONCATENATE('BMP P Tracking Table'!$AW251," ",'BMP P Tracking Table'!$AY251),'Performance Curves'!$C$1:$L$46,_xlfn.SINGLE(MATCH('BMP P Tracking Table'!$BA251,'Performance Curves'!$D$1:$L$1,1))+2,FALSE)-VLOOKUP(CONCATENATE('BMP P Tracking Table'!$AW251," ",'BMP P Tracking Table'!$AY251),'Performance Curves'!$C$1:$L$46,_xlfn.SINGLE(MATCH('BMP P Tracking Table'!$BA251,'Performance Curves'!$D$1:$L$1,1))+1,FALSE)),"")</f>
        <v/>
      </c>
      <c r="BC251" s="102" t="str">
        <f>IFERROR(('BMP P Tracking Table'!$BA251-INDEX('Performance Curves'!$D$1:$L$1,1,MATCH('BMP P Tracking Table'!$BA251,'Performance Curves'!$D$1:$L$1,1)))/(INDEX('Performance Curves'!$D$1:$L$1,1,MATCH('BMP P Tracking Table'!$BA251,'Performance Curves'!$D$1:$L$1,1)+1)-INDEX('Performance Curves'!$D$1:$L$1,1,MATCH('BMP P Tracking Table'!$BA251,'Performance Curves'!$D$1:$L$1,1))),"")</f>
        <v/>
      </c>
      <c r="BD251" s="103" t="str" cm="1">
        <f t="array" ref="BD251">IFERROR(IF('BMP P Tracking Table'!$BA251=2,VLOOKUP(CONCATENATE('BMP P Tracking Table'!$AW251," ",'BMP P Tracking Table'!$AY251),'Performance Curves'!$C$1:$L$44,_xlfn.SINGLE(MATCH('BMP P Tracking Table'!$BA251,'Performance Curves'!$D$1:$L$1,1))+1,FALSE),'BMP P Tracking Table'!$BB251*'BMP P Tracking Table'!$BC251+VLOOKUP(CONCATENATE('BMP P Tracking Table'!$AW251," ",'BMP P Tracking Table'!$AY251),'Performance Curves'!$C$1:$L$44,_xlfn.SINGLE(MATCH('BMP P Tracking Table'!$BA251,'Performance Curves'!$D$1:$L$1,1))+1,FALSE)),"")</f>
        <v/>
      </c>
      <c r="BE251" s="104" t="str">
        <f>IFERROR('BMP P Tracking Table'!$BD251*'BMP P Tracking Table'!$AZ251,"")</f>
        <v/>
      </c>
      <c r="BF251" s="98"/>
      <c r="BG251" s="37">
        <f t="shared" si="36"/>
        <v>0</v>
      </c>
    </row>
    <row r="252" spans="2:59" s="36" customFormat="1">
      <c r="B252" s="65"/>
      <c r="C252" s="65"/>
      <c r="D252" s="65"/>
      <c r="E252" s="65"/>
      <c r="F252" s="94"/>
      <c r="G252" s="94"/>
      <c r="H252" s="65"/>
      <c r="I252" s="65"/>
      <c r="J252" s="65"/>
      <c r="K252" s="95"/>
      <c r="L252" s="65"/>
      <c r="M252" s="65"/>
      <c r="N252" s="65"/>
      <c r="O252" s="65"/>
      <c r="P252" s="65"/>
      <c r="Q252" s="65"/>
      <c r="R252" s="65" t="str">
        <f>IFERROR(VLOOKUP('BMP P Tracking Table'!$Q252,Dropdowns!$C$2:$E$15,3,FALSE),"")</f>
        <v/>
      </c>
      <c r="S252" s="65" t="str">
        <f>IFERROR(VLOOKUP('BMP P Tracking Table'!$R252,Dropdowns!$Q$3:$R$23,2,FALSE),"")</f>
        <v/>
      </c>
      <c r="T252" s="65"/>
      <c r="U252" s="65"/>
      <c r="V252" s="65"/>
      <c r="W252" s="65"/>
      <c r="X252" s="65"/>
      <c r="Y252" s="65"/>
      <c r="Z252" s="65"/>
      <c r="AA252" s="65"/>
      <c r="AB252" s="65"/>
      <c r="AC252" s="97"/>
      <c r="AD252" s="65"/>
      <c r="AE252" s="104" t="str">
        <f>IFERROR('BMP P Tracking Table'!$V252*VLOOKUP('BMP P Tracking Table'!$R252,'Loading Rates'!$B$1:$L$24,4,FALSE)+IF('BMP P Tracking Table'!$W252="By HSG",'BMP P Tracking Table'!$X252*VLOOKUP('BMP P Tracking Table'!$R252,'Loading Rates'!$B$1:$L$24,6,FALSE)+'BMP P Tracking Table'!$Y252*VLOOKUP('BMP P Tracking Table'!$R252,'Loading Rates'!$B$1:$L$24,7,FALSE)+'BMP P Tracking Table'!$Z252*VLOOKUP('BMP P Tracking Table'!$R252,'Loading Rates'!$B$1:$L$24,8,FALSE)+'BMP P Tracking Table'!$AA252*VLOOKUP('BMP P Tracking Table'!$R252,'Loading Rates'!$B$1:$L$24,9,FALSE),'BMP P Tracking Table'!$AB252*VLOOKUP('BMP P Tracking Table'!$R252,'Loading Rates'!$B$1:$L$24,10,FALSE)),"")</f>
        <v/>
      </c>
      <c r="AF252" s="104" t="str">
        <f>IFERROR(MIN(2,IF('BMP P Tracking Table'!$W252="Total Pervious",(-(3630*'BMP P Tracking Table'!$V252+20.691*'BMP P Tracking Table'!$AB252)+SQRT((3630*'BMP P Tracking Table'!$V252+20.691*'BMP P Tracking Table'!$AB252)^2-(4*(996.798*'BMP P Tracking Table'!$AB252)*-'BMP P Tracking Table'!$AC252)))/(2*(996.798*'BMP P Tracking Table'!$AB252)),IF(SUM('BMP P Tracking Table'!$X252:$AA252)=0,'BMP P Tracking Table'!$AC252/(-3630*'BMP P Tracking Table'!$V252),(-(3630*'BMP P Tracking Table'!$V252+20.691*'BMP P Tracking Table'!$AA252-216.711*'BMP P Tracking Table'!$Z252-83.853*'BMP P Tracking Table'!$Y252-42.834*'BMP P Tracking Table'!$X252)+SQRT((3630*'BMP P Tracking Table'!$V252+20.691*'BMP P Tracking Table'!$AA252-216.711*'BMP P Tracking Table'!$Z252-83.853*'BMP P Tracking Table'!$Y252-42.834*'BMP P Tracking Table'!$X252)^2-(4*(149.919*'BMP P Tracking Table'!$X252+236.676*'BMP P Tracking Table'!$Y252+726*'BMP P Tracking Table'!$Z252+996.798*'BMP P Tracking Table'!$AA252)*-'BMP P Tracking Table'!$AC252)))/(2*(149.919*'BMP P Tracking Table'!$X252+236.676*'BMP P Tracking Table'!$Y252+726*'BMP P Tracking Table'!$Z252+996.798*'BMP P Tracking Table'!$AA252))))),"")</f>
        <v/>
      </c>
      <c r="AG252" s="104" t="str">
        <f>IFERROR((VLOOKUP(CONCATENATE('BMP P Tracking Table'!$U252," ",'BMP P Tracking Table'!$AD252),'Performance Curves'!$C$1:$L$46,_xlfn.SINGLE(MATCH('BMP P Tracking Table'!$AF252,'Performance Curves'!$D$1:$L$1,1))+2,FALSE)-VLOOKUP(CONCATENATE('BMP P Tracking Table'!$U252," ",'BMP P Tracking Table'!$AD252),'Performance Curves'!$C$1:$L$46,_xlfn.SINGLE(MATCH('BMP P Tracking Table'!$AF252,'Performance Curves'!$D$1:$L$1,1))+1,FALSE)),"")</f>
        <v/>
      </c>
      <c r="AH252" s="104" t="str">
        <f>IFERROR(('BMP P Tracking Table'!$AF252-INDEX('Performance Curves'!$D$1:$L$1,1,MATCH('BMP P Tracking Table'!$AF252,'Performance Curves'!$D$1:$L$1,1)))/(INDEX('Performance Curves'!$D$1:$L$1,1,MATCH('BMP P Tracking Table'!$AF252,'Performance Curves'!$D$1:$L$1,1)+1)-INDEX('Performance Curves'!$D$1:$L$1,1,MATCH('BMP P Tracking Table'!$AF252,'Performance Curves'!$D$1:$L$1,1))),"")</f>
        <v/>
      </c>
      <c r="AI252" s="103" t="str">
        <f>IFERROR(IF('BMP P Tracking Table'!$AF252=2,VLOOKUP(CONCATENATE('BMP P Tracking Table'!$U252," ",'BMP P Tracking Table'!$AD252),'Performance Curves'!$C$1:$L$46,_xlfn.SINGLE(MATCH('BMP P Tracking Table'!$AF252,'Performance Curves'!$D$1:$L$1,1))+1,FALSE),'BMP P Tracking Table'!$AG252*'BMP P Tracking Table'!$AH252+VLOOKUP(CONCATENATE('BMP P Tracking Table'!$U252," ",'BMP P Tracking Table'!$AD252),'Performance Curves'!$C$1:$L$46,_xlfn.SINGLE(MATCH('BMP P Tracking Table'!$AF252,'Performance Curves'!$D$1:$L$1,1))+1,FALSE)),"")</f>
        <v/>
      </c>
      <c r="AJ252" s="104" t="str">
        <f>IFERROR('BMP P Tracking Table'!$AI252*'BMP P Tracking Table'!$AE252,"")</f>
        <v/>
      </c>
      <c r="AK252" s="65"/>
      <c r="AL252" s="98"/>
      <c r="AM252" s="98"/>
      <c r="AN252" s="64">
        <v>1</v>
      </c>
      <c r="AO252" s="102" t="str">
        <f t="shared" si="35"/>
        <v/>
      </c>
      <c r="AP252" s="98"/>
      <c r="AQ252" s="98"/>
      <c r="AR252" s="98"/>
      <c r="AS252" s="98"/>
      <c r="AT252" s="98"/>
      <c r="AU252" s="98"/>
      <c r="AV252" s="98"/>
      <c r="AW252" s="65"/>
      <c r="AX252" s="99"/>
      <c r="AY252" s="99"/>
      <c r="AZ252" s="104" t="str">
        <f>IF('BMP P Tracking Table'!$AL252="Yes",IF('BMP P Tracking Table'!$AM252="No",'BMP P Tracking Table'!$V252*VLOOKUP('BMP P Tracking Table'!$R252,'Loading Rates'!$B$1:$L$24,4,FALSE)+IF('BMP P Tracking Table'!$W252="By HSG",'BMP P Tracking Table'!$X252*VLOOKUP('BMP P Tracking Table'!$R252,'Loading Rates'!$B$1:$L$24,6,FALSE)+'BMP P Tracking Table'!$Y252*VLOOKUP('BMP P Tracking Table'!$R252,'Loading Rates'!$B$1:$L$24,7,FALSE)+'BMP P Tracking Table'!$Z252*VLOOKUP('BMP P Tracking Table'!$R252,'Loading Rates'!$B$1:$L$24,8,FALSE)+'BMP P Tracking Table'!$AA252*VLOOKUP('BMP P Tracking Table'!$R252,'Loading Rates'!$B$1:$L$24,9,FALSE),'BMP P Tracking Table'!$AB252*VLOOKUP('BMP P Tracking Table'!$R252,'Loading Rates'!$B$1:$L$24,10,FALSE)),'BMP P Tracking Table'!$AP252*VLOOKUP('BMP P Tracking Table'!$R252,'Loading Rates'!$B$1:$L$24,4,FALSE)+IF('BMP P Tracking Table'!$AQ252="By HSG",'BMP P Tracking Table'!$AR252*VLOOKUP('BMP P Tracking Table'!$R252,'Loading Rates'!$B$1:$L$24,6,FALSE)+'BMP P Tracking Table'!$AS252*VLOOKUP('BMP P Tracking Table'!$R252,'Loading Rates'!$B$1:$L$24,7,FALSE)+'BMP P Tracking Table'!$AT252*VLOOKUP('BMP P Tracking Table'!$R252,'Loading Rates'!$B$1:$L$24,8,FALSE)+'BMP P Tracking Table'!$AU252*VLOOKUP('BMP P Tracking Table'!$R252,'Loading Rates'!$B$1:$L$24,9,FALSE),'BMP P Tracking Table'!$AV252*VLOOKUP('BMP P Tracking Table'!$R252,'Loading Rates'!$B$1:$L$24,10,FALSE))),"")</f>
        <v/>
      </c>
      <c r="BA252" s="104" t="str">
        <f>IFERROR(IF('BMP P Tracking Table'!$AM252="Yes",MIN(2,IF('BMP P Tracking Table'!$AQ252="Total Pervious",(-(3630*'BMP P Tracking Table'!$AP252+20.691*'BMP P Tracking Table'!$AV252)+SQRT((3630*'BMP P Tracking Table'!$AP252+20.691*'BMP P Tracking Table'!$AV252)^2-(4*(996.798*'BMP P Tracking Table'!$AV252)*-'BMP P Tracking Table'!$AX252)))/(2*(996.798*'BMP P Tracking Table'!$AV252)),IF(SUM('BMP P Tracking Table'!$AR252:$AU252)=0,'BMP P Tracking Table'!$AV252/(-3630*'BMP P Tracking Table'!$AP252),(-(3630*'BMP P Tracking Table'!$AP252+20.691*'BMP P Tracking Table'!$AU252-216.711*'BMP P Tracking Table'!$AT252-83.853*'BMP P Tracking Table'!$AS252-42.834*'BMP P Tracking Table'!$AR252)+SQRT((3630*'BMP P Tracking Table'!$AP252+20.691*'BMP P Tracking Table'!$AU252-216.711*'BMP P Tracking Table'!$AT252-83.853*'BMP P Tracking Table'!$AS252-42.834*'BMP P Tracking Table'!$AR252)^2-(4*(149.919*'BMP P Tracking Table'!$AR252+236.676*'BMP P Tracking Table'!$AS252+726*'BMP P Tracking Table'!$AT252+996.798*'BMP P Tracking Table'!$AU252)*-'BMP P Tracking Table'!$AX252)))/(2*(149.919*'BMP P Tracking Table'!$AR252+236.676*'BMP P Tracking Table'!$AS252+726*'BMP P Tracking Table'!$AT252+996.798*'BMP P Tracking Table'!$AU252))))),MIN(2,IF('BMP P Tracking Table'!$AQ252="Total Pervious",(-(3630*'BMP P Tracking Table'!$V252+20.691*'BMP P Tracking Table'!$AB252)+SQRT((3630*'BMP P Tracking Table'!$V252+20.691*'BMP P Tracking Table'!$AB252)^2-(4*(996.798*'BMP P Tracking Table'!$AB252)*-'BMP P Tracking Table'!$AX252)))/(2*(996.798*'BMP P Tracking Table'!$AB252)),IF(SUM('BMP P Tracking Table'!$X252:$AA252)=0,'BMP P Tracking Table'!$AX252/(-3630*'BMP P Tracking Table'!$V252),(-(3630*'BMP P Tracking Table'!$V252+20.691*'BMP P Tracking Table'!$AA252-216.711*'BMP P Tracking Table'!$Z252-83.853*'BMP P Tracking Table'!$Y252-42.834*'BMP P Tracking Table'!$X252)+SQRT((3630*'BMP P Tracking Table'!$V252+20.691*'BMP P Tracking Table'!$AA252-216.711*'BMP P Tracking Table'!$Z252-83.853*'BMP P Tracking Table'!$Y252-42.834*'BMP P Tracking Table'!$X252)^2-(4*(149.919*'BMP P Tracking Table'!$X252+236.676*'BMP P Tracking Table'!$Y252+726*'BMP P Tracking Table'!$Z252+996.798*'BMP P Tracking Table'!$AA252)*-'BMP P Tracking Table'!$AX252)))/(2*(149.919*'BMP P Tracking Table'!$X252+236.676*'BMP P Tracking Table'!$Y252+726*'BMP P Tracking Table'!$Z252+996.798*'BMP P Tracking Table'!$AA252)))))),"")</f>
        <v/>
      </c>
      <c r="BB252" s="102" t="str">
        <f>IFERROR((VLOOKUP(CONCATENATE('BMP P Tracking Table'!$AW252," ",'BMP P Tracking Table'!$AY252),'Performance Curves'!$C$1:$L$46,_xlfn.SINGLE(MATCH('BMP P Tracking Table'!$BA252,'Performance Curves'!$D$1:$L$1,1))+2,FALSE)-VLOOKUP(CONCATENATE('BMP P Tracking Table'!$AW252," ",'BMP P Tracking Table'!$AY252),'Performance Curves'!$C$1:$L$46,_xlfn.SINGLE(MATCH('BMP P Tracking Table'!$BA252,'Performance Curves'!$D$1:$L$1,1))+1,FALSE)),"")</f>
        <v/>
      </c>
      <c r="BC252" s="102" t="str">
        <f>IFERROR(('BMP P Tracking Table'!$BA252-INDEX('Performance Curves'!$D$1:$L$1,1,MATCH('BMP P Tracking Table'!$BA252,'Performance Curves'!$D$1:$L$1,1)))/(INDEX('Performance Curves'!$D$1:$L$1,1,MATCH('BMP P Tracking Table'!$BA252,'Performance Curves'!$D$1:$L$1,1)+1)-INDEX('Performance Curves'!$D$1:$L$1,1,MATCH('BMP P Tracking Table'!$BA252,'Performance Curves'!$D$1:$L$1,1))),"")</f>
        <v/>
      </c>
      <c r="BD252" s="103" t="str" cm="1">
        <f t="array" ref="BD252">IFERROR(IF('BMP P Tracking Table'!$BA252=2,VLOOKUP(CONCATENATE('BMP P Tracking Table'!$AW252," ",'BMP P Tracking Table'!$AY252),'Performance Curves'!$C$1:$L$44,_xlfn.SINGLE(MATCH('BMP P Tracking Table'!$BA252,'Performance Curves'!$D$1:$L$1,1))+1,FALSE),'BMP P Tracking Table'!$BB252*'BMP P Tracking Table'!$BC252+VLOOKUP(CONCATENATE('BMP P Tracking Table'!$AW252," ",'BMP P Tracking Table'!$AY252),'Performance Curves'!$C$1:$L$44,_xlfn.SINGLE(MATCH('BMP P Tracking Table'!$BA252,'Performance Curves'!$D$1:$L$1,1))+1,FALSE)),"")</f>
        <v/>
      </c>
      <c r="BE252" s="104" t="str">
        <f>IFERROR('BMP P Tracking Table'!$BD252*'BMP P Tracking Table'!$AZ252,"")</f>
        <v/>
      </c>
      <c r="BF252" s="98"/>
      <c r="BG252" s="37">
        <f t="shared" si="36"/>
        <v>0</v>
      </c>
    </row>
    <row r="253" spans="2:59" s="36" customFormat="1">
      <c r="B253" s="65"/>
      <c r="C253" s="65"/>
      <c r="D253" s="65"/>
      <c r="E253" s="65"/>
      <c r="F253" s="94"/>
      <c r="G253" s="94"/>
      <c r="H253" s="65"/>
      <c r="I253" s="65"/>
      <c r="J253" s="65"/>
      <c r="K253" s="95"/>
      <c r="L253" s="65"/>
      <c r="M253" s="65"/>
      <c r="N253" s="65"/>
      <c r="O253" s="65"/>
      <c r="P253" s="65"/>
      <c r="Q253" s="65"/>
      <c r="R253" s="65" t="str">
        <f>IFERROR(VLOOKUP('BMP P Tracking Table'!$Q253,Dropdowns!$C$2:$E$15,3,FALSE),"")</f>
        <v/>
      </c>
      <c r="S253" s="65" t="str">
        <f>IFERROR(VLOOKUP('BMP P Tracking Table'!$R253,Dropdowns!$Q$3:$R$23,2,FALSE),"")</f>
        <v/>
      </c>
      <c r="T253" s="65"/>
      <c r="U253" s="65"/>
      <c r="V253" s="65"/>
      <c r="W253" s="65"/>
      <c r="X253" s="65"/>
      <c r="Y253" s="65"/>
      <c r="Z253" s="65"/>
      <c r="AA253" s="65"/>
      <c r="AB253" s="65"/>
      <c r="AC253" s="97"/>
      <c r="AD253" s="65"/>
      <c r="AE253" s="104" t="str">
        <f>IFERROR('BMP P Tracking Table'!$V253*VLOOKUP('BMP P Tracking Table'!$R253,'Loading Rates'!$B$1:$L$24,4,FALSE)+IF('BMP P Tracking Table'!$W253="By HSG",'BMP P Tracking Table'!$X253*VLOOKUP('BMP P Tracking Table'!$R253,'Loading Rates'!$B$1:$L$24,6,FALSE)+'BMP P Tracking Table'!$Y253*VLOOKUP('BMP P Tracking Table'!$R253,'Loading Rates'!$B$1:$L$24,7,FALSE)+'BMP P Tracking Table'!$Z253*VLOOKUP('BMP P Tracking Table'!$R253,'Loading Rates'!$B$1:$L$24,8,FALSE)+'BMP P Tracking Table'!$AA253*VLOOKUP('BMP P Tracking Table'!$R253,'Loading Rates'!$B$1:$L$24,9,FALSE),'BMP P Tracking Table'!$AB253*VLOOKUP('BMP P Tracking Table'!$R253,'Loading Rates'!$B$1:$L$24,10,FALSE)),"")</f>
        <v/>
      </c>
      <c r="AF253" s="104" t="str">
        <f>IFERROR(MIN(2,IF('BMP P Tracking Table'!$W253="Total Pervious",(-(3630*'BMP P Tracking Table'!$V253+20.691*'BMP P Tracking Table'!$AB253)+SQRT((3630*'BMP P Tracking Table'!$V253+20.691*'BMP P Tracking Table'!$AB253)^2-(4*(996.798*'BMP P Tracking Table'!$AB253)*-'BMP P Tracking Table'!$AC253)))/(2*(996.798*'BMP P Tracking Table'!$AB253)),IF(SUM('BMP P Tracking Table'!$X253:$AA253)=0,'BMP P Tracking Table'!$AC253/(-3630*'BMP P Tracking Table'!$V253),(-(3630*'BMP P Tracking Table'!$V253+20.691*'BMP P Tracking Table'!$AA253-216.711*'BMP P Tracking Table'!$Z253-83.853*'BMP P Tracking Table'!$Y253-42.834*'BMP P Tracking Table'!$X253)+SQRT((3630*'BMP P Tracking Table'!$V253+20.691*'BMP P Tracking Table'!$AA253-216.711*'BMP P Tracking Table'!$Z253-83.853*'BMP P Tracking Table'!$Y253-42.834*'BMP P Tracking Table'!$X253)^2-(4*(149.919*'BMP P Tracking Table'!$X253+236.676*'BMP P Tracking Table'!$Y253+726*'BMP P Tracking Table'!$Z253+996.798*'BMP P Tracking Table'!$AA253)*-'BMP P Tracking Table'!$AC253)))/(2*(149.919*'BMP P Tracking Table'!$X253+236.676*'BMP P Tracking Table'!$Y253+726*'BMP P Tracking Table'!$Z253+996.798*'BMP P Tracking Table'!$AA253))))),"")</f>
        <v/>
      </c>
      <c r="AG253" s="104" t="str">
        <f>IFERROR((VLOOKUP(CONCATENATE('BMP P Tracking Table'!$U253," ",'BMP P Tracking Table'!$AD253),'Performance Curves'!$C$1:$L$46,_xlfn.SINGLE(MATCH('BMP P Tracking Table'!$AF253,'Performance Curves'!$D$1:$L$1,1))+2,FALSE)-VLOOKUP(CONCATENATE('BMP P Tracking Table'!$U253," ",'BMP P Tracking Table'!$AD253),'Performance Curves'!$C$1:$L$46,_xlfn.SINGLE(MATCH('BMP P Tracking Table'!$AF253,'Performance Curves'!$D$1:$L$1,1))+1,FALSE)),"")</f>
        <v/>
      </c>
      <c r="AH253" s="104" t="str">
        <f>IFERROR(('BMP P Tracking Table'!$AF253-INDEX('Performance Curves'!$D$1:$L$1,1,MATCH('BMP P Tracking Table'!$AF253,'Performance Curves'!$D$1:$L$1,1)))/(INDEX('Performance Curves'!$D$1:$L$1,1,MATCH('BMP P Tracking Table'!$AF253,'Performance Curves'!$D$1:$L$1,1)+1)-INDEX('Performance Curves'!$D$1:$L$1,1,MATCH('BMP P Tracking Table'!$AF253,'Performance Curves'!$D$1:$L$1,1))),"")</f>
        <v/>
      </c>
      <c r="AI253" s="103" t="str">
        <f>IFERROR(IF('BMP P Tracking Table'!$AF253=2,VLOOKUP(CONCATENATE('BMP P Tracking Table'!$U253," ",'BMP P Tracking Table'!$AD253),'Performance Curves'!$C$1:$L$46,_xlfn.SINGLE(MATCH('BMP P Tracking Table'!$AF253,'Performance Curves'!$D$1:$L$1,1))+1,FALSE),'BMP P Tracking Table'!$AG253*'BMP P Tracking Table'!$AH253+VLOOKUP(CONCATENATE('BMP P Tracking Table'!$U253," ",'BMP P Tracking Table'!$AD253),'Performance Curves'!$C$1:$L$46,_xlfn.SINGLE(MATCH('BMP P Tracking Table'!$AF253,'Performance Curves'!$D$1:$L$1,1))+1,FALSE)),"")</f>
        <v/>
      </c>
      <c r="AJ253" s="104" t="str">
        <f>IFERROR('BMP P Tracking Table'!$AI253*'BMP P Tracking Table'!$AE253,"")</f>
        <v/>
      </c>
      <c r="AK253" s="65"/>
      <c r="AL253" s="98"/>
      <c r="AM253" s="98"/>
      <c r="AN253" s="64">
        <v>1</v>
      </c>
      <c r="AO253" s="102" t="str">
        <f t="shared" si="35"/>
        <v/>
      </c>
      <c r="AP253" s="98"/>
      <c r="AQ253" s="98"/>
      <c r="AR253" s="98"/>
      <c r="AS253" s="98"/>
      <c r="AT253" s="98"/>
      <c r="AU253" s="98"/>
      <c r="AV253" s="98"/>
      <c r="AW253" s="65"/>
      <c r="AX253" s="99"/>
      <c r="AY253" s="99"/>
      <c r="AZ253" s="104" t="str">
        <f>IF('BMP P Tracking Table'!$AL253="Yes",IF('BMP P Tracking Table'!$AM253="No",'BMP P Tracking Table'!$V253*VLOOKUP('BMP P Tracking Table'!$R253,'Loading Rates'!$B$1:$L$24,4,FALSE)+IF('BMP P Tracking Table'!$W253="By HSG",'BMP P Tracking Table'!$X253*VLOOKUP('BMP P Tracking Table'!$R253,'Loading Rates'!$B$1:$L$24,6,FALSE)+'BMP P Tracking Table'!$Y253*VLOOKUP('BMP P Tracking Table'!$R253,'Loading Rates'!$B$1:$L$24,7,FALSE)+'BMP P Tracking Table'!$Z253*VLOOKUP('BMP P Tracking Table'!$R253,'Loading Rates'!$B$1:$L$24,8,FALSE)+'BMP P Tracking Table'!$AA253*VLOOKUP('BMP P Tracking Table'!$R253,'Loading Rates'!$B$1:$L$24,9,FALSE),'BMP P Tracking Table'!$AB253*VLOOKUP('BMP P Tracking Table'!$R253,'Loading Rates'!$B$1:$L$24,10,FALSE)),'BMP P Tracking Table'!$AP253*VLOOKUP('BMP P Tracking Table'!$R253,'Loading Rates'!$B$1:$L$24,4,FALSE)+IF('BMP P Tracking Table'!$AQ253="By HSG",'BMP P Tracking Table'!$AR253*VLOOKUP('BMP P Tracking Table'!$R253,'Loading Rates'!$B$1:$L$24,6,FALSE)+'BMP P Tracking Table'!$AS253*VLOOKUP('BMP P Tracking Table'!$R253,'Loading Rates'!$B$1:$L$24,7,FALSE)+'BMP P Tracking Table'!$AT253*VLOOKUP('BMP P Tracking Table'!$R253,'Loading Rates'!$B$1:$L$24,8,FALSE)+'BMP P Tracking Table'!$AU253*VLOOKUP('BMP P Tracking Table'!$R253,'Loading Rates'!$B$1:$L$24,9,FALSE),'BMP P Tracking Table'!$AV253*VLOOKUP('BMP P Tracking Table'!$R253,'Loading Rates'!$B$1:$L$24,10,FALSE))),"")</f>
        <v/>
      </c>
      <c r="BA253" s="104" t="str">
        <f>IFERROR(IF('BMP P Tracking Table'!$AM253="Yes",MIN(2,IF('BMP P Tracking Table'!$AQ253="Total Pervious",(-(3630*'BMP P Tracking Table'!$AP253+20.691*'BMP P Tracking Table'!$AV253)+SQRT((3630*'BMP P Tracking Table'!$AP253+20.691*'BMP P Tracking Table'!$AV253)^2-(4*(996.798*'BMP P Tracking Table'!$AV253)*-'BMP P Tracking Table'!$AX253)))/(2*(996.798*'BMP P Tracking Table'!$AV253)),IF(SUM('BMP P Tracking Table'!$AR253:$AU253)=0,'BMP P Tracking Table'!$AV253/(-3630*'BMP P Tracking Table'!$AP253),(-(3630*'BMP P Tracking Table'!$AP253+20.691*'BMP P Tracking Table'!$AU253-216.711*'BMP P Tracking Table'!$AT253-83.853*'BMP P Tracking Table'!$AS253-42.834*'BMP P Tracking Table'!$AR253)+SQRT((3630*'BMP P Tracking Table'!$AP253+20.691*'BMP P Tracking Table'!$AU253-216.711*'BMP P Tracking Table'!$AT253-83.853*'BMP P Tracking Table'!$AS253-42.834*'BMP P Tracking Table'!$AR253)^2-(4*(149.919*'BMP P Tracking Table'!$AR253+236.676*'BMP P Tracking Table'!$AS253+726*'BMP P Tracking Table'!$AT253+996.798*'BMP P Tracking Table'!$AU253)*-'BMP P Tracking Table'!$AX253)))/(2*(149.919*'BMP P Tracking Table'!$AR253+236.676*'BMP P Tracking Table'!$AS253+726*'BMP P Tracking Table'!$AT253+996.798*'BMP P Tracking Table'!$AU253))))),MIN(2,IF('BMP P Tracking Table'!$AQ253="Total Pervious",(-(3630*'BMP P Tracking Table'!$V253+20.691*'BMP P Tracking Table'!$AB253)+SQRT((3630*'BMP P Tracking Table'!$V253+20.691*'BMP P Tracking Table'!$AB253)^2-(4*(996.798*'BMP P Tracking Table'!$AB253)*-'BMP P Tracking Table'!$AX253)))/(2*(996.798*'BMP P Tracking Table'!$AB253)),IF(SUM('BMP P Tracking Table'!$X253:$AA253)=0,'BMP P Tracking Table'!$AX253/(-3630*'BMP P Tracking Table'!$V253),(-(3630*'BMP P Tracking Table'!$V253+20.691*'BMP P Tracking Table'!$AA253-216.711*'BMP P Tracking Table'!$Z253-83.853*'BMP P Tracking Table'!$Y253-42.834*'BMP P Tracking Table'!$X253)+SQRT((3630*'BMP P Tracking Table'!$V253+20.691*'BMP P Tracking Table'!$AA253-216.711*'BMP P Tracking Table'!$Z253-83.853*'BMP P Tracking Table'!$Y253-42.834*'BMP P Tracking Table'!$X253)^2-(4*(149.919*'BMP P Tracking Table'!$X253+236.676*'BMP P Tracking Table'!$Y253+726*'BMP P Tracking Table'!$Z253+996.798*'BMP P Tracking Table'!$AA253)*-'BMP P Tracking Table'!$AX253)))/(2*(149.919*'BMP P Tracking Table'!$X253+236.676*'BMP P Tracking Table'!$Y253+726*'BMP P Tracking Table'!$Z253+996.798*'BMP P Tracking Table'!$AA253)))))),"")</f>
        <v/>
      </c>
      <c r="BB253" s="102" t="str">
        <f>IFERROR((VLOOKUP(CONCATENATE('BMP P Tracking Table'!$AW253," ",'BMP P Tracking Table'!$AY253),'Performance Curves'!$C$1:$L$46,_xlfn.SINGLE(MATCH('BMP P Tracking Table'!$BA253,'Performance Curves'!$D$1:$L$1,1))+2,FALSE)-VLOOKUP(CONCATENATE('BMP P Tracking Table'!$AW253," ",'BMP P Tracking Table'!$AY253),'Performance Curves'!$C$1:$L$46,_xlfn.SINGLE(MATCH('BMP P Tracking Table'!$BA253,'Performance Curves'!$D$1:$L$1,1))+1,FALSE)),"")</f>
        <v/>
      </c>
      <c r="BC253" s="102" t="str">
        <f>IFERROR(('BMP P Tracking Table'!$BA253-INDEX('Performance Curves'!$D$1:$L$1,1,MATCH('BMP P Tracking Table'!$BA253,'Performance Curves'!$D$1:$L$1,1)))/(INDEX('Performance Curves'!$D$1:$L$1,1,MATCH('BMP P Tracking Table'!$BA253,'Performance Curves'!$D$1:$L$1,1)+1)-INDEX('Performance Curves'!$D$1:$L$1,1,MATCH('BMP P Tracking Table'!$BA253,'Performance Curves'!$D$1:$L$1,1))),"")</f>
        <v/>
      </c>
      <c r="BD253" s="103" t="str" cm="1">
        <f t="array" ref="BD253">IFERROR(IF('BMP P Tracking Table'!$BA253=2,VLOOKUP(CONCATENATE('BMP P Tracking Table'!$AW253," ",'BMP P Tracking Table'!$AY253),'Performance Curves'!$C$1:$L$44,_xlfn.SINGLE(MATCH('BMP P Tracking Table'!$BA253,'Performance Curves'!$D$1:$L$1,1))+1,FALSE),'BMP P Tracking Table'!$BB253*'BMP P Tracking Table'!$BC253+VLOOKUP(CONCATENATE('BMP P Tracking Table'!$AW253," ",'BMP P Tracking Table'!$AY253),'Performance Curves'!$C$1:$L$44,_xlfn.SINGLE(MATCH('BMP P Tracking Table'!$BA253,'Performance Curves'!$D$1:$L$1,1))+1,FALSE)),"")</f>
        <v/>
      </c>
      <c r="BE253" s="104" t="str">
        <f>IFERROR('BMP P Tracking Table'!$BD253*'BMP P Tracking Table'!$AZ253,"")</f>
        <v/>
      </c>
      <c r="BF253" s="98"/>
      <c r="BG253" s="37">
        <f t="shared" si="36"/>
        <v>0</v>
      </c>
    </row>
    <row r="254" spans="2:59" s="36" customFormat="1">
      <c r="B254" s="65"/>
      <c r="C254" s="65"/>
      <c r="D254" s="65"/>
      <c r="E254" s="65"/>
      <c r="F254" s="94"/>
      <c r="G254" s="94"/>
      <c r="H254" s="65"/>
      <c r="I254" s="65"/>
      <c r="J254" s="65"/>
      <c r="K254" s="95"/>
      <c r="L254" s="65"/>
      <c r="M254" s="65"/>
      <c r="N254" s="65"/>
      <c r="O254" s="65"/>
      <c r="P254" s="65"/>
      <c r="Q254" s="65"/>
      <c r="R254" s="65" t="str">
        <f>IFERROR(VLOOKUP('BMP P Tracking Table'!$Q254,Dropdowns!$C$2:$E$15,3,FALSE),"")</f>
        <v/>
      </c>
      <c r="S254" s="65" t="str">
        <f>IFERROR(VLOOKUP('BMP P Tracking Table'!$R254,Dropdowns!$Q$3:$R$23,2,FALSE),"")</f>
        <v/>
      </c>
      <c r="T254" s="65"/>
      <c r="U254" s="65"/>
      <c r="V254" s="65"/>
      <c r="W254" s="65"/>
      <c r="X254" s="65"/>
      <c r="Y254" s="65"/>
      <c r="Z254" s="65"/>
      <c r="AA254" s="65"/>
      <c r="AB254" s="65"/>
      <c r="AC254" s="97"/>
      <c r="AD254" s="65"/>
      <c r="AE254" s="104" t="str">
        <f>IFERROR('BMP P Tracking Table'!$V254*VLOOKUP('BMP P Tracking Table'!$R254,'Loading Rates'!$B$1:$L$24,4,FALSE)+IF('BMP P Tracking Table'!$W254="By HSG",'BMP P Tracking Table'!$X254*VLOOKUP('BMP P Tracking Table'!$R254,'Loading Rates'!$B$1:$L$24,6,FALSE)+'BMP P Tracking Table'!$Y254*VLOOKUP('BMP P Tracking Table'!$R254,'Loading Rates'!$B$1:$L$24,7,FALSE)+'BMP P Tracking Table'!$Z254*VLOOKUP('BMP P Tracking Table'!$R254,'Loading Rates'!$B$1:$L$24,8,FALSE)+'BMP P Tracking Table'!$AA254*VLOOKUP('BMP P Tracking Table'!$R254,'Loading Rates'!$B$1:$L$24,9,FALSE),'BMP P Tracking Table'!$AB254*VLOOKUP('BMP P Tracking Table'!$R254,'Loading Rates'!$B$1:$L$24,10,FALSE)),"")</f>
        <v/>
      </c>
      <c r="AF254" s="104" t="str">
        <f>IFERROR(MIN(2,IF('BMP P Tracking Table'!$W254="Total Pervious",(-(3630*'BMP P Tracking Table'!$V254+20.691*'BMP P Tracking Table'!$AB254)+SQRT((3630*'BMP P Tracking Table'!$V254+20.691*'BMP P Tracking Table'!$AB254)^2-(4*(996.798*'BMP P Tracking Table'!$AB254)*-'BMP P Tracking Table'!$AC254)))/(2*(996.798*'BMP P Tracking Table'!$AB254)),IF(SUM('BMP P Tracking Table'!$X254:$AA254)=0,'BMP P Tracking Table'!$AC254/(-3630*'BMP P Tracking Table'!$V254),(-(3630*'BMP P Tracking Table'!$V254+20.691*'BMP P Tracking Table'!$AA254-216.711*'BMP P Tracking Table'!$Z254-83.853*'BMP P Tracking Table'!$Y254-42.834*'BMP P Tracking Table'!$X254)+SQRT((3630*'BMP P Tracking Table'!$V254+20.691*'BMP P Tracking Table'!$AA254-216.711*'BMP P Tracking Table'!$Z254-83.853*'BMP P Tracking Table'!$Y254-42.834*'BMP P Tracking Table'!$X254)^2-(4*(149.919*'BMP P Tracking Table'!$X254+236.676*'BMP P Tracking Table'!$Y254+726*'BMP P Tracking Table'!$Z254+996.798*'BMP P Tracking Table'!$AA254)*-'BMP P Tracking Table'!$AC254)))/(2*(149.919*'BMP P Tracking Table'!$X254+236.676*'BMP P Tracking Table'!$Y254+726*'BMP P Tracking Table'!$Z254+996.798*'BMP P Tracking Table'!$AA254))))),"")</f>
        <v/>
      </c>
      <c r="AG254" s="104" t="str">
        <f>IFERROR((VLOOKUP(CONCATENATE('BMP P Tracking Table'!$U254," ",'BMP P Tracking Table'!$AD254),'Performance Curves'!$C$1:$L$46,_xlfn.SINGLE(MATCH('BMP P Tracking Table'!$AF254,'Performance Curves'!$D$1:$L$1,1))+2,FALSE)-VLOOKUP(CONCATENATE('BMP P Tracking Table'!$U254," ",'BMP P Tracking Table'!$AD254),'Performance Curves'!$C$1:$L$46,_xlfn.SINGLE(MATCH('BMP P Tracking Table'!$AF254,'Performance Curves'!$D$1:$L$1,1))+1,FALSE)),"")</f>
        <v/>
      </c>
      <c r="AH254" s="104" t="str">
        <f>IFERROR(('BMP P Tracking Table'!$AF254-INDEX('Performance Curves'!$D$1:$L$1,1,MATCH('BMP P Tracking Table'!$AF254,'Performance Curves'!$D$1:$L$1,1)))/(INDEX('Performance Curves'!$D$1:$L$1,1,MATCH('BMP P Tracking Table'!$AF254,'Performance Curves'!$D$1:$L$1,1)+1)-INDEX('Performance Curves'!$D$1:$L$1,1,MATCH('BMP P Tracking Table'!$AF254,'Performance Curves'!$D$1:$L$1,1))),"")</f>
        <v/>
      </c>
      <c r="AI254" s="103" t="str">
        <f>IFERROR(IF('BMP P Tracking Table'!$AF254=2,VLOOKUP(CONCATENATE('BMP P Tracking Table'!$U254," ",'BMP P Tracking Table'!$AD254),'Performance Curves'!$C$1:$L$46,_xlfn.SINGLE(MATCH('BMP P Tracking Table'!$AF254,'Performance Curves'!$D$1:$L$1,1))+1,FALSE),'BMP P Tracking Table'!$AG254*'BMP P Tracking Table'!$AH254+VLOOKUP(CONCATENATE('BMP P Tracking Table'!$U254," ",'BMP P Tracking Table'!$AD254),'Performance Curves'!$C$1:$L$46,_xlfn.SINGLE(MATCH('BMP P Tracking Table'!$AF254,'Performance Curves'!$D$1:$L$1,1))+1,FALSE)),"")</f>
        <v/>
      </c>
      <c r="AJ254" s="104" t="str">
        <f>IFERROR('BMP P Tracking Table'!$AI254*'BMP P Tracking Table'!$AE254,"")</f>
        <v/>
      </c>
      <c r="AK254" s="65"/>
      <c r="AL254" s="98"/>
      <c r="AM254" s="98"/>
      <c r="AN254" s="64">
        <v>1</v>
      </c>
      <c r="AO254" s="102" t="str">
        <f t="shared" si="35"/>
        <v/>
      </c>
      <c r="AP254" s="98"/>
      <c r="AQ254" s="98"/>
      <c r="AR254" s="98"/>
      <c r="AS254" s="98"/>
      <c r="AT254" s="98"/>
      <c r="AU254" s="98"/>
      <c r="AV254" s="98"/>
      <c r="AW254" s="65"/>
      <c r="AX254" s="99"/>
      <c r="AY254" s="99"/>
      <c r="AZ254" s="104" t="str">
        <f>IF('BMP P Tracking Table'!$AL254="Yes",IF('BMP P Tracking Table'!$AM254="No",'BMP P Tracking Table'!$V254*VLOOKUP('BMP P Tracking Table'!$R254,'Loading Rates'!$B$1:$L$24,4,FALSE)+IF('BMP P Tracking Table'!$W254="By HSG",'BMP P Tracking Table'!$X254*VLOOKUP('BMP P Tracking Table'!$R254,'Loading Rates'!$B$1:$L$24,6,FALSE)+'BMP P Tracking Table'!$Y254*VLOOKUP('BMP P Tracking Table'!$R254,'Loading Rates'!$B$1:$L$24,7,FALSE)+'BMP P Tracking Table'!$Z254*VLOOKUP('BMP P Tracking Table'!$R254,'Loading Rates'!$B$1:$L$24,8,FALSE)+'BMP P Tracking Table'!$AA254*VLOOKUP('BMP P Tracking Table'!$R254,'Loading Rates'!$B$1:$L$24,9,FALSE),'BMP P Tracking Table'!$AB254*VLOOKUP('BMP P Tracking Table'!$R254,'Loading Rates'!$B$1:$L$24,10,FALSE)),'BMP P Tracking Table'!$AP254*VLOOKUP('BMP P Tracking Table'!$R254,'Loading Rates'!$B$1:$L$24,4,FALSE)+IF('BMP P Tracking Table'!$AQ254="By HSG",'BMP P Tracking Table'!$AR254*VLOOKUP('BMP P Tracking Table'!$R254,'Loading Rates'!$B$1:$L$24,6,FALSE)+'BMP P Tracking Table'!$AS254*VLOOKUP('BMP P Tracking Table'!$R254,'Loading Rates'!$B$1:$L$24,7,FALSE)+'BMP P Tracking Table'!$AT254*VLOOKUP('BMP P Tracking Table'!$R254,'Loading Rates'!$B$1:$L$24,8,FALSE)+'BMP P Tracking Table'!$AU254*VLOOKUP('BMP P Tracking Table'!$R254,'Loading Rates'!$B$1:$L$24,9,FALSE),'BMP P Tracking Table'!$AV254*VLOOKUP('BMP P Tracking Table'!$R254,'Loading Rates'!$B$1:$L$24,10,FALSE))),"")</f>
        <v/>
      </c>
      <c r="BA254" s="104" t="str">
        <f>IFERROR(IF('BMP P Tracking Table'!$AM254="Yes",MIN(2,IF('BMP P Tracking Table'!$AQ254="Total Pervious",(-(3630*'BMP P Tracking Table'!$AP254+20.691*'BMP P Tracking Table'!$AV254)+SQRT((3630*'BMP P Tracking Table'!$AP254+20.691*'BMP P Tracking Table'!$AV254)^2-(4*(996.798*'BMP P Tracking Table'!$AV254)*-'BMP P Tracking Table'!$AX254)))/(2*(996.798*'BMP P Tracking Table'!$AV254)),IF(SUM('BMP P Tracking Table'!$AR254:$AU254)=0,'BMP P Tracking Table'!$AV254/(-3630*'BMP P Tracking Table'!$AP254),(-(3630*'BMP P Tracking Table'!$AP254+20.691*'BMP P Tracking Table'!$AU254-216.711*'BMP P Tracking Table'!$AT254-83.853*'BMP P Tracking Table'!$AS254-42.834*'BMP P Tracking Table'!$AR254)+SQRT((3630*'BMP P Tracking Table'!$AP254+20.691*'BMP P Tracking Table'!$AU254-216.711*'BMP P Tracking Table'!$AT254-83.853*'BMP P Tracking Table'!$AS254-42.834*'BMP P Tracking Table'!$AR254)^2-(4*(149.919*'BMP P Tracking Table'!$AR254+236.676*'BMP P Tracking Table'!$AS254+726*'BMP P Tracking Table'!$AT254+996.798*'BMP P Tracking Table'!$AU254)*-'BMP P Tracking Table'!$AX254)))/(2*(149.919*'BMP P Tracking Table'!$AR254+236.676*'BMP P Tracking Table'!$AS254+726*'BMP P Tracking Table'!$AT254+996.798*'BMP P Tracking Table'!$AU254))))),MIN(2,IF('BMP P Tracking Table'!$AQ254="Total Pervious",(-(3630*'BMP P Tracking Table'!$V254+20.691*'BMP P Tracking Table'!$AB254)+SQRT((3630*'BMP P Tracking Table'!$V254+20.691*'BMP P Tracking Table'!$AB254)^2-(4*(996.798*'BMP P Tracking Table'!$AB254)*-'BMP P Tracking Table'!$AX254)))/(2*(996.798*'BMP P Tracking Table'!$AB254)),IF(SUM('BMP P Tracking Table'!$X254:$AA254)=0,'BMP P Tracking Table'!$AX254/(-3630*'BMP P Tracking Table'!$V254),(-(3630*'BMP P Tracking Table'!$V254+20.691*'BMP P Tracking Table'!$AA254-216.711*'BMP P Tracking Table'!$Z254-83.853*'BMP P Tracking Table'!$Y254-42.834*'BMP P Tracking Table'!$X254)+SQRT((3630*'BMP P Tracking Table'!$V254+20.691*'BMP P Tracking Table'!$AA254-216.711*'BMP P Tracking Table'!$Z254-83.853*'BMP P Tracking Table'!$Y254-42.834*'BMP P Tracking Table'!$X254)^2-(4*(149.919*'BMP P Tracking Table'!$X254+236.676*'BMP P Tracking Table'!$Y254+726*'BMP P Tracking Table'!$Z254+996.798*'BMP P Tracking Table'!$AA254)*-'BMP P Tracking Table'!$AX254)))/(2*(149.919*'BMP P Tracking Table'!$X254+236.676*'BMP P Tracking Table'!$Y254+726*'BMP P Tracking Table'!$Z254+996.798*'BMP P Tracking Table'!$AA254)))))),"")</f>
        <v/>
      </c>
      <c r="BB254" s="102" t="str">
        <f>IFERROR((VLOOKUP(CONCATENATE('BMP P Tracking Table'!$AW254," ",'BMP P Tracking Table'!$AY254),'Performance Curves'!$C$1:$L$46,_xlfn.SINGLE(MATCH('BMP P Tracking Table'!$BA254,'Performance Curves'!$D$1:$L$1,1))+2,FALSE)-VLOOKUP(CONCATENATE('BMP P Tracking Table'!$AW254," ",'BMP P Tracking Table'!$AY254),'Performance Curves'!$C$1:$L$46,_xlfn.SINGLE(MATCH('BMP P Tracking Table'!$BA254,'Performance Curves'!$D$1:$L$1,1))+1,FALSE)),"")</f>
        <v/>
      </c>
      <c r="BC254" s="102" t="str">
        <f>IFERROR(('BMP P Tracking Table'!$BA254-INDEX('Performance Curves'!$D$1:$L$1,1,MATCH('BMP P Tracking Table'!$BA254,'Performance Curves'!$D$1:$L$1,1)))/(INDEX('Performance Curves'!$D$1:$L$1,1,MATCH('BMP P Tracking Table'!$BA254,'Performance Curves'!$D$1:$L$1,1)+1)-INDEX('Performance Curves'!$D$1:$L$1,1,MATCH('BMP P Tracking Table'!$BA254,'Performance Curves'!$D$1:$L$1,1))),"")</f>
        <v/>
      </c>
      <c r="BD254" s="103" t="str" cm="1">
        <f t="array" ref="BD254">IFERROR(IF('BMP P Tracking Table'!$BA254=2,VLOOKUP(CONCATENATE('BMP P Tracking Table'!$AW254," ",'BMP P Tracking Table'!$AY254),'Performance Curves'!$C$1:$L$44,_xlfn.SINGLE(MATCH('BMP P Tracking Table'!$BA254,'Performance Curves'!$D$1:$L$1,1))+1,FALSE),'BMP P Tracking Table'!$BB254*'BMP P Tracking Table'!$BC254+VLOOKUP(CONCATENATE('BMP P Tracking Table'!$AW254," ",'BMP P Tracking Table'!$AY254),'Performance Curves'!$C$1:$L$44,_xlfn.SINGLE(MATCH('BMP P Tracking Table'!$BA254,'Performance Curves'!$D$1:$L$1,1))+1,FALSE)),"")</f>
        <v/>
      </c>
      <c r="BE254" s="104" t="str">
        <f>IFERROR('BMP P Tracking Table'!$BD254*'BMP P Tracking Table'!$AZ254,"")</f>
        <v/>
      </c>
      <c r="BF254" s="98"/>
      <c r="BG254" s="37">
        <f t="shared" si="36"/>
        <v>0</v>
      </c>
    </row>
    <row r="255" spans="2:59" s="36" customFormat="1">
      <c r="B255" s="65"/>
      <c r="C255" s="65"/>
      <c r="D255" s="65"/>
      <c r="E255" s="65"/>
      <c r="F255" s="94"/>
      <c r="G255" s="94"/>
      <c r="H255" s="65"/>
      <c r="I255" s="65"/>
      <c r="J255" s="65"/>
      <c r="K255" s="95"/>
      <c r="L255" s="65"/>
      <c r="M255" s="65"/>
      <c r="N255" s="65"/>
      <c r="O255" s="65"/>
      <c r="P255" s="65"/>
      <c r="Q255" s="65"/>
      <c r="R255" s="65" t="str">
        <f>IFERROR(VLOOKUP('BMP P Tracking Table'!$Q255,Dropdowns!$C$2:$E$15,3,FALSE),"")</f>
        <v/>
      </c>
      <c r="S255" s="65" t="str">
        <f>IFERROR(VLOOKUP('BMP P Tracking Table'!$R255,Dropdowns!$Q$3:$R$23,2,FALSE),"")</f>
        <v/>
      </c>
      <c r="T255" s="65"/>
      <c r="U255" s="65"/>
      <c r="V255" s="65"/>
      <c r="W255" s="65"/>
      <c r="X255" s="65"/>
      <c r="Y255" s="65"/>
      <c r="Z255" s="65"/>
      <c r="AA255" s="65"/>
      <c r="AB255" s="65"/>
      <c r="AC255" s="97"/>
      <c r="AD255" s="65"/>
      <c r="AE255" s="104" t="str">
        <f>IFERROR('BMP P Tracking Table'!$V255*VLOOKUP('BMP P Tracking Table'!$R255,'Loading Rates'!$B$1:$L$24,4,FALSE)+IF('BMP P Tracking Table'!$W255="By HSG",'BMP P Tracking Table'!$X255*VLOOKUP('BMP P Tracking Table'!$R255,'Loading Rates'!$B$1:$L$24,6,FALSE)+'BMP P Tracking Table'!$Y255*VLOOKUP('BMP P Tracking Table'!$R255,'Loading Rates'!$B$1:$L$24,7,FALSE)+'BMP P Tracking Table'!$Z255*VLOOKUP('BMP P Tracking Table'!$R255,'Loading Rates'!$B$1:$L$24,8,FALSE)+'BMP P Tracking Table'!$AA255*VLOOKUP('BMP P Tracking Table'!$R255,'Loading Rates'!$B$1:$L$24,9,FALSE),'BMP P Tracking Table'!$AB255*VLOOKUP('BMP P Tracking Table'!$R255,'Loading Rates'!$B$1:$L$24,10,FALSE)),"")</f>
        <v/>
      </c>
      <c r="AF255" s="104" t="str">
        <f>IFERROR(MIN(2,IF('BMP P Tracking Table'!$W255="Total Pervious",(-(3630*'BMP P Tracking Table'!$V255+20.691*'BMP P Tracking Table'!$AB255)+SQRT((3630*'BMP P Tracking Table'!$V255+20.691*'BMP P Tracking Table'!$AB255)^2-(4*(996.798*'BMP P Tracking Table'!$AB255)*-'BMP P Tracking Table'!$AC255)))/(2*(996.798*'BMP P Tracking Table'!$AB255)),IF(SUM('BMP P Tracking Table'!$X255:$AA255)=0,'BMP P Tracking Table'!$AC255/(-3630*'BMP P Tracking Table'!$V255),(-(3630*'BMP P Tracking Table'!$V255+20.691*'BMP P Tracking Table'!$AA255-216.711*'BMP P Tracking Table'!$Z255-83.853*'BMP P Tracking Table'!$Y255-42.834*'BMP P Tracking Table'!$X255)+SQRT((3630*'BMP P Tracking Table'!$V255+20.691*'BMP P Tracking Table'!$AA255-216.711*'BMP P Tracking Table'!$Z255-83.853*'BMP P Tracking Table'!$Y255-42.834*'BMP P Tracking Table'!$X255)^2-(4*(149.919*'BMP P Tracking Table'!$X255+236.676*'BMP P Tracking Table'!$Y255+726*'BMP P Tracking Table'!$Z255+996.798*'BMP P Tracking Table'!$AA255)*-'BMP P Tracking Table'!$AC255)))/(2*(149.919*'BMP P Tracking Table'!$X255+236.676*'BMP P Tracking Table'!$Y255+726*'BMP P Tracking Table'!$Z255+996.798*'BMP P Tracking Table'!$AA255))))),"")</f>
        <v/>
      </c>
      <c r="AG255" s="104" t="str">
        <f>IFERROR((VLOOKUP(CONCATENATE('BMP P Tracking Table'!$U255," ",'BMP P Tracking Table'!$AD255),'Performance Curves'!$C$1:$L$46,_xlfn.SINGLE(MATCH('BMP P Tracking Table'!$AF255,'Performance Curves'!$D$1:$L$1,1))+2,FALSE)-VLOOKUP(CONCATENATE('BMP P Tracking Table'!$U255," ",'BMP P Tracking Table'!$AD255),'Performance Curves'!$C$1:$L$46,_xlfn.SINGLE(MATCH('BMP P Tracking Table'!$AF255,'Performance Curves'!$D$1:$L$1,1))+1,FALSE)),"")</f>
        <v/>
      </c>
      <c r="AH255" s="104" t="str">
        <f>IFERROR(('BMP P Tracking Table'!$AF255-INDEX('Performance Curves'!$D$1:$L$1,1,MATCH('BMP P Tracking Table'!$AF255,'Performance Curves'!$D$1:$L$1,1)))/(INDEX('Performance Curves'!$D$1:$L$1,1,MATCH('BMP P Tracking Table'!$AF255,'Performance Curves'!$D$1:$L$1,1)+1)-INDEX('Performance Curves'!$D$1:$L$1,1,MATCH('BMP P Tracking Table'!$AF255,'Performance Curves'!$D$1:$L$1,1))),"")</f>
        <v/>
      </c>
      <c r="AI255" s="103" t="str">
        <f>IFERROR(IF('BMP P Tracking Table'!$AF255=2,VLOOKUP(CONCATENATE('BMP P Tracking Table'!$U255," ",'BMP P Tracking Table'!$AD255),'Performance Curves'!$C$1:$L$46,_xlfn.SINGLE(MATCH('BMP P Tracking Table'!$AF255,'Performance Curves'!$D$1:$L$1,1))+1,FALSE),'BMP P Tracking Table'!$AG255*'BMP P Tracking Table'!$AH255+VLOOKUP(CONCATENATE('BMP P Tracking Table'!$U255," ",'BMP P Tracking Table'!$AD255),'Performance Curves'!$C$1:$L$46,_xlfn.SINGLE(MATCH('BMP P Tracking Table'!$AF255,'Performance Curves'!$D$1:$L$1,1))+1,FALSE)),"")</f>
        <v/>
      </c>
      <c r="AJ255" s="104" t="str">
        <f>IFERROR('BMP P Tracking Table'!$AI255*'BMP P Tracking Table'!$AE255,"")</f>
        <v/>
      </c>
      <c r="AK255" s="65"/>
      <c r="AL255" s="98"/>
      <c r="AM255" s="98"/>
      <c r="AN255" s="64">
        <v>1</v>
      </c>
      <c r="AO255" s="102" t="str">
        <f t="shared" si="35"/>
        <v/>
      </c>
      <c r="AP255" s="98"/>
      <c r="AQ255" s="98"/>
      <c r="AR255" s="98"/>
      <c r="AS255" s="98"/>
      <c r="AT255" s="98"/>
      <c r="AU255" s="98"/>
      <c r="AV255" s="98"/>
      <c r="AW255" s="65"/>
      <c r="AX255" s="99"/>
      <c r="AY255" s="99"/>
      <c r="AZ255" s="104" t="str">
        <f>IF('BMP P Tracking Table'!$AL255="Yes",IF('BMP P Tracking Table'!$AM255="No",'BMP P Tracking Table'!$V255*VLOOKUP('BMP P Tracking Table'!$R255,'Loading Rates'!$B$1:$L$24,4,FALSE)+IF('BMP P Tracking Table'!$W255="By HSG",'BMP P Tracking Table'!$X255*VLOOKUP('BMP P Tracking Table'!$R255,'Loading Rates'!$B$1:$L$24,6,FALSE)+'BMP P Tracking Table'!$Y255*VLOOKUP('BMP P Tracking Table'!$R255,'Loading Rates'!$B$1:$L$24,7,FALSE)+'BMP P Tracking Table'!$Z255*VLOOKUP('BMP P Tracking Table'!$R255,'Loading Rates'!$B$1:$L$24,8,FALSE)+'BMP P Tracking Table'!$AA255*VLOOKUP('BMP P Tracking Table'!$R255,'Loading Rates'!$B$1:$L$24,9,FALSE),'BMP P Tracking Table'!$AB255*VLOOKUP('BMP P Tracking Table'!$R255,'Loading Rates'!$B$1:$L$24,10,FALSE)),'BMP P Tracking Table'!$AP255*VLOOKUP('BMP P Tracking Table'!$R255,'Loading Rates'!$B$1:$L$24,4,FALSE)+IF('BMP P Tracking Table'!$AQ255="By HSG",'BMP P Tracking Table'!$AR255*VLOOKUP('BMP P Tracking Table'!$R255,'Loading Rates'!$B$1:$L$24,6,FALSE)+'BMP P Tracking Table'!$AS255*VLOOKUP('BMP P Tracking Table'!$R255,'Loading Rates'!$B$1:$L$24,7,FALSE)+'BMP P Tracking Table'!$AT255*VLOOKUP('BMP P Tracking Table'!$R255,'Loading Rates'!$B$1:$L$24,8,FALSE)+'BMP P Tracking Table'!$AU255*VLOOKUP('BMP P Tracking Table'!$R255,'Loading Rates'!$B$1:$L$24,9,FALSE),'BMP P Tracking Table'!$AV255*VLOOKUP('BMP P Tracking Table'!$R255,'Loading Rates'!$B$1:$L$24,10,FALSE))),"")</f>
        <v/>
      </c>
      <c r="BA255" s="104" t="str">
        <f>IFERROR(IF('BMP P Tracking Table'!$AM255="Yes",MIN(2,IF('BMP P Tracking Table'!$AQ255="Total Pervious",(-(3630*'BMP P Tracking Table'!$AP255+20.691*'BMP P Tracking Table'!$AV255)+SQRT((3630*'BMP P Tracking Table'!$AP255+20.691*'BMP P Tracking Table'!$AV255)^2-(4*(996.798*'BMP P Tracking Table'!$AV255)*-'BMP P Tracking Table'!$AX255)))/(2*(996.798*'BMP P Tracking Table'!$AV255)),IF(SUM('BMP P Tracking Table'!$AR255:$AU255)=0,'BMP P Tracking Table'!$AV255/(-3630*'BMP P Tracking Table'!$AP255),(-(3630*'BMP P Tracking Table'!$AP255+20.691*'BMP P Tracking Table'!$AU255-216.711*'BMP P Tracking Table'!$AT255-83.853*'BMP P Tracking Table'!$AS255-42.834*'BMP P Tracking Table'!$AR255)+SQRT((3630*'BMP P Tracking Table'!$AP255+20.691*'BMP P Tracking Table'!$AU255-216.711*'BMP P Tracking Table'!$AT255-83.853*'BMP P Tracking Table'!$AS255-42.834*'BMP P Tracking Table'!$AR255)^2-(4*(149.919*'BMP P Tracking Table'!$AR255+236.676*'BMP P Tracking Table'!$AS255+726*'BMP P Tracking Table'!$AT255+996.798*'BMP P Tracking Table'!$AU255)*-'BMP P Tracking Table'!$AX255)))/(2*(149.919*'BMP P Tracking Table'!$AR255+236.676*'BMP P Tracking Table'!$AS255+726*'BMP P Tracking Table'!$AT255+996.798*'BMP P Tracking Table'!$AU255))))),MIN(2,IF('BMP P Tracking Table'!$AQ255="Total Pervious",(-(3630*'BMP P Tracking Table'!$V255+20.691*'BMP P Tracking Table'!$AB255)+SQRT((3630*'BMP P Tracking Table'!$V255+20.691*'BMP P Tracking Table'!$AB255)^2-(4*(996.798*'BMP P Tracking Table'!$AB255)*-'BMP P Tracking Table'!$AX255)))/(2*(996.798*'BMP P Tracking Table'!$AB255)),IF(SUM('BMP P Tracking Table'!$X255:$AA255)=0,'BMP P Tracking Table'!$AX255/(-3630*'BMP P Tracking Table'!$V255),(-(3630*'BMP P Tracking Table'!$V255+20.691*'BMP P Tracking Table'!$AA255-216.711*'BMP P Tracking Table'!$Z255-83.853*'BMP P Tracking Table'!$Y255-42.834*'BMP P Tracking Table'!$X255)+SQRT((3630*'BMP P Tracking Table'!$V255+20.691*'BMP P Tracking Table'!$AA255-216.711*'BMP P Tracking Table'!$Z255-83.853*'BMP P Tracking Table'!$Y255-42.834*'BMP P Tracking Table'!$X255)^2-(4*(149.919*'BMP P Tracking Table'!$X255+236.676*'BMP P Tracking Table'!$Y255+726*'BMP P Tracking Table'!$Z255+996.798*'BMP P Tracking Table'!$AA255)*-'BMP P Tracking Table'!$AX255)))/(2*(149.919*'BMP P Tracking Table'!$X255+236.676*'BMP P Tracking Table'!$Y255+726*'BMP P Tracking Table'!$Z255+996.798*'BMP P Tracking Table'!$AA255)))))),"")</f>
        <v/>
      </c>
      <c r="BB255" s="102" t="str">
        <f>IFERROR((VLOOKUP(CONCATENATE('BMP P Tracking Table'!$AW255," ",'BMP P Tracking Table'!$AY255),'Performance Curves'!$C$1:$L$46,_xlfn.SINGLE(MATCH('BMP P Tracking Table'!$BA255,'Performance Curves'!$D$1:$L$1,1))+2,FALSE)-VLOOKUP(CONCATENATE('BMP P Tracking Table'!$AW255," ",'BMP P Tracking Table'!$AY255),'Performance Curves'!$C$1:$L$46,_xlfn.SINGLE(MATCH('BMP P Tracking Table'!$BA255,'Performance Curves'!$D$1:$L$1,1))+1,FALSE)),"")</f>
        <v/>
      </c>
      <c r="BC255" s="102" t="str">
        <f>IFERROR(('BMP P Tracking Table'!$BA255-INDEX('Performance Curves'!$D$1:$L$1,1,MATCH('BMP P Tracking Table'!$BA255,'Performance Curves'!$D$1:$L$1,1)))/(INDEX('Performance Curves'!$D$1:$L$1,1,MATCH('BMP P Tracking Table'!$BA255,'Performance Curves'!$D$1:$L$1,1)+1)-INDEX('Performance Curves'!$D$1:$L$1,1,MATCH('BMP P Tracking Table'!$BA255,'Performance Curves'!$D$1:$L$1,1))),"")</f>
        <v/>
      </c>
      <c r="BD255" s="103" t="str" cm="1">
        <f t="array" ref="BD255">IFERROR(IF('BMP P Tracking Table'!$BA255=2,VLOOKUP(CONCATENATE('BMP P Tracking Table'!$AW255," ",'BMP P Tracking Table'!$AY255),'Performance Curves'!$C$1:$L$44,_xlfn.SINGLE(MATCH('BMP P Tracking Table'!$BA255,'Performance Curves'!$D$1:$L$1,1))+1,FALSE),'BMP P Tracking Table'!$BB255*'BMP P Tracking Table'!$BC255+VLOOKUP(CONCATENATE('BMP P Tracking Table'!$AW255," ",'BMP P Tracking Table'!$AY255),'Performance Curves'!$C$1:$L$44,_xlfn.SINGLE(MATCH('BMP P Tracking Table'!$BA255,'Performance Curves'!$D$1:$L$1,1))+1,FALSE)),"")</f>
        <v/>
      </c>
      <c r="BE255" s="104" t="str">
        <f>IFERROR('BMP P Tracking Table'!$BD255*'BMP P Tracking Table'!$AZ255,"")</f>
        <v/>
      </c>
      <c r="BF255" s="98"/>
      <c r="BG255" s="37">
        <f t="shared" si="36"/>
        <v>0</v>
      </c>
    </row>
    <row r="256" spans="2:59" s="36" customFormat="1">
      <c r="B256" s="65"/>
      <c r="C256" s="65"/>
      <c r="D256" s="65"/>
      <c r="E256" s="65"/>
      <c r="F256" s="94"/>
      <c r="G256" s="94"/>
      <c r="H256" s="65"/>
      <c r="I256" s="65"/>
      <c r="J256" s="65"/>
      <c r="K256" s="95"/>
      <c r="L256" s="65"/>
      <c r="M256" s="65"/>
      <c r="N256" s="65"/>
      <c r="O256" s="65"/>
      <c r="P256" s="65"/>
      <c r="Q256" s="65"/>
      <c r="R256" s="65" t="str">
        <f>IFERROR(VLOOKUP('BMP P Tracking Table'!$Q256,Dropdowns!$C$2:$E$15,3,FALSE),"")</f>
        <v/>
      </c>
      <c r="S256" s="65" t="str">
        <f>IFERROR(VLOOKUP('BMP P Tracking Table'!$R256,Dropdowns!$Q$3:$R$23,2,FALSE),"")</f>
        <v/>
      </c>
      <c r="T256" s="65"/>
      <c r="U256" s="65"/>
      <c r="V256" s="65"/>
      <c r="W256" s="65"/>
      <c r="X256" s="65"/>
      <c r="Y256" s="65"/>
      <c r="Z256" s="65"/>
      <c r="AA256" s="65"/>
      <c r="AB256" s="65"/>
      <c r="AC256" s="97"/>
      <c r="AD256" s="65"/>
      <c r="AE256" s="104" t="str">
        <f>IFERROR('BMP P Tracking Table'!$V256*VLOOKUP('BMP P Tracking Table'!$R256,'Loading Rates'!$B$1:$L$24,4,FALSE)+IF('BMP P Tracking Table'!$W256="By HSG",'BMP P Tracking Table'!$X256*VLOOKUP('BMP P Tracking Table'!$R256,'Loading Rates'!$B$1:$L$24,6,FALSE)+'BMP P Tracking Table'!$Y256*VLOOKUP('BMP P Tracking Table'!$R256,'Loading Rates'!$B$1:$L$24,7,FALSE)+'BMP P Tracking Table'!$Z256*VLOOKUP('BMP P Tracking Table'!$R256,'Loading Rates'!$B$1:$L$24,8,FALSE)+'BMP P Tracking Table'!$AA256*VLOOKUP('BMP P Tracking Table'!$R256,'Loading Rates'!$B$1:$L$24,9,FALSE),'BMP P Tracking Table'!$AB256*VLOOKUP('BMP P Tracking Table'!$R256,'Loading Rates'!$B$1:$L$24,10,FALSE)),"")</f>
        <v/>
      </c>
      <c r="AF256" s="104" t="str">
        <f>IFERROR(MIN(2,IF('BMP P Tracking Table'!$W256="Total Pervious",(-(3630*'BMP P Tracking Table'!$V256+20.691*'BMP P Tracking Table'!$AB256)+SQRT((3630*'BMP P Tracking Table'!$V256+20.691*'BMP P Tracking Table'!$AB256)^2-(4*(996.798*'BMP P Tracking Table'!$AB256)*-'BMP P Tracking Table'!$AC256)))/(2*(996.798*'BMP P Tracking Table'!$AB256)),IF(SUM('BMP P Tracking Table'!$X256:$AA256)=0,'BMP P Tracking Table'!$AC256/(-3630*'BMP P Tracking Table'!$V256),(-(3630*'BMP P Tracking Table'!$V256+20.691*'BMP P Tracking Table'!$AA256-216.711*'BMP P Tracking Table'!$Z256-83.853*'BMP P Tracking Table'!$Y256-42.834*'BMP P Tracking Table'!$X256)+SQRT((3630*'BMP P Tracking Table'!$V256+20.691*'BMP P Tracking Table'!$AA256-216.711*'BMP P Tracking Table'!$Z256-83.853*'BMP P Tracking Table'!$Y256-42.834*'BMP P Tracking Table'!$X256)^2-(4*(149.919*'BMP P Tracking Table'!$X256+236.676*'BMP P Tracking Table'!$Y256+726*'BMP P Tracking Table'!$Z256+996.798*'BMP P Tracking Table'!$AA256)*-'BMP P Tracking Table'!$AC256)))/(2*(149.919*'BMP P Tracking Table'!$X256+236.676*'BMP P Tracking Table'!$Y256+726*'BMP P Tracking Table'!$Z256+996.798*'BMP P Tracking Table'!$AA256))))),"")</f>
        <v/>
      </c>
      <c r="AG256" s="104" t="str">
        <f>IFERROR((VLOOKUP(CONCATENATE('BMP P Tracking Table'!$U256," ",'BMP P Tracking Table'!$AD256),'Performance Curves'!$C$1:$L$46,_xlfn.SINGLE(MATCH('BMP P Tracking Table'!$AF256,'Performance Curves'!$D$1:$L$1,1))+2,FALSE)-VLOOKUP(CONCATENATE('BMP P Tracking Table'!$U256," ",'BMP P Tracking Table'!$AD256),'Performance Curves'!$C$1:$L$46,_xlfn.SINGLE(MATCH('BMP P Tracking Table'!$AF256,'Performance Curves'!$D$1:$L$1,1))+1,FALSE)),"")</f>
        <v/>
      </c>
      <c r="AH256" s="104" t="str">
        <f>IFERROR(('BMP P Tracking Table'!$AF256-INDEX('Performance Curves'!$D$1:$L$1,1,MATCH('BMP P Tracking Table'!$AF256,'Performance Curves'!$D$1:$L$1,1)))/(INDEX('Performance Curves'!$D$1:$L$1,1,MATCH('BMP P Tracking Table'!$AF256,'Performance Curves'!$D$1:$L$1,1)+1)-INDEX('Performance Curves'!$D$1:$L$1,1,MATCH('BMP P Tracking Table'!$AF256,'Performance Curves'!$D$1:$L$1,1))),"")</f>
        <v/>
      </c>
      <c r="AI256" s="103" t="str">
        <f>IFERROR(IF('BMP P Tracking Table'!$AF256=2,VLOOKUP(CONCATENATE('BMP P Tracking Table'!$U256," ",'BMP P Tracking Table'!$AD256),'Performance Curves'!$C$1:$L$46,_xlfn.SINGLE(MATCH('BMP P Tracking Table'!$AF256,'Performance Curves'!$D$1:$L$1,1))+1,FALSE),'BMP P Tracking Table'!$AG256*'BMP P Tracking Table'!$AH256+VLOOKUP(CONCATENATE('BMP P Tracking Table'!$U256," ",'BMP P Tracking Table'!$AD256),'Performance Curves'!$C$1:$L$46,_xlfn.SINGLE(MATCH('BMP P Tracking Table'!$AF256,'Performance Curves'!$D$1:$L$1,1))+1,FALSE)),"")</f>
        <v/>
      </c>
      <c r="AJ256" s="104" t="str">
        <f>IFERROR('BMP P Tracking Table'!$AI256*'BMP P Tracking Table'!$AE256,"")</f>
        <v/>
      </c>
      <c r="AK256" s="65"/>
      <c r="AL256" s="98"/>
      <c r="AM256" s="98"/>
      <c r="AN256" s="64">
        <v>1</v>
      </c>
      <c r="AO256" s="102" t="str">
        <f t="shared" si="35"/>
        <v/>
      </c>
      <c r="AP256" s="98"/>
      <c r="AQ256" s="98"/>
      <c r="AR256" s="98"/>
      <c r="AS256" s="98"/>
      <c r="AT256" s="98"/>
      <c r="AU256" s="98"/>
      <c r="AV256" s="98"/>
      <c r="AW256" s="65"/>
      <c r="AX256" s="99"/>
      <c r="AY256" s="99"/>
      <c r="AZ256" s="104" t="str">
        <f>IF('BMP P Tracking Table'!$AL256="Yes",IF('BMP P Tracking Table'!$AM256="No",'BMP P Tracking Table'!$V256*VLOOKUP('BMP P Tracking Table'!$R256,'Loading Rates'!$B$1:$L$24,4,FALSE)+IF('BMP P Tracking Table'!$W256="By HSG",'BMP P Tracking Table'!$X256*VLOOKUP('BMP P Tracking Table'!$R256,'Loading Rates'!$B$1:$L$24,6,FALSE)+'BMP P Tracking Table'!$Y256*VLOOKUP('BMP P Tracking Table'!$R256,'Loading Rates'!$B$1:$L$24,7,FALSE)+'BMP P Tracking Table'!$Z256*VLOOKUP('BMP P Tracking Table'!$R256,'Loading Rates'!$B$1:$L$24,8,FALSE)+'BMP P Tracking Table'!$AA256*VLOOKUP('BMP P Tracking Table'!$R256,'Loading Rates'!$B$1:$L$24,9,FALSE),'BMP P Tracking Table'!$AB256*VLOOKUP('BMP P Tracking Table'!$R256,'Loading Rates'!$B$1:$L$24,10,FALSE)),'BMP P Tracking Table'!$AP256*VLOOKUP('BMP P Tracking Table'!$R256,'Loading Rates'!$B$1:$L$24,4,FALSE)+IF('BMP P Tracking Table'!$AQ256="By HSG",'BMP P Tracking Table'!$AR256*VLOOKUP('BMP P Tracking Table'!$R256,'Loading Rates'!$B$1:$L$24,6,FALSE)+'BMP P Tracking Table'!$AS256*VLOOKUP('BMP P Tracking Table'!$R256,'Loading Rates'!$B$1:$L$24,7,FALSE)+'BMP P Tracking Table'!$AT256*VLOOKUP('BMP P Tracking Table'!$R256,'Loading Rates'!$B$1:$L$24,8,FALSE)+'BMP P Tracking Table'!$AU256*VLOOKUP('BMP P Tracking Table'!$R256,'Loading Rates'!$B$1:$L$24,9,FALSE),'BMP P Tracking Table'!$AV256*VLOOKUP('BMP P Tracking Table'!$R256,'Loading Rates'!$B$1:$L$24,10,FALSE))),"")</f>
        <v/>
      </c>
      <c r="BA256" s="104" t="str">
        <f>IFERROR(IF('BMP P Tracking Table'!$AM256="Yes",MIN(2,IF('BMP P Tracking Table'!$AQ256="Total Pervious",(-(3630*'BMP P Tracking Table'!$AP256+20.691*'BMP P Tracking Table'!$AV256)+SQRT((3630*'BMP P Tracking Table'!$AP256+20.691*'BMP P Tracking Table'!$AV256)^2-(4*(996.798*'BMP P Tracking Table'!$AV256)*-'BMP P Tracking Table'!$AX256)))/(2*(996.798*'BMP P Tracking Table'!$AV256)),IF(SUM('BMP P Tracking Table'!$AR256:$AU256)=0,'BMP P Tracking Table'!$AV256/(-3630*'BMP P Tracking Table'!$AP256),(-(3630*'BMP P Tracking Table'!$AP256+20.691*'BMP P Tracking Table'!$AU256-216.711*'BMP P Tracking Table'!$AT256-83.853*'BMP P Tracking Table'!$AS256-42.834*'BMP P Tracking Table'!$AR256)+SQRT((3630*'BMP P Tracking Table'!$AP256+20.691*'BMP P Tracking Table'!$AU256-216.711*'BMP P Tracking Table'!$AT256-83.853*'BMP P Tracking Table'!$AS256-42.834*'BMP P Tracking Table'!$AR256)^2-(4*(149.919*'BMP P Tracking Table'!$AR256+236.676*'BMP P Tracking Table'!$AS256+726*'BMP P Tracking Table'!$AT256+996.798*'BMP P Tracking Table'!$AU256)*-'BMP P Tracking Table'!$AX256)))/(2*(149.919*'BMP P Tracking Table'!$AR256+236.676*'BMP P Tracking Table'!$AS256+726*'BMP P Tracking Table'!$AT256+996.798*'BMP P Tracking Table'!$AU256))))),MIN(2,IF('BMP P Tracking Table'!$AQ256="Total Pervious",(-(3630*'BMP P Tracking Table'!$V256+20.691*'BMP P Tracking Table'!$AB256)+SQRT((3630*'BMP P Tracking Table'!$V256+20.691*'BMP P Tracking Table'!$AB256)^2-(4*(996.798*'BMP P Tracking Table'!$AB256)*-'BMP P Tracking Table'!$AX256)))/(2*(996.798*'BMP P Tracking Table'!$AB256)),IF(SUM('BMP P Tracking Table'!$X256:$AA256)=0,'BMP P Tracking Table'!$AX256/(-3630*'BMP P Tracking Table'!$V256),(-(3630*'BMP P Tracking Table'!$V256+20.691*'BMP P Tracking Table'!$AA256-216.711*'BMP P Tracking Table'!$Z256-83.853*'BMP P Tracking Table'!$Y256-42.834*'BMP P Tracking Table'!$X256)+SQRT((3630*'BMP P Tracking Table'!$V256+20.691*'BMP P Tracking Table'!$AA256-216.711*'BMP P Tracking Table'!$Z256-83.853*'BMP P Tracking Table'!$Y256-42.834*'BMP P Tracking Table'!$X256)^2-(4*(149.919*'BMP P Tracking Table'!$X256+236.676*'BMP P Tracking Table'!$Y256+726*'BMP P Tracking Table'!$Z256+996.798*'BMP P Tracking Table'!$AA256)*-'BMP P Tracking Table'!$AX256)))/(2*(149.919*'BMP P Tracking Table'!$X256+236.676*'BMP P Tracking Table'!$Y256+726*'BMP P Tracking Table'!$Z256+996.798*'BMP P Tracking Table'!$AA256)))))),"")</f>
        <v/>
      </c>
      <c r="BB256" s="102" t="str">
        <f>IFERROR((VLOOKUP(CONCATENATE('BMP P Tracking Table'!$AW256," ",'BMP P Tracking Table'!$AY256),'Performance Curves'!$C$1:$L$46,_xlfn.SINGLE(MATCH('BMP P Tracking Table'!$BA256,'Performance Curves'!$D$1:$L$1,1))+2,FALSE)-VLOOKUP(CONCATENATE('BMP P Tracking Table'!$AW256," ",'BMP P Tracking Table'!$AY256),'Performance Curves'!$C$1:$L$46,_xlfn.SINGLE(MATCH('BMP P Tracking Table'!$BA256,'Performance Curves'!$D$1:$L$1,1))+1,FALSE)),"")</f>
        <v/>
      </c>
      <c r="BC256" s="102" t="str">
        <f>IFERROR(('BMP P Tracking Table'!$BA256-INDEX('Performance Curves'!$D$1:$L$1,1,MATCH('BMP P Tracking Table'!$BA256,'Performance Curves'!$D$1:$L$1,1)))/(INDEX('Performance Curves'!$D$1:$L$1,1,MATCH('BMP P Tracking Table'!$BA256,'Performance Curves'!$D$1:$L$1,1)+1)-INDEX('Performance Curves'!$D$1:$L$1,1,MATCH('BMP P Tracking Table'!$BA256,'Performance Curves'!$D$1:$L$1,1))),"")</f>
        <v/>
      </c>
      <c r="BD256" s="103" t="str" cm="1">
        <f t="array" ref="BD256">IFERROR(IF('BMP P Tracking Table'!$BA256=2,VLOOKUP(CONCATENATE('BMP P Tracking Table'!$AW256," ",'BMP P Tracking Table'!$AY256),'Performance Curves'!$C$1:$L$44,_xlfn.SINGLE(MATCH('BMP P Tracking Table'!$BA256,'Performance Curves'!$D$1:$L$1,1))+1,FALSE),'BMP P Tracking Table'!$BB256*'BMP P Tracking Table'!$BC256+VLOOKUP(CONCATENATE('BMP P Tracking Table'!$AW256," ",'BMP P Tracking Table'!$AY256),'Performance Curves'!$C$1:$L$44,_xlfn.SINGLE(MATCH('BMP P Tracking Table'!$BA256,'Performance Curves'!$D$1:$L$1,1))+1,FALSE)),"")</f>
        <v/>
      </c>
      <c r="BE256" s="104" t="str">
        <f>IFERROR('BMP P Tracking Table'!$BD256*'BMP P Tracking Table'!$AZ256,"")</f>
        <v/>
      </c>
      <c r="BF256" s="98"/>
      <c r="BG256" s="37">
        <f t="shared" si="36"/>
        <v>0</v>
      </c>
    </row>
    <row r="257" spans="2:59" s="36" customFormat="1">
      <c r="B257" s="65"/>
      <c r="C257" s="65"/>
      <c r="D257" s="65"/>
      <c r="E257" s="65"/>
      <c r="F257" s="94"/>
      <c r="G257" s="94"/>
      <c r="H257" s="65"/>
      <c r="I257" s="65"/>
      <c r="J257" s="65"/>
      <c r="K257" s="95"/>
      <c r="L257" s="65"/>
      <c r="M257" s="65"/>
      <c r="N257" s="65"/>
      <c r="O257" s="65"/>
      <c r="P257" s="65"/>
      <c r="Q257" s="65"/>
      <c r="R257" s="65" t="str">
        <f>IFERROR(VLOOKUP('BMP P Tracking Table'!$Q257,Dropdowns!$C$2:$E$15,3,FALSE),"")</f>
        <v/>
      </c>
      <c r="S257" s="65" t="str">
        <f>IFERROR(VLOOKUP('BMP P Tracking Table'!$R257,Dropdowns!$Q$3:$R$23,2,FALSE),"")</f>
        <v/>
      </c>
      <c r="T257" s="65"/>
      <c r="U257" s="65"/>
      <c r="V257" s="65"/>
      <c r="W257" s="65"/>
      <c r="X257" s="65"/>
      <c r="Y257" s="65"/>
      <c r="Z257" s="65"/>
      <c r="AA257" s="65"/>
      <c r="AB257" s="65"/>
      <c r="AC257" s="97"/>
      <c r="AD257" s="65"/>
      <c r="AE257" s="104" t="str">
        <f>IFERROR('BMP P Tracking Table'!$V257*VLOOKUP('BMP P Tracking Table'!$R257,'Loading Rates'!$B$1:$L$24,4,FALSE)+IF('BMP P Tracking Table'!$W257="By HSG",'BMP P Tracking Table'!$X257*VLOOKUP('BMP P Tracking Table'!$R257,'Loading Rates'!$B$1:$L$24,6,FALSE)+'BMP P Tracking Table'!$Y257*VLOOKUP('BMP P Tracking Table'!$R257,'Loading Rates'!$B$1:$L$24,7,FALSE)+'BMP P Tracking Table'!$Z257*VLOOKUP('BMP P Tracking Table'!$R257,'Loading Rates'!$B$1:$L$24,8,FALSE)+'BMP P Tracking Table'!$AA257*VLOOKUP('BMP P Tracking Table'!$R257,'Loading Rates'!$B$1:$L$24,9,FALSE),'BMP P Tracking Table'!$AB257*VLOOKUP('BMP P Tracking Table'!$R257,'Loading Rates'!$B$1:$L$24,10,FALSE)),"")</f>
        <v/>
      </c>
      <c r="AF257" s="104" t="str">
        <f>IFERROR(MIN(2,IF('BMP P Tracking Table'!$W257="Total Pervious",(-(3630*'BMP P Tracking Table'!$V257+20.691*'BMP P Tracking Table'!$AB257)+SQRT((3630*'BMP P Tracking Table'!$V257+20.691*'BMP P Tracking Table'!$AB257)^2-(4*(996.798*'BMP P Tracking Table'!$AB257)*-'BMP P Tracking Table'!$AC257)))/(2*(996.798*'BMP P Tracking Table'!$AB257)),IF(SUM('BMP P Tracking Table'!$X257:$AA257)=0,'BMP P Tracking Table'!$AC257/(-3630*'BMP P Tracking Table'!$V257),(-(3630*'BMP P Tracking Table'!$V257+20.691*'BMP P Tracking Table'!$AA257-216.711*'BMP P Tracking Table'!$Z257-83.853*'BMP P Tracking Table'!$Y257-42.834*'BMP P Tracking Table'!$X257)+SQRT((3630*'BMP P Tracking Table'!$V257+20.691*'BMP P Tracking Table'!$AA257-216.711*'BMP P Tracking Table'!$Z257-83.853*'BMP P Tracking Table'!$Y257-42.834*'BMP P Tracking Table'!$X257)^2-(4*(149.919*'BMP P Tracking Table'!$X257+236.676*'BMP P Tracking Table'!$Y257+726*'BMP P Tracking Table'!$Z257+996.798*'BMP P Tracking Table'!$AA257)*-'BMP P Tracking Table'!$AC257)))/(2*(149.919*'BMP P Tracking Table'!$X257+236.676*'BMP P Tracking Table'!$Y257+726*'BMP P Tracking Table'!$Z257+996.798*'BMP P Tracking Table'!$AA257))))),"")</f>
        <v/>
      </c>
      <c r="AG257" s="104" t="str">
        <f>IFERROR((VLOOKUP(CONCATENATE('BMP P Tracking Table'!$U257," ",'BMP P Tracking Table'!$AD257),'Performance Curves'!$C$1:$L$46,_xlfn.SINGLE(MATCH('BMP P Tracking Table'!$AF257,'Performance Curves'!$D$1:$L$1,1))+2,FALSE)-VLOOKUP(CONCATENATE('BMP P Tracking Table'!$U257," ",'BMP P Tracking Table'!$AD257),'Performance Curves'!$C$1:$L$46,_xlfn.SINGLE(MATCH('BMP P Tracking Table'!$AF257,'Performance Curves'!$D$1:$L$1,1))+1,FALSE)),"")</f>
        <v/>
      </c>
      <c r="AH257" s="104" t="str">
        <f>IFERROR(('BMP P Tracking Table'!$AF257-INDEX('Performance Curves'!$D$1:$L$1,1,MATCH('BMP P Tracking Table'!$AF257,'Performance Curves'!$D$1:$L$1,1)))/(INDEX('Performance Curves'!$D$1:$L$1,1,MATCH('BMP P Tracking Table'!$AF257,'Performance Curves'!$D$1:$L$1,1)+1)-INDEX('Performance Curves'!$D$1:$L$1,1,MATCH('BMP P Tracking Table'!$AF257,'Performance Curves'!$D$1:$L$1,1))),"")</f>
        <v/>
      </c>
      <c r="AI257" s="103" t="str">
        <f>IFERROR(IF('BMP P Tracking Table'!$AF257=2,VLOOKUP(CONCATENATE('BMP P Tracking Table'!$U257," ",'BMP P Tracking Table'!$AD257),'Performance Curves'!$C$1:$L$46,_xlfn.SINGLE(MATCH('BMP P Tracking Table'!$AF257,'Performance Curves'!$D$1:$L$1,1))+1,FALSE),'BMP P Tracking Table'!$AG257*'BMP P Tracking Table'!$AH257+VLOOKUP(CONCATENATE('BMP P Tracking Table'!$U257," ",'BMP P Tracking Table'!$AD257),'Performance Curves'!$C$1:$L$46,_xlfn.SINGLE(MATCH('BMP P Tracking Table'!$AF257,'Performance Curves'!$D$1:$L$1,1))+1,FALSE)),"")</f>
        <v/>
      </c>
      <c r="AJ257" s="104" t="str">
        <f>IFERROR('BMP P Tracking Table'!$AI257*'BMP P Tracking Table'!$AE257,"")</f>
        <v/>
      </c>
      <c r="AK257" s="65"/>
      <c r="AL257" s="98"/>
      <c r="AM257" s="98"/>
      <c r="AN257" s="64">
        <v>1</v>
      </c>
      <c r="AO257" s="102" t="str">
        <f t="shared" si="35"/>
        <v/>
      </c>
      <c r="AP257" s="98"/>
      <c r="AQ257" s="98"/>
      <c r="AR257" s="98"/>
      <c r="AS257" s="98"/>
      <c r="AT257" s="98"/>
      <c r="AU257" s="98"/>
      <c r="AV257" s="98"/>
      <c r="AW257" s="65"/>
      <c r="AX257" s="99"/>
      <c r="AY257" s="99"/>
      <c r="AZ257" s="104" t="str">
        <f>IF('BMP P Tracking Table'!$AL257="Yes",IF('BMP P Tracking Table'!$AM257="No",'BMP P Tracking Table'!$V257*VLOOKUP('BMP P Tracking Table'!$R257,'Loading Rates'!$B$1:$L$24,4,FALSE)+IF('BMP P Tracking Table'!$W257="By HSG",'BMP P Tracking Table'!$X257*VLOOKUP('BMP P Tracking Table'!$R257,'Loading Rates'!$B$1:$L$24,6,FALSE)+'BMP P Tracking Table'!$Y257*VLOOKUP('BMP P Tracking Table'!$R257,'Loading Rates'!$B$1:$L$24,7,FALSE)+'BMP P Tracking Table'!$Z257*VLOOKUP('BMP P Tracking Table'!$R257,'Loading Rates'!$B$1:$L$24,8,FALSE)+'BMP P Tracking Table'!$AA257*VLOOKUP('BMP P Tracking Table'!$R257,'Loading Rates'!$B$1:$L$24,9,FALSE),'BMP P Tracking Table'!$AB257*VLOOKUP('BMP P Tracking Table'!$R257,'Loading Rates'!$B$1:$L$24,10,FALSE)),'BMP P Tracking Table'!$AP257*VLOOKUP('BMP P Tracking Table'!$R257,'Loading Rates'!$B$1:$L$24,4,FALSE)+IF('BMP P Tracking Table'!$AQ257="By HSG",'BMP P Tracking Table'!$AR257*VLOOKUP('BMP P Tracking Table'!$R257,'Loading Rates'!$B$1:$L$24,6,FALSE)+'BMP P Tracking Table'!$AS257*VLOOKUP('BMP P Tracking Table'!$R257,'Loading Rates'!$B$1:$L$24,7,FALSE)+'BMP P Tracking Table'!$AT257*VLOOKUP('BMP P Tracking Table'!$R257,'Loading Rates'!$B$1:$L$24,8,FALSE)+'BMP P Tracking Table'!$AU257*VLOOKUP('BMP P Tracking Table'!$R257,'Loading Rates'!$B$1:$L$24,9,FALSE),'BMP P Tracking Table'!$AV257*VLOOKUP('BMP P Tracking Table'!$R257,'Loading Rates'!$B$1:$L$24,10,FALSE))),"")</f>
        <v/>
      </c>
      <c r="BA257" s="104" t="str">
        <f>IFERROR(IF('BMP P Tracking Table'!$AM257="Yes",MIN(2,IF('BMP P Tracking Table'!$AQ257="Total Pervious",(-(3630*'BMP P Tracking Table'!$AP257+20.691*'BMP P Tracking Table'!$AV257)+SQRT((3630*'BMP P Tracking Table'!$AP257+20.691*'BMP P Tracking Table'!$AV257)^2-(4*(996.798*'BMP P Tracking Table'!$AV257)*-'BMP P Tracking Table'!$AX257)))/(2*(996.798*'BMP P Tracking Table'!$AV257)),IF(SUM('BMP P Tracking Table'!$AR257:$AU257)=0,'BMP P Tracking Table'!$AV257/(-3630*'BMP P Tracking Table'!$AP257),(-(3630*'BMP P Tracking Table'!$AP257+20.691*'BMP P Tracking Table'!$AU257-216.711*'BMP P Tracking Table'!$AT257-83.853*'BMP P Tracking Table'!$AS257-42.834*'BMP P Tracking Table'!$AR257)+SQRT((3630*'BMP P Tracking Table'!$AP257+20.691*'BMP P Tracking Table'!$AU257-216.711*'BMP P Tracking Table'!$AT257-83.853*'BMP P Tracking Table'!$AS257-42.834*'BMP P Tracking Table'!$AR257)^2-(4*(149.919*'BMP P Tracking Table'!$AR257+236.676*'BMP P Tracking Table'!$AS257+726*'BMP P Tracking Table'!$AT257+996.798*'BMP P Tracking Table'!$AU257)*-'BMP P Tracking Table'!$AX257)))/(2*(149.919*'BMP P Tracking Table'!$AR257+236.676*'BMP P Tracking Table'!$AS257+726*'BMP P Tracking Table'!$AT257+996.798*'BMP P Tracking Table'!$AU257))))),MIN(2,IF('BMP P Tracking Table'!$AQ257="Total Pervious",(-(3630*'BMP P Tracking Table'!$V257+20.691*'BMP P Tracking Table'!$AB257)+SQRT((3630*'BMP P Tracking Table'!$V257+20.691*'BMP P Tracking Table'!$AB257)^2-(4*(996.798*'BMP P Tracking Table'!$AB257)*-'BMP P Tracking Table'!$AX257)))/(2*(996.798*'BMP P Tracking Table'!$AB257)),IF(SUM('BMP P Tracking Table'!$X257:$AA257)=0,'BMP P Tracking Table'!$AX257/(-3630*'BMP P Tracking Table'!$V257),(-(3630*'BMP P Tracking Table'!$V257+20.691*'BMP P Tracking Table'!$AA257-216.711*'BMP P Tracking Table'!$Z257-83.853*'BMP P Tracking Table'!$Y257-42.834*'BMP P Tracking Table'!$X257)+SQRT((3630*'BMP P Tracking Table'!$V257+20.691*'BMP P Tracking Table'!$AA257-216.711*'BMP P Tracking Table'!$Z257-83.853*'BMP P Tracking Table'!$Y257-42.834*'BMP P Tracking Table'!$X257)^2-(4*(149.919*'BMP P Tracking Table'!$X257+236.676*'BMP P Tracking Table'!$Y257+726*'BMP P Tracking Table'!$Z257+996.798*'BMP P Tracking Table'!$AA257)*-'BMP P Tracking Table'!$AX257)))/(2*(149.919*'BMP P Tracking Table'!$X257+236.676*'BMP P Tracking Table'!$Y257+726*'BMP P Tracking Table'!$Z257+996.798*'BMP P Tracking Table'!$AA257)))))),"")</f>
        <v/>
      </c>
      <c r="BB257" s="102" t="str">
        <f>IFERROR((VLOOKUP(CONCATENATE('BMP P Tracking Table'!$AW257," ",'BMP P Tracking Table'!$AY257),'Performance Curves'!$C$1:$L$46,_xlfn.SINGLE(MATCH('BMP P Tracking Table'!$BA257,'Performance Curves'!$D$1:$L$1,1))+2,FALSE)-VLOOKUP(CONCATENATE('BMP P Tracking Table'!$AW257," ",'BMP P Tracking Table'!$AY257),'Performance Curves'!$C$1:$L$46,_xlfn.SINGLE(MATCH('BMP P Tracking Table'!$BA257,'Performance Curves'!$D$1:$L$1,1))+1,FALSE)),"")</f>
        <v/>
      </c>
      <c r="BC257" s="102" t="str">
        <f>IFERROR(('BMP P Tracking Table'!$BA257-INDEX('Performance Curves'!$D$1:$L$1,1,MATCH('BMP P Tracking Table'!$BA257,'Performance Curves'!$D$1:$L$1,1)))/(INDEX('Performance Curves'!$D$1:$L$1,1,MATCH('BMP P Tracking Table'!$BA257,'Performance Curves'!$D$1:$L$1,1)+1)-INDEX('Performance Curves'!$D$1:$L$1,1,MATCH('BMP P Tracking Table'!$BA257,'Performance Curves'!$D$1:$L$1,1))),"")</f>
        <v/>
      </c>
      <c r="BD257" s="103" t="str" cm="1">
        <f t="array" ref="BD257">IFERROR(IF('BMP P Tracking Table'!$BA257=2,VLOOKUP(CONCATENATE('BMP P Tracking Table'!$AW257," ",'BMP P Tracking Table'!$AY257),'Performance Curves'!$C$1:$L$44,_xlfn.SINGLE(MATCH('BMP P Tracking Table'!$BA257,'Performance Curves'!$D$1:$L$1,1))+1,FALSE),'BMP P Tracking Table'!$BB257*'BMP P Tracking Table'!$BC257+VLOOKUP(CONCATENATE('BMP P Tracking Table'!$AW257," ",'BMP P Tracking Table'!$AY257),'Performance Curves'!$C$1:$L$44,_xlfn.SINGLE(MATCH('BMP P Tracking Table'!$BA257,'Performance Curves'!$D$1:$L$1,1))+1,FALSE)),"")</f>
        <v/>
      </c>
      <c r="BE257" s="104" t="str">
        <f>IFERROR('BMP P Tracking Table'!$BD257*'BMP P Tracking Table'!$AZ257,"")</f>
        <v/>
      </c>
      <c r="BF257" s="98"/>
      <c r="BG257" s="37">
        <f t="shared" si="36"/>
        <v>0</v>
      </c>
    </row>
    <row r="258" spans="2:59" s="36" customFormat="1">
      <c r="B258" s="65"/>
      <c r="C258" s="65"/>
      <c r="D258" s="65"/>
      <c r="E258" s="65"/>
      <c r="F258" s="94"/>
      <c r="G258" s="94"/>
      <c r="H258" s="65"/>
      <c r="I258" s="65"/>
      <c r="J258" s="65"/>
      <c r="K258" s="95"/>
      <c r="L258" s="65"/>
      <c r="M258" s="65"/>
      <c r="N258" s="65"/>
      <c r="O258" s="65"/>
      <c r="P258" s="65"/>
      <c r="Q258" s="65"/>
      <c r="R258" s="65" t="str">
        <f>IFERROR(VLOOKUP('BMP P Tracking Table'!$Q258,Dropdowns!$C$2:$E$15,3,FALSE),"")</f>
        <v/>
      </c>
      <c r="S258" s="65" t="str">
        <f>IFERROR(VLOOKUP('BMP P Tracking Table'!$R258,Dropdowns!$Q$3:$R$23,2,FALSE),"")</f>
        <v/>
      </c>
      <c r="T258" s="65"/>
      <c r="U258" s="65"/>
      <c r="V258" s="65"/>
      <c r="W258" s="65"/>
      <c r="X258" s="65"/>
      <c r="Y258" s="65"/>
      <c r="Z258" s="65"/>
      <c r="AA258" s="65"/>
      <c r="AB258" s="65"/>
      <c r="AC258" s="97"/>
      <c r="AD258" s="65"/>
      <c r="AE258" s="104" t="str">
        <f>IFERROR('BMP P Tracking Table'!$V258*VLOOKUP('BMP P Tracking Table'!$R258,'Loading Rates'!$B$1:$L$24,4,FALSE)+IF('BMP P Tracking Table'!$W258="By HSG",'BMP P Tracking Table'!$X258*VLOOKUP('BMP P Tracking Table'!$R258,'Loading Rates'!$B$1:$L$24,6,FALSE)+'BMP P Tracking Table'!$Y258*VLOOKUP('BMP P Tracking Table'!$R258,'Loading Rates'!$B$1:$L$24,7,FALSE)+'BMP P Tracking Table'!$Z258*VLOOKUP('BMP P Tracking Table'!$R258,'Loading Rates'!$B$1:$L$24,8,FALSE)+'BMP P Tracking Table'!$AA258*VLOOKUP('BMP P Tracking Table'!$R258,'Loading Rates'!$B$1:$L$24,9,FALSE),'BMP P Tracking Table'!$AB258*VLOOKUP('BMP P Tracking Table'!$R258,'Loading Rates'!$B$1:$L$24,10,FALSE)),"")</f>
        <v/>
      </c>
      <c r="AF258" s="104" t="str">
        <f>IFERROR(MIN(2,IF('BMP P Tracking Table'!$W258="Total Pervious",(-(3630*'BMP P Tracking Table'!$V258+20.691*'BMP P Tracking Table'!$AB258)+SQRT((3630*'BMP P Tracking Table'!$V258+20.691*'BMP P Tracking Table'!$AB258)^2-(4*(996.798*'BMP P Tracking Table'!$AB258)*-'BMP P Tracking Table'!$AC258)))/(2*(996.798*'BMP P Tracking Table'!$AB258)),IF(SUM('BMP P Tracking Table'!$X258:$AA258)=0,'BMP P Tracking Table'!$AC258/(-3630*'BMP P Tracking Table'!$V258),(-(3630*'BMP P Tracking Table'!$V258+20.691*'BMP P Tracking Table'!$AA258-216.711*'BMP P Tracking Table'!$Z258-83.853*'BMP P Tracking Table'!$Y258-42.834*'BMP P Tracking Table'!$X258)+SQRT((3630*'BMP P Tracking Table'!$V258+20.691*'BMP P Tracking Table'!$AA258-216.711*'BMP P Tracking Table'!$Z258-83.853*'BMP P Tracking Table'!$Y258-42.834*'BMP P Tracking Table'!$X258)^2-(4*(149.919*'BMP P Tracking Table'!$X258+236.676*'BMP P Tracking Table'!$Y258+726*'BMP P Tracking Table'!$Z258+996.798*'BMP P Tracking Table'!$AA258)*-'BMP P Tracking Table'!$AC258)))/(2*(149.919*'BMP P Tracking Table'!$X258+236.676*'BMP P Tracking Table'!$Y258+726*'BMP P Tracking Table'!$Z258+996.798*'BMP P Tracking Table'!$AA258))))),"")</f>
        <v/>
      </c>
      <c r="AG258" s="104" t="str">
        <f>IFERROR((VLOOKUP(CONCATENATE('BMP P Tracking Table'!$U258," ",'BMP P Tracking Table'!$AD258),'Performance Curves'!$C$1:$L$46,_xlfn.SINGLE(MATCH('BMP P Tracking Table'!$AF258,'Performance Curves'!$D$1:$L$1,1))+2,FALSE)-VLOOKUP(CONCATENATE('BMP P Tracking Table'!$U258," ",'BMP P Tracking Table'!$AD258),'Performance Curves'!$C$1:$L$46,_xlfn.SINGLE(MATCH('BMP P Tracking Table'!$AF258,'Performance Curves'!$D$1:$L$1,1))+1,FALSE)),"")</f>
        <v/>
      </c>
      <c r="AH258" s="104" t="str">
        <f>IFERROR(('BMP P Tracking Table'!$AF258-INDEX('Performance Curves'!$D$1:$L$1,1,MATCH('BMP P Tracking Table'!$AF258,'Performance Curves'!$D$1:$L$1,1)))/(INDEX('Performance Curves'!$D$1:$L$1,1,MATCH('BMP P Tracking Table'!$AF258,'Performance Curves'!$D$1:$L$1,1)+1)-INDEX('Performance Curves'!$D$1:$L$1,1,MATCH('BMP P Tracking Table'!$AF258,'Performance Curves'!$D$1:$L$1,1))),"")</f>
        <v/>
      </c>
      <c r="AI258" s="103" t="str">
        <f>IFERROR(IF('BMP P Tracking Table'!$AF258=2,VLOOKUP(CONCATENATE('BMP P Tracking Table'!$U258," ",'BMP P Tracking Table'!$AD258),'Performance Curves'!$C$1:$L$46,_xlfn.SINGLE(MATCH('BMP P Tracking Table'!$AF258,'Performance Curves'!$D$1:$L$1,1))+1,FALSE),'BMP P Tracking Table'!$AG258*'BMP P Tracking Table'!$AH258+VLOOKUP(CONCATENATE('BMP P Tracking Table'!$U258," ",'BMP P Tracking Table'!$AD258),'Performance Curves'!$C$1:$L$46,_xlfn.SINGLE(MATCH('BMP P Tracking Table'!$AF258,'Performance Curves'!$D$1:$L$1,1))+1,FALSE)),"")</f>
        <v/>
      </c>
      <c r="AJ258" s="104" t="str">
        <f>IFERROR('BMP P Tracking Table'!$AI258*'BMP P Tracking Table'!$AE258,"")</f>
        <v/>
      </c>
      <c r="AK258" s="65"/>
      <c r="AL258" s="98"/>
      <c r="AM258" s="98"/>
      <c r="AN258" s="64">
        <v>1</v>
      </c>
      <c r="AO258" s="102" t="str">
        <f t="shared" si="35"/>
        <v/>
      </c>
      <c r="AP258" s="98"/>
      <c r="AQ258" s="98"/>
      <c r="AR258" s="98"/>
      <c r="AS258" s="98"/>
      <c r="AT258" s="98"/>
      <c r="AU258" s="98"/>
      <c r="AV258" s="98"/>
      <c r="AW258" s="65"/>
      <c r="AX258" s="99"/>
      <c r="AY258" s="99"/>
      <c r="AZ258" s="104" t="str">
        <f>IF('BMP P Tracking Table'!$AL258="Yes",IF('BMP P Tracking Table'!$AM258="No",'BMP P Tracking Table'!$V258*VLOOKUP('BMP P Tracking Table'!$R258,'Loading Rates'!$B$1:$L$24,4,FALSE)+IF('BMP P Tracking Table'!$W258="By HSG",'BMP P Tracking Table'!$X258*VLOOKUP('BMP P Tracking Table'!$R258,'Loading Rates'!$B$1:$L$24,6,FALSE)+'BMP P Tracking Table'!$Y258*VLOOKUP('BMP P Tracking Table'!$R258,'Loading Rates'!$B$1:$L$24,7,FALSE)+'BMP P Tracking Table'!$Z258*VLOOKUP('BMP P Tracking Table'!$R258,'Loading Rates'!$B$1:$L$24,8,FALSE)+'BMP P Tracking Table'!$AA258*VLOOKUP('BMP P Tracking Table'!$R258,'Loading Rates'!$B$1:$L$24,9,FALSE),'BMP P Tracking Table'!$AB258*VLOOKUP('BMP P Tracking Table'!$R258,'Loading Rates'!$B$1:$L$24,10,FALSE)),'BMP P Tracking Table'!$AP258*VLOOKUP('BMP P Tracking Table'!$R258,'Loading Rates'!$B$1:$L$24,4,FALSE)+IF('BMP P Tracking Table'!$AQ258="By HSG",'BMP P Tracking Table'!$AR258*VLOOKUP('BMP P Tracking Table'!$R258,'Loading Rates'!$B$1:$L$24,6,FALSE)+'BMP P Tracking Table'!$AS258*VLOOKUP('BMP P Tracking Table'!$R258,'Loading Rates'!$B$1:$L$24,7,FALSE)+'BMP P Tracking Table'!$AT258*VLOOKUP('BMP P Tracking Table'!$R258,'Loading Rates'!$B$1:$L$24,8,FALSE)+'BMP P Tracking Table'!$AU258*VLOOKUP('BMP P Tracking Table'!$R258,'Loading Rates'!$B$1:$L$24,9,FALSE),'BMP P Tracking Table'!$AV258*VLOOKUP('BMP P Tracking Table'!$R258,'Loading Rates'!$B$1:$L$24,10,FALSE))),"")</f>
        <v/>
      </c>
      <c r="BA258" s="104" t="str">
        <f>IFERROR(IF('BMP P Tracking Table'!$AM258="Yes",MIN(2,IF('BMP P Tracking Table'!$AQ258="Total Pervious",(-(3630*'BMP P Tracking Table'!$AP258+20.691*'BMP P Tracking Table'!$AV258)+SQRT((3630*'BMP P Tracking Table'!$AP258+20.691*'BMP P Tracking Table'!$AV258)^2-(4*(996.798*'BMP P Tracking Table'!$AV258)*-'BMP P Tracking Table'!$AX258)))/(2*(996.798*'BMP P Tracking Table'!$AV258)),IF(SUM('BMP P Tracking Table'!$AR258:$AU258)=0,'BMP P Tracking Table'!$AV258/(-3630*'BMP P Tracking Table'!$AP258),(-(3630*'BMP P Tracking Table'!$AP258+20.691*'BMP P Tracking Table'!$AU258-216.711*'BMP P Tracking Table'!$AT258-83.853*'BMP P Tracking Table'!$AS258-42.834*'BMP P Tracking Table'!$AR258)+SQRT((3630*'BMP P Tracking Table'!$AP258+20.691*'BMP P Tracking Table'!$AU258-216.711*'BMP P Tracking Table'!$AT258-83.853*'BMP P Tracking Table'!$AS258-42.834*'BMP P Tracking Table'!$AR258)^2-(4*(149.919*'BMP P Tracking Table'!$AR258+236.676*'BMP P Tracking Table'!$AS258+726*'BMP P Tracking Table'!$AT258+996.798*'BMP P Tracking Table'!$AU258)*-'BMP P Tracking Table'!$AX258)))/(2*(149.919*'BMP P Tracking Table'!$AR258+236.676*'BMP P Tracking Table'!$AS258+726*'BMP P Tracking Table'!$AT258+996.798*'BMP P Tracking Table'!$AU258))))),MIN(2,IF('BMP P Tracking Table'!$AQ258="Total Pervious",(-(3630*'BMP P Tracking Table'!$V258+20.691*'BMP P Tracking Table'!$AB258)+SQRT((3630*'BMP P Tracking Table'!$V258+20.691*'BMP P Tracking Table'!$AB258)^2-(4*(996.798*'BMP P Tracking Table'!$AB258)*-'BMP P Tracking Table'!$AX258)))/(2*(996.798*'BMP P Tracking Table'!$AB258)),IF(SUM('BMP P Tracking Table'!$X258:$AA258)=0,'BMP P Tracking Table'!$AX258/(-3630*'BMP P Tracking Table'!$V258),(-(3630*'BMP P Tracking Table'!$V258+20.691*'BMP P Tracking Table'!$AA258-216.711*'BMP P Tracking Table'!$Z258-83.853*'BMP P Tracking Table'!$Y258-42.834*'BMP P Tracking Table'!$X258)+SQRT((3630*'BMP P Tracking Table'!$V258+20.691*'BMP P Tracking Table'!$AA258-216.711*'BMP P Tracking Table'!$Z258-83.853*'BMP P Tracking Table'!$Y258-42.834*'BMP P Tracking Table'!$X258)^2-(4*(149.919*'BMP P Tracking Table'!$X258+236.676*'BMP P Tracking Table'!$Y258+726*'BMP P Tracking Table'!$Z258+996.798*'BMP P Tracking Table'!$AA258)*-'BMP P Tracking Table'!$AX258)))/(2*(149.919*'BMP P Tracking Table'!$X258+236.676*'BMP P Tracking Table'!$Y258+726*'BMP P Tracking Table'!$Z258+996.798*'BMP P Tracking Table'!$AA258)))))),"")</f>
        <v/>
      </c>
      <c r="BB258" s="102" t="str">
        <f>IFERROR((VLOOKUP(CONCATENATE('BMP P Tracking Table'!$AW258," ",'BMP P Tracking Table'!$AY258),'Performance Curves'!$C$1:$L$46,_xlfn.SINGLE(MATCH('BMP P Tracking Table'!$BA258,'Performance Curves'!$D$1:$L$1,1))+2,FALSE)-VLOOKUP(CONCATENATE('BMP P Tracking Table'!$AW258," ",'BMP P Tracking Table'!$AY258),'Performance Curves'!$C$1:$L$46,_xlfn.SINGLE(MATCH('BMP P Tracking Table'!$BA258,'Performance Curves'!$D$1:$L$1,1))+1,FALSE)),"")</f>
        <v/>
      </c>
      <c r="BC258" s="102" t="str">
        <f>IFERROR(('BMP P Tracking Table'!$BA258-INDEX('Performance Curves'!$D$1:$L$1,1,MATCH('BMP P Tracking Table'!$BA258,'Performance Curves'!$D$1:$L$1,1)))/(INDEX('Performance Curves'!$D$1:$L$1,1,MATCH('BMP P Tracking Table'!$BA258,'Performance Curves'!$D$1:$L$1,1)+1)-INDEX('Performance Curves'!$D$1:$L$1,1,MATCH('BMP P Tracking Table'!$BA258,'Performance Curves'!$D$1:$L$1,1))),"")</f>
        <v/>
      </c>
      <c r="BD258" s="103" t="str" cm="1">
        <f t="array" ref="BD258">IFERROR(IF('BMP P Tracking Table'!$BA258=2,VLOOKUP(CONCATENATE('BMP P Tracking Table'!$AW258," ",'BMP P Tracking Table'!$AY258),'Performance Curves'!$C$1:$L$44,_xlfn.SINGLE(MATCH('BMP P Tracking Table'!$BA258,'Performance Curves'!$D$1:$L$1,1))+1,FALSE),'BMP P Tracking Table'!$BB258*'BMP P Tracking Table'!$BC258+VLOOKUP(CONCATENATE('BMP P Tracking Table'!$AW258," ",'BMP P Tracking Table'!$AY258),'Performance Curves'!$C$1:$L$44,_xlfn.SINGLE(MATCH('BMP P Tracking Table'!$BA258,'Performance Curves'!$D$1:$L$1,1))+1,FALSE)),"")</f>
        <v/>
      </c>
      <c r="BE258" s="104" t="str">
        <f>IFERROR('BMP P Tracking Table'!$BD258*'BMP P Tracking Table'!$AZ258,"")</f>
        <v/>
      </c>
      <c r="BF258" s="98"/>
      <c r="BG258" s="37">
        <f t="shared" si="36"/>
        <v>0</v>
      </c>
    </row>
    <row r="259" spans="2:59" s="36" customFormat="1">
      <c r="B259" s="65"/>
      <c r="C259" s="65"/>
      <c r="D259" s="65"/>
      <c r="E259" s="65"/>
      <c r="F259" s="94"/>
      <c r="G259" s="94"/>
      <c r="H259" s="65"/>
      <c r="I259" s="65"/>
      <c r="J259" s="65"/>
      <c r="K259" s="95"/>
      <c r="L259" s="65"/>
      <c r="M259" s="65"/>
      <c r="N259" s="65"/>
      <c r="O259" s="65"/>
      <c r="P259" s="65"/>
      <c r="Q259" s="65"/>
      <c r="R259" s="65" t="str">
        <f>IFERROR(VLOOKUP('BMP P Tracking Table'!$Q259,Dropdowns!$C$2:$E$15,3,FALSE),"")</f>
        <v/>
      </c>
      <c r="S259" s="65" t="str">
        <f>IFERROR(VLOOKUP('BMP P Tracking Table'!$R259,Dropdowns!$Q$3:$R$23,2,FALSE),"")</f>
        <v/>
      </c>
      <c r="T259" s="65"/>
      <c r="U259" s="65"/>
      <c r="V259" s="65"/>
      <c r="W259" s="65"/>
      <c r="X259" s="65"/>
      <c r="Y259" s="65"/>
      <c r="Z259" s="65"/>
      <c r="AA259" s="65"/>
      <c r="AB259" s="65"/>
      <c r="AC259" s="97"/>
      <c r="AD259" s="65"/>
      <c r="AE259" s="104" t="str">
        <f>IFERROR('BMP P Tracking Table'!$V259*VLOOKUP('BMP P Tracking Table'!$R259,'Loading Rates'!$B$1:$L$24,4,FALSE)+IF('BMP P Tracking Table'!$W259="By HSG",'BMP P Tracking Table'!$X259*VLOOKUP('BMP P Tracking Table'!$R259,'Loading Rates'!$B$1:$L$24,6,FALSE)+'BMP P Tracking Table'!$Y259*VLOOKUP('BMP P Tracking Table'!$R259,'Loading Rates'!$B$1:$L$24,7,FALSE)+'BMP P Tracking Table'!$Z259*VLOOKUP('BMP P Tracking Table'!$R259,'Loading Rates'!$B$1:$L$24,8,FALSE)+'BMP P Tracking Table'!$AA259*VLOOKUP('BMP P Tracking Table'!$R259,'Loading Rates'!$B$1:$L$24,9,FALSE),'BMP P Tracking Table'!$AB259*VLOOKUP('BMP P Tracking Table'!$R259,'Loading Rates'!$B$1:$L$24,10,FALSE)),"")</f>
        <v/>
      </c>
      <c r="AF259" s="104" t="str">
        <f>IFERROR(MIN(2,IF('BMP P Tracking Table'!$W259="Total Pervious",(-(3630*'BMP P Tracking Table'!$V259+20.691*'BMP P Tracking Table'!$AB259)+SQRT((3630*'BMP P Tracking Table'!$V259+20.691*'BMP P Tracking Table'!$AB259)^2-(4*(996.798*'BMP P Tracking Table'!$AB259)*-'BMP P Tracking Table'!$AC259)))/(2*(996.798*'BMP P Tracking Table'!$AB259)),IF(SUM('BMP P Tracking Table'!$X259:$AA259)=0,'BMP P Tracking Table'!$AC259/(-3630*'BMP P Tracking Table'!$V259),(-(3630*'BMP P Tracking Table'!$V259+20.691*'BMP P Tracking Table'!$AA259-216.711*'BMP P Tracking Table'!$Z259-83.853*'BMP P Tracking Table'!$Y259-42.834*'BMP P Tracking Table'!$X259)+SQRT((3630*'BMP P Tracking Table'!$V259+20.691*'BMP P Tracking Table'!$AA259-216.711*'BMP P Tracking Table'!$Z259-83.853*'BMP P Tracking Table'!$Y259-42.834*'BMP P Tracking Table'!$X259)^2-(4*(149.919*'BMP P Tracking Table'!$X259+236.676*'BMP P Tracking Table'!$Y259+726*'BMP P Tracking Table'!$Z259+996.798*'BMP P Tracking Table'!$AA259)*-'BMP P Tracking Table'!$AC259)))/(2*(149.919*'BMP P Tracking Table'!$X259+236.676*'BMP P Tracking Table'!$Y259+726*'BMP P Tracking Table'!$Z259+996.798*'BMP P Tracking Table'!$AA259))))),"")</f>
        <v/>
      </c>
      <c r="AG259" s="104" t="str">
        <f>IFERROR((VLOOKUP(CONCATENATE('BMP P Tracking Table'!$U259," ",'BMP P Tracking Table'!$AD259),'Performance Curves'!$C$1:$L$46,_xlfn.SINGLE(MATCH('BMP P Tracking Table'!$AF259,'Performance Curves'!$D$1:$L$1,1))+2,FALSE)-VLOOKUP(CONCATENATE('BMP P Tracking Table'!$U259," ",'BMP P Tracking Table'!$AD259),'Performance Curves'!$C$1:$L$46,_xlfn.SINGLE(MATCH('BMP P Tracking Table'!$AF259,'Performance Curves'!$D$1:$L$1,1))+1,FALSE)),"")</f>
        <v/>
      </c>
      <c r="AH259" s="104" t="str">
        <f>IFERROR(('BMP P Tracking Table'!$AF259-INDEX('Performance Curves'!$D$1:$L$1,1,MATCH('BMP P Tracking Table'!$AF259,'Performance Curves'!$D$1:$L$1,1)))/(INDEX('Performance Curves'!$D$1:$L$1,1,MATCH('BMP P Tracking Table'!$AF259,'Performance Curves'!$D$1:$L$1,1)+1)-INDEX('Performance Curves'!$D$1:$L$1,1,MATCH('BMP P Tracking Table'!$AF259,'Performance Curves'!$D$1:$L$1,1))),"")</f>
        <v/>
      </c>
      <c r="AI259" s="103" t="str">
        <f>IFERROR(IF('BMP P Tracking Table'!$AF259=2,VLOOKUP(CONCATENATE('BMP P Tracking Table'!$U259," ",'BMP P Tracking Table'!$AD259),'Performance Curves'!$C$1:$L$46,_xlfn.SINGLE(MATCH('BMP P Tracking Table'!$AF259,'Performance Curves'!$D$1:$L$1,1))+1,FALSE),'BMP P Tracking Table'!$AG259*'BMP P Tracking Table'!$AH259+VLOOKUP(CONCATENATE('BMP P Tracking Table'!$U259," ",'BMP P Tracking Table'!$AD259),'Performance Curves'!$C$1:$L$46,_xlfn.SINGLE(MATCH('BMP P Tracking Table'!$AF259,'Performance Curves'!$D$1:$L$1,1))+1,FALSE)),"")</f>
        <v/>
      </c>
      <c r="AJ259" s="104" t="str">
        <f>IFERROR('BMP P Tracking Table'!$AI259*'BMP P Tracking Table'!$AE259,"")</f>
        <v/>
      </c>
      <c r="AK259" s="65"/>
      <c r="AL259" s="98"/>
      <c r="AM259" s="98"/>
      <c r="AN259" s="64">
        <v>1</v>
      </c>
      <c r="AO259" s="102" t="str">
        <f t="shared" si="35"/>
        <v/>
      </c>
      <c r="AP259" s="98"/>
      <c r="AQ259" s="98"/>
      <c r="AR259" s="98"/>
      <c r="AS259" s="98"/>
      <c r="AT259" s="98"/>
      <c r="AU259" s="98"/>
      <c r="AV259" s="98"/>
      <c r="AW259" s="65"/>
      <c r="AX259" s="99"/>
      <c r="AY259" s="99"/>
      <c r="AZ259" s="104" t="str">
        <f>IF('BMP P Tracking Table'!$AL259="Yes",IF('BMP P Tracking Table'!$AM259="No",'BMP P Tracking Table'!$V259*VLOOKUP('BMP P Tracking Table'!$R259,'Loading Rates'!$B$1:$L$24,4,FALSE)+IF('BMP P Tracking Table'!$W259="By HSG",'BMP P Tracking Table'!$X259*VLOOKUP('BMP P Tracking Table'!$R259,'Loading Rates'!$B$1:$L$24,6,FALSE)+'BMP P Tracking Table'!$Y259*VLOOKUP('BMP P Tracking Table'!$R259,'Loading Rates'!$B$1:$L$24,7,FALSE)+'BMP P Tracking Table'!$Z259*VLOOKUP('BMP P Tracking Table'!$R259,'Loading Rates'!$B$1:$L$24,8,FALSE)+'BMP P Tracking Table'!$AA259*VLOOKUP('BMP P Tracking Table'!$R259,'Loading Rates'!$B$1:$L$24,9,FALSE),'BMP P Tracking Table'!$AB259*VLOOKUP('BMP P Tracking Table'!$R259,'Loading Rates'!$B$1:$L$24,10,FALSE)),'BMP P Tracking Table'!$AP259*VLOOKUP('BMP P Tracking Table'!$R259,'Loading Rates'!$B$1:$L$24,4,FALSE)+IF('BMP P Tracking Table'!$AQ259="By HSG",'BMP P Tracking Table'!$AR259*VLOOKUP('BMP P Tracking Table'!$R259,'Loading Rates'!$B$1:$L$24,6,FALSE)+'BMP P Tracking Table'!$AS259*VLOOKUP('BMP P Tracking Table'!$R259,'Loading Rates'!$B$1:$L$24,7,FALSE)+'BMP P Tracking Table'!$AT259*VLOOKUP('BMP P Tracking Table'!$R259,'Loading Rates'!$B$1:$L$24,8,FALSE)+'BMP P Tracking Table'!$AU259*VLOOKUP('BMP P Tracking Table'!$R259,'Loading Rates'!$B$1:$L$24,9,FALSE),'BMP P Tracking Table'!$AV259*VLOOKUP('BMP P Tracking Table'!$R259,'Loading Rates'!$B$1:$L$24,10,FALSE))),"")</f>
        <v/>
      </c>
      <c r="BA259" s="104" t="str">
        <f>IFERROR(IF('BMP P Tracking Table'!$AM259="Yes",MIN(2,IF('BMP P Tracking Table'!$AQ259="Total Pervious",(-(3630*'BMP P Tracking Table'!$AP259+20.691*'BMP P Tracking Table'!$AV259)+SQRT((3630*'BMP P Tracking Table'!$AP259+20.691*'BMP P Tracking Table'!$AV259)^2-(4*(996.798*'BMP P Tracking Table'!$AV259)*-'BMP P Tracking Table'!$AX259)))/(2*(996.798*'BMP P Tracking Table'!$AV259)),IF(SUM('BMP P Tracking Table'!$AR259:$AU259)=0,'BMP P Tracking Table'!$AV259/(-3630*'BMP P Tracking Table'!$AP259),(-(3630*'BMP P Tracking Table'!$AP259+20.691*'BMP P Tracking Table'!$AU259-216.711*'BMP P Tracking Table'!$AT259-83.853*'BMP P Tracking Table'!$AS259-42.834*'BMP P Tracking Table'!$AR259)+SQRT((3630*'BMP P Tracking Table'!$AP259+20.691*'BMP P Tracking Table'!$AU259-216.711*'BMP P Tracking Table'!$AT259-83.853*'BMP P Tracking Table'!$AS259-42.834*'BMP P Tracking Table'!$AR259)^2-(4*(149.919*'BMP P Tracking Table'!$AR259+236.676*'BMP P Tracking Table'!$AS259+726*'BMP P Tracking Table'!$AT259+996.798*'BMP P Tracking Table'!$AU259)*-'BMP P Tracking Table'!$AX259)))/(2*(149.919*'BMP P Tracking Table'!$AR259+236.676*'BMP P Tracking Table'!$AS259+726*'BMP P Tracking Table'!$AT259+996.798*'BMP P Tracking Table'!$AU259))))),MIN(2,IF('BMP P Tracking Table'!$AQ259="Total Pervious",(-(3630*'BMP P Tracking Table'!$V259+20.691*'BMP P Tracking Table'!$AB259)+SQRT((3630*'BMP P Tracking Table'!$V259+20.691*'BMP P Tracking Table'!$AB259)^2-(4*(996.798*'BMP P Tracking Table'!$AB259)*-'BMP P Tracking Table'!$AX259)))/(2*(996.798*'BMP P Tracking Table'!$AB259)),IF(SUM('BMP P Tracking Table'!$X259:$AA259)=0,'BMP P Tracking Table'!$AX259/(-3630*'BMP P Tracking Table'!$V259),(-(3630*'BMP P Tracking Table'!$V259+20.691*'BMP P Tracking Table'!$AA259-216.711*'BMP P Tracking Table'!$Z259-83.853*'BMP P Tracking Table'!$Y259-42.834*'BMP P Tracking Table'!$X259)+SQRT((3630*'BMP P Tracking Table'!$V259+20.691*'BMP P Tracking Table'!$AA259-216.711*'BMP P Tracking Table'!$Z259-83.853*'BMP P Tracking Table'!$Y259-42.834*'BMP P Tracking Table'!$X259)^2-(4*(149.919*'BMP P Tracking Table'!$X259+236.676*'BMP P Tracking Table'!$Y259+726*'BMP P Tracking Table'!$Z259+996.798*'BMP P Tracking Table'!$AA259)*-'BMP P Tracking Table'!$AX259)))/(2*(149.919*'BMP P Tracking Table'!$X259+236.676*'BMP P Tracking Table'!$Y259+726*'BMP P Tracking Table'!$Z259+996.798*'BMP P Tracking Table'!$AA259)))))),"")</f>
        <v/>
      </c>
      <c r="BB259" s="102" t="str">
        <f>IFERROR((VLOOKUP(CONCATENATE('BMP P Tracking Table'!$AW259," ",'BMP P Tracking Table'!$AY259),'Performance Curves'!$C$1:$L$46,_xlfn.SINGLE(MATCH('BMP P Tracking Table'!$BA259,'Performance Curves'!$D$1:$L$1,1))+2,FALSE)-VLOOKUP(CONCATENATE('BMP P Tracking Table'!$AW259," ",'BMP P Tracking Table'!$AY259),'Performance Curves'!$C$1:$L$46,_xlfn.SINGLE(MATCH('BMP P Tracking Table'!$BA259,'Performance Curves'!$D$1:$L$1,1))+1,FALSE)),"")</f>
        <v/>
      </c>
      <c r="BC259" s="102" t="str">
        <f>IFERROR(('BMP P Tracking Table'!$BA259-INDEX('Performance Curves'!$D$1:$L$1,1,MATCH('BMP P Tracking Table'!$BA259,'Performance Curves'!$D$1:$L$1,1)))/(INDEX('Performance Curves'!$D$1:$L$1,1,MATCH('BMP P Tracking Table'!$BA259,'Performance Curves'!$D$1:$L$1,1)+1)-INDEX('Performance Curves'!$D$1:$L$1,1,MATCH('BMP P Tracking Table'!$BA259,'Performance Curves'!$D$1:$L$1,1))),"")</f>
        <v/>
      </c>
      <c r="BD259" s="103" t="str" cm="1">
        <f t="array" ref="BD259">IFERROR(IF('BMP P Tracking Table'!$BA259=2,VLOOKUP(CONCATENATE('BMP P Tracking Table'!$AW259," ",'BMP P Tracking Table'!$AY259),'Performance Curves'!$C$1:$L$44,_xlfn.SINGLE(MATCH('BMP P Tracking Table'!$BA259,'Performance Curves'!$D$1:$L$1,1))+1,FALSE),'BMP P Tracking Table'!$BB259*'BMP P Tracking Table'!$BC259+VLOOKUP(CONCATENATE('BMP P Tracking Table'!$AW259," ",'BMP P Tracking Table'!$AY259),'Performance Curves'!$C$1:$L$44,_xlfn.SINGLE(MATCH('BMP P Tracking Table'!$BA259,'Performance Curves'!$D$1:$L$1,1))+1,FALSE)),"")</f>
        <v/>
      </c>
      <c r="BE259" s="104" t="str">
        <f>IFERROR('BMP P Tracking Table'!$BD259*'BMP P Tracking Table'!$AZ259,"")</f>
        <v/>
      </c>
      <c r="BF259" s="98"/>
      <c r="BG259" s="37">
        <f t="shared" si="36"/>
        <v>0</v>
      </c>
    </row>
    <row r="260" spans="2:59" s="36" customFormat="1">
      <c r="B260" s="65"/>
      <c r="C260" s="65"/>
      <c r="D260" s="65"/>
      <c r="E260" s="65"/>
      <c r="F260" s="94"/>
      <c r="G260" s="94"/>
      <c r="H260" s="65"/>
      <c r="I260" s="65"/>
      <c r="J260" s="65"/>
      <c r="K260" s="95"/>
      <c r="L260" s="65"/>
      <c r="M260" s="65"/>
      <c r="N260" s="65"/>
      <c r="O260" s="65"/>
      <c r="P260" s="65"/>
      <c r="Q260" s="65"/>
      <c r="R260" s="65" t="str">
        <f>IFERROR(VLOOKUP('BMP P Tracking Table'!$Q260,Dropdowns!$C$2:$E$15,3,FALSE),"")</f>
        <v/>
      </c>
      <c r="S260" s="65" t="str">
        <f>IFERROR(VLOOKUP('BMP P Tracking Table'!$R260,Dropdowns!$Q$3:$R$23,2,FALSE),"")</f>
        <v/>
      </c>
      <c r="T260" s="65"/>
      <c r="U260" s="65"/>
      <c r="V260" s="65"/>
      <c r="W260" s="65"/>
      <c r="X260" s="65"/>
      <c r="Y260" s="65"/>
      <c r="Z260" s="65"/>
      <c r="AA260" s="65"/>
      <c r="AB260" s="65"/>
      <c r="AC260" s="97"/>
      <c r="AD260" s="65"/>
      <c r="AE260" s="104" t="str">
        <f>IFERROR('BMP P Tracking Table'!$V260*VLOOKUP('BMP P Tracking Table'!$R260,'Loading Rates'!$B$1:$L$24,4,FALSE)+IF('BMP P Tracking Table'!$W260="By HSG",'BMP P Tracking Table'!$X260*VLOOKUP('BMP P Tracking Table'!$R260,'Loading Rates'!$B$1:$L$24,6,FALSE)+'BMP P Tracking Table'!$Y260*VLOOKUP('BMP P Tracking Table'!$R260,'Loading Rates'!$B$1:$L$24,7,FALSE)+'BMP P Tracking Table'!$Z260*VLOOKUP('BMP P Tracking Table'!$R260,'Loading Rates'!$B$1:$L$24,8,FALSE)+'BMP P Tracking Table'!$AA260*VLOOKUP('BMP P Tracking Table'!$R260,'Loading Rates'!$B$1:$L$24,9,FALSE),'BMP P Tracking Table'!$AB260*VLOOKUP('BMP P Tracking Table'!$R260,'Loading Rates'!$B$1:$L$24,10,FALSE)),"")</f>
        <v/>
      </c>
      <c r="AF260" s="104" t="str">
        <f>IFERROR(MIN(2,IF('BMP P Tracking Table'!$W260="Total Pervious",(-(3630*'BMP P Tracking Table'!$V260+20.691*'BMP P Tracking Table'!$AB260)+SQRT((3630*'BMP P Tracking Table'!$V260+20.691*'BMP P Tracking Table'!$AB260)^2-(4*(996.798*'BMP P Tracking Table'!$AB260)*-'BMP P Tracking Table'!$AC260)))/(2*(996.798*'BMP P Tracking Table'!$AB260)),IF(SUM('BMP P Tracking Table'!$X260:$AA260)=0,'BMP P Tracking Table'!$AC260/(-3630*'BMP P Tracking Table'!$V260),(-(3630*'BMP P Tracking Table'!$V260+20.691*'BMP P Tracking Table'!$AA260-216.711*'BMP P Tracking Table'!$Z260-83.853*'BMP P Tracking Table'!$Y260-42.834*'BMP P Tracking Table'!$X260)+SQRT((3630*'BMP P Tracking Table'!$V260+20.691*'BMP P Tracking Table'!$AA260-216.711*'BMP P Tracking Table'!$Z260-83.853*'BMP P Tracking Table'!$Y260-42.834*'BMP P Tracking Table'!$X260)^2-(4*(149.919*'BMP P Tracking Table'!$X260+236.676*'BMP P Tracking Table'!$Y260+726*'BMP P Tracking Table'!$Z260+996.798*'BMP P Tracking Table'!$AA260)*-'BMP P Tracking Table'!$AC260)))/(2*(149.919*'BMP P Tracking Table'!$X260+236.676*'BMP P Tracking Table'!$Y260+726*'BMP P Tracking Table'!$Z260+996.798*'BMP P Tracking Table'!$AA260))))),"")</f>
        <v/>
      </c>
      <c r="AG260" s="104" t="str">
        <f>IFERROR((VLOOKUP(CONCATENATE('BMP P Tracking Table'!$U260," ",'BMP P Tracking Table'!$AD260),'Performance Curves'!$C$1:$L$46,_xlfn.SINGLE(MATCH('BMP P Tracking Table'!$AF260,'Performance Curves'!$D$1:$L$1,1))+2,FALSE)-VLOOKUP(CONCATENATE('BMP P Tracking Table'!$U260," ",'BMP P Tracking Table'!$AD260),'Performance Curves'!$C$1:$L$46,_xlfn.SINGLE(MATCH('BMP P Tracking Table'!$AF260,'Performance Curves'!$D$1:$L$1,1))+1,FALSE)),"")</f>
        <v/>
      </c>
      <c r="AH260" s="104" t="str">
        <f>IFERROR(('BMP P Tracking Table'!$AF260-INDEX('Performance Curves'!$D$1:$L$1,1,MATCH('BMP P Tracking Table'!$AF260,'Performance Curves'!$D$1:$L$1,1)))/(INDEX('Performance Curves'!$D$1:$L$1,1,MATCH('BMP P Tracking Table'!$AF260,'Performance Curves'!$D$1:$L$1,1)+1)-INDEX('Performance Curves'!$D$1:$L$1,1,MATCH('BMP P Tracking Table'!$AF260,'Performance Curves'!$D$1:$L$1,1))),"")</f>
        <v/>
      </c>
      <c r="AI260" s="103" t="str">
        <f>IFERROR(IF('BMP P Tracking Table'!$AF260=2,VLOOKUP(CONCATENATE('BMP P Tracking Table'!$U260," ",'BMP P Tracking Table'!$AD260),'Performance Curves'!$C$1:$L$46,_xlfn.SINGLE(MATCH('BMP P Tracking Table'!$AF260,'Performance Curves'!$D$1:$L$1,1))+1,FALSE),'BMP P Tracking Table'!$AG260*'BMP P Tracking Table'!$AH260+VLOOKUP(CONCATENATE('BMP P Tracking Table'!$U260," ",'BMP P Tracking Table'!$AD260),'Performance Curves'!$C$1:$L$46,_xlfn.SINGLE(MATCH('BMP P Tracking Table'!$AF260,'Performance Curves'!$D$1:$L$1,1))+1,FALSE)),"")</f>
        <v/>
      </c>
      <c r="AJ260" s="104" t="str">
        <f>IFERROR('BMP P Tracking Table'!$AI260*'BMP P Tracking Table'!$AE260,"")</f>
        <v/>
      </c>
      <c r="AK260" s="65"/>
      <c r="AL260" s="98"/>
      <c r="AM260" s="98"/>
      <c r="AN260" s="64">
        <v>1</v>
      </c>
      <c r="AO260" s="102" t="str">
        <f t="shared" si="35"/>
        <v/>
      </c>
      <c r="AP260" s="98"/>
      <c r="AQ260" s="98"/>
      <c r="AR260" s="98"/>
      <c r="AS260" s="98"/>
      <c r="AT260" s="98"/>
      <c r="AU260" s="98"/>
      <c r="AV260" s="98"/>
      <c r="AW260" s="65"/>
      <c r="AX260" s="99"/>
      <c r="AY260" s="99"/>
      <c r="AZ260" s="104" t="str">
        <f>IF('BMP P Tracking Table'!$AL260="Yes",IF('BMP P Tracking Table'!$AM260="No",'BMP P Tracking Table'!$V260*VLOOKUP('BMP P Tracking Table'!$R260,'Loading Rates'!$B$1:$L$24,4,FALSE)+IF('BMP P Tracking Table'!$W260="By HSG",'BMP P Tracking Table'!$X260*VLOOKUP('BMP P Tracking Table'!$R260,'Loading Rates'!$B$1:$L$24,6,FALSE)+'BMP P Tracking Table'!$Y260*VLOOKUP('BMP P Tracking Table'!$R260,'Loading Rates'!$B$1:$L$24,7,FALSE)+'BMP P Tracking Table'!$Z260*VLOOKUP('BMP P Tracking Table'!$R260,'Loading Rates'!$B$1:$L$24,8,FALSE)+'BMP P Tracking Table'!$AA260*VLOOKUP('BMP P Tracking Table'!$R260,'Loading Rates'!$B$1:$L$24,9,FALSE),'BMP P Tracking Table'!$AB260*VLOOKUP('BMP P Tracking Table'!$R260,'Loading Rates'!$B$1:$L$24,10,FALSE)),'BMP P Tracking Table'!$AP260*VLOOKUP('BMP P Tracking Table'!$R260,'Loading Rates'!$B$1:$L$24,4,FALSE)+IF('BMP P Tracking Table'!$AQ260="By HSG",'BMP P Tracking Table'!$AR260*VLOOKUP('BMP P Tracking Table'!$R260,'Loading Rates'!$B$1:$L$24,6,FALSE)+'BMP P Tracking Table'!$AS260*VLOOKUP('BMP P Tracking Table'!$R260,'Loading Rates'!$B$1:$L$24,7,FALSE)+'BMP P Tracking Table'!$AT260*VLOOKUP('BMP P Tracking Table'!$R260,'Loading Rates'!$B$1:$L$24,8,FALSE)+'BMP P Tracking Table'!$AU260*VLOOKUP('BMP P Tracking Table'!$R260,'Loading Rates'!$B$1:$L$24,9,FALSE),'BMP P Tracking Table'!$AV260*VLOOKUP('BMP P Tracking Table'!$R260,'Loading Rates'!$B$1:$L$24,10,FALSE))),"")</f>
        <v/>
      </c>
      <c r="BA260" s="104" t="str">
        <f>IFERROR(IF('BMP P Tracking Table'!$AM260="Yes",MIN(2,IF('BMP P Tracking Table'!$AQ260="Total Pervious",(-(3630*'BMP P Tracking Table'!$AP260+20.691*'BMP P Tracking Table'!$AV260)+SQRT((3630*'BMP P Tracking Table'!$AP260+20.691*'BMP P Tracking Table'!$AV260)^2-(4*(996.798*'BMP P Tracking Table'!$AV260)*-'BMP P Tracking Table'!$AX260)))/(2*(996.798*'BMP P Tracking Table'!$AV260)),IF(SUM('BMP P Tracking Table'!$AR260:$AU260)=0,'BMP P Tracking Table'!$AV260/(-3630*'BMP P Tracking Table'!$AP260),(-(3630*'BMP P Tracking Table'!$AP260+20.691*'BMP P Tracking Table'!$AU260-216.711*'BMP P Tracking Table'!$AT260-83.853*'BMP P Tracking Table'!$AS260-42.834*'BMP P Tracking Table'!$AR260)+SQRT((3630*'BMP P Tracking Table'!$AP260+20.691*'BMP P Tracking Table'!$AU260-216.711*'BMP P Tracking Table'!$AT260-83.853*'BMP P Tracking Table'!$AS260-42.834*'BMP P Tracking Table'!$AR260)^2-(4*(149.919*'BMP P Tracking Table'!$AR260+236.676*'BMP P Tracking Table'!$AS260+726*'BMP P Tracking Table'!$AT260+996.798*'BMP P Tracking Table'!$AU260)*-'BMP P Tracking Table'!$AX260)))/(2*(149.919*'BMP P Tracking Table'!$AR260+236.676*'BMP P Tracking Table'!$AS260+726*'BMP P Tracking Table'!$AT260+996.798*'BMP P Tracking Table'!$AU260))))),MIN(2,IF('BMP P Tracking Table'!$AQ260="Total Pervious",(-(3630*'BMP P Tracking Table'!$V260+20.691*'BMP P Tracking Table'!$AB260)+SQRT((3630*'BMP P Tracking Table'!$V260+20.691*'BMP P Tracking Table'!$AB260)^2-(4*(996.798*'BMP P Tracking Table'!$AB260)*-'BMP P Tracking Table'!$AX260)))/(2*(996.798*'BMP P Tracking Table'!$AB260)),IF(SUM('BMP P Tracking Table'!$X260:$AA260)=0,'BMP P Tracking Table'!$AX260/(-3630*'BMP P Tracking Table'!$V260),(-(3630*'BMP P Tracking Table'!$V260+20.691*'BMP P Tracking Table'!$AA260-216.711*'BMP P Tracking Table'!$Z260-83.853*'BMP P Tracking Table'!$Y260-42.834*'BMP P Tracking Table'!$X260)+SQRT((3630*'BMP P Tracking Table'!$V260+20.691*'BMP P Tracking Table'!$AA260-216.711*'BMP P Tracking Table'!$Z260-83.853*'BMP P Tracking Table'!$Y260-42.834*'BMP P Tracking Table'!$X260)^2-(4*(149.919*'BMP P Tracking Table'!$X260+236.676*'BMP P Tracking Table'!$Y260+726*'BMP P Tracking Table'!$Z260+996.798*'BMP P Tracking Table'!$AA260)*-'BMP P Tracking Table'!$AX260)))/(2*(149.919*'BMP P Tracking Table'!$X260+236.676*'BMP P Tracking Table'!$Y260+726*'BMP P Tracking Table'!$Z260+996.798*'BMP P Tracking Table'!$AA260)))))),"")</f>
        <v/>
      </c>
      <c r="BB260" s="102" t="str">
        <f>IFERROR((VLOOKUP(CONCATENATE('BMP P Tracking Table'!$AW260," ",'BMP P Tracking Table'!$AY260),'Performance Curves'!$C$1:$L$46,_xlfn.SINGLE(MATCH('BMP P Tracking Table'!$BA260,'Performance Curves'!$D$1:$L$1,1))+2,FALSE)-VLOOKUP(CONCATENATE('BMP P Tracking Table'!$AW260," ",'BMP P Tracking Table'!$AY260),'Performance Curves'!$C$1:$L$46,_xlfn.SINGLE(MATCH('BMP P Tracking Table'!$BA260,'Performance Curves'!$D$1:$L$1,1))+1,FALSE)),"")</f>
        <v/>
      </c>
      <c r="BC260" s="102" t="str">
        <f>IFERROR(('BMP P Tracking Table'!$BA260-INDEX('Performance Curves'!$D$1:$L$1,1,MATCH('BMP P Tracking Table'!$BA260,'Performance Curves'!$D$1:$L$1,1)))/(INDEX('Performance Curves'!$D$1:$L$1,1,MATCH('BMP P Tracking Table'!$BA260,'Performance Curves'!$D$1:$L$1,1)+1)-INDEX('Performance Curves'!$D$1:$L$1,1,MATCH('BMP P Tracking Table'!$BA260,'Performance Curves'!$D$1:$L$1,1))),"")</f>
        <v/>
      </c>
      <c r="BD260" s="103" t="str" cm="1">
        <f t="array" ref="BD260">IFERROR(IF('BMP P Tracking Table'!$BA260=2,VLOOKUP(CONCATENATE('BMP P Tracking Table'!$AW260," ",'BMP P Tracking Table'!$AY260),'Performance Curves'!$C$1:$L$44,_xlfn.SINGLE(MATCH('BMP P Tracking Table'!$BA260,'Performance Curves'!$D$1:$L$1,1))+1,FALSE),'BMP P Tracking Table'!$BB260*'BMP P Tracking Table'!$BC260+VLOOKUP(CONCATENATE('BMP P Tracking Table'!$AW260," ",'BMP P Tracking Table'!$AY260),'Performance Curves'!$C$1:$L$44,_xlfn.SINGLE(MATCH('BMP P Tracking Table'!$BA260,'Performance Curves'!$D$1:$L$1,1))+1,FALSE)),"")</f>
        <v/>
      </c>
      <c r="BE260" s="104" t="str">
        <f>IFERROR('BMP P Tracking Table'!$BD260*'BMP P Tracking Table'!$AZ260,"")</f>
        <v/>
      </c>
      <c r="BF260" s="98"/>
      <c r="BG260" s="37">
        <f t="shared" si="36"/>
        <v>0</v>
      </c>
    </row>
    <row r="261" spans="2:59" s="36" customFormat="1">
      <c r="B261" s="65"/>
      <c r="C261" s="65"/>
      <c r="D261" s="65"/>
      <c r="E261" s="65"/>
      <c r="F261" s="94"/>
      <c r="G261" s="94"/>
      <c r="H261" s="65"/>
      <c r="I261" s="65"/>
      <c r="J261" s="65"/>
      <c r="K261" s="95"/>
      <c r="L261" s="65"/>
      <c r="M261" s="65"/>
      <c r="N261" s="65"/>
      <c r="O261" s="65"/>
      <c r="P261" s="65"/>
      <c r="Q261" s="65"/>
      <c r="R261" s="65" t="str">
        <f>IFERROR(VLOOKUP('BMP P Tracking Table'!$Q261,Dropdowns!$C$2:$E$15,3,FALSE),"")</f>
        <v/>
      </c>
      <c r="S261" s="65" t="str">
        <f>IFERROR(VLOOKUP('BMP P Tracking Table'!$R261,Dropdowns!$Q$3:$R$23,2,FALSE),"")</f>
        <v/>
      </c>
      <c r="T261" s="65"/>
      <c r="U261" s="65"/>
      <c r="V261" s="65"/>
      <c r="W261" s="65"/>
      <c r="X261" s="65"/>
      <c r="Y261" s="65"/>
      <c r="Z261" s="65"/>
      <c r="AA261" s="65"/>
      <c r="AB261" s="65"/>
      <c r="AC261" s="97"/>
      <c r="AD261" s="65"/>
      <c r="AE261" s="104" t="str">
        <f>IFERROR('BMP P Tracking Table'!$V261*VLOOKUP('BMP P Tracking Table'!$R261,'Loading Rates'!$B$1:$L$24,4,FALSE)+IF('BMP P Tracking Table'!$W261="By HSG",'BMP P Tracking Table'!$X261*VLOOKUP('BMP P Tracking Table'!$R261,'Loading Rates'!$B$1:$L$24,6,FALSE)+'BMP P Tracking Table'!$Y261*VLOOKUP('BMP P Tracking Table'!$R261,'Loading Rates'!$B$1:$L$24,7,FALSE)+'BMP P Tracking Table'!$Z261*VLOOKUP('BMP P Tracking Table'!$R261,'Loading Rates'!$B$1:$L$24,8,FALSE)+'BMP P Tracking Table'!$AA261*VLOOKUP('BMP P Tracking Table'!$R261,'Loading Rates'!$B$1:$L$24,9,FALSE),'BMP P Tracking Table'!$AB261*VLOOKUP('BMP P Tracking Table'!$R261,'Loading Rates'!$B$1:$L$24,10,FALSE)),"")</f>
        <v/>
      </c>
      <c r="AF261" s="104" t="str">
        <f>IFERROR(MIN(2,IF('BMP P Tracking Table'!$W261="Total Pervious",(-(3630*'BMP P Tracking Table'!$V261+20.691*'BMP P Tracking Table'!$AB261)+SQRT((3630*'BMP P Tracking Table'!$V261+20.691*'BMP P Tracking Table'!$AB261)^2-(4*(996.798*'BMP P Tracking Table'!$AB261)*-'BMP P Tracking Table'!$AC261)))/(2*(996.798*'BMP P Tracking Table'!$AB261)),IF(SUM('BMP P Tracking Table'!$X261:$AA261)=0,'BMP P Tracking Table'!$AC261/(-3630*'BMP P Tracking Table'!$V261),(-(3630*'BMP P Tracking Table'!$V261+20.691*'BMP P Tracking Table'!$AA261-216.711*'BMP P Tracking Table'!$Z261-83.853*'BMP P Tracking Table'!$Y261-42.834*'BMP P Tracking Table'!$X261)+SQRT((3630*'BMP P Tracking Table'!$V261+20.691*'BMP P Tracking Table'!$AA261-216.711*'BMP P Tracking Table'!$Z261-83.853*'BMP P Tracking Table'!$Y261-42.834*'BMP P Tracking Table'!$X261)^2-(4*(149.919*'BMP P Tracking Table'!$X261+236.676*'BMP P Tracking Table'!$Y261+726*'BMP P Tracking Table'!$Z261+996.798*'BMP P Tracking Table'!$AA261)*-'BMP P Tracking Table'!$AC261)))/(2*(149.919*'BMP P Tracking Table'!$X261+236.676*'BMP P Tracking Table'!$Y261+726*'BMP P Tracking Table'!$Z261+996.798*'BMP P Tracking Table'!$AA261))))),"")</f>
        <v/>
      </c>
      <c r="AG261" s="104" t="str">
        <f>IFERROR((VLOOKUP(CONCATENATE('BMP P Tracking Table'!$U261," ",'BMP P Tracking Table'!$AD261),'Performance Curves'!$C$1:$L$46,_xlfn.SINGLE(MATCH('BMP P Tracking Table'!$AF261,'Performance Curves'!$D$1:$L$1,1))+2,FALSE)-VLOOKUP(CONCATENATE('BMP P Tracking Table'!$U261," ",'BMP P Tracking Table'!$AD261),'Performance Curves'!$C$1:$L$46,_xlfn.SINGLE(MATCH('BMP P Tracking Table'!$AF261,'Performance Curves'!$D$1:$L$1,1))+1,FALSE)),"")</f>
        <v/>
      </c>
      <c r="AH261" s="104" t="str">
        <f>IFERROR(('BMP P Tracking Table'!$AF261-INDEX('Performance Curves'!$D$1:$L$1,1,MATCH('BMP P Tracking Table'!$AF261,'Performance Curves'!$D$1:$L$1,1)))/(INDEX('Performance Curves'!$D$1:$L$1,1,MATCH('BMP P Tracking Table'!$AF261,'Performance Curves'!$D$1:$L$1,1)+1)-INDEX('Performance Curves'!$D$1:$L$1,1,MATCH('BMP P Tracking Table'!$AF261,'Performance Curves'!$D$1:$L$1,1))),"")</f>
        <v/>
      </c>
      <c r="AI261" s="103" t="str">
        <f>IFERROR(IF('BMP P Tracking Table'!$AF261=2,VLOOKUP(CONCATENATE('BMP P Tracking Table'!$U261," ",'BMP P Tracking Table'!$AD261),'Performance Curves'!$C$1:$L$46,_xlfn.SINGLE(MATCH('BMP P Tracking Table'!$AF261,'Performance Curves'!$D$1:$L$1,1))+1,FALSE),'BMP P Tracking Table'!$AG261*'BMP P Tracking Table'!$AH261+VLOOKUP(CONCATENATE('BMP P Tracking Table'!$U261," ",'BMP P Tracking Table'!$AD261),'Performance Curves'!$C$1:$L$46,_xlfn.SINGLE(MATCH('BMP P Tracking Table'!$AF261,'Performance Curves'!$D$1:$L$1,1))+1,FALSE)),"")</f>
        <v/>
      </c>
      <c r="AJ261" s="104" t="str">
        <f>IFERROR('BMP P Tracking Table'!$AI261*'BMP P Tracking Table'!$AE261,"")</f>
        <v/>
      </c>
      <c r="AK261" s="65"/>
      <c r="AL261" s="98"/>
      <c r="AM261" s="98"/>
      <c r="AN261" s="64">
        <v>1</v>
      </c>
      <c r="AO261" s="102" t="str">
        <f t="shared" si="35"/>
        <v/>
      </c>
      <c r="AP261" s="98"/>
      <c r="AQ261" s="98"/>
      <c r="AR261" s="98"/>
      <c r="AS261" s="98"/>
      <c r="AT261" s="98"/>
      <c r="AU261" s="98"/>
      <c r="AV261" s="98"/>
      <c r="AW261" s="65"/>
      <c r="AX261" s="99"/>
      <c r="AY261" s="99"/>
      <c r="AZ261" s="104" t="str">
        <f>IF('BMP P Tracking Table'!$AL261="Yes",IF('BMP P Tracking Table'!$AM261="No",'BMP P Tracking Table'!$V261*VLOOKUP('BMP P Tracking Table'!$R261,'Loading Rates'!$B$1:$L$24,4,FALSE)+IF('BMP P Tracking Table'!$W261="By HSG",'BMP P Tracking Table'!$X261*VLOOKUP('BMP P Tracking Table'!$R261,'Loading Rates'!$B$1:$L$24,6,FALSE)+'BMP P Tracking Table'!$Y261*VLOOKUP('BMP P Tracking Table'!$R261,'Loading Rates'!$B$1:$L$24,7,FALSE)+'BMP P Tracking Table'!$Z261*VLOOKUP('BMP P Tracking Table'!$R261,'Loading Rates'!$B$1:$L$24,8,FALSE)+'BMP P Tracking Table'!$AA261*VLOOKUP('BMP P Tracking Table'!$R261,'Loading Rates'!$B$1:$L$24,9,FALSE),'BMP P Tracking Table'!$AB261*VLOOKUP('BMP P Tracking Table'!$R261,'Loading Rates'!$B$1:$L$24,10,FALSE)),'BMP P Tracking Table'!$AP261*VLOOKUP('BMP P Tracking Table'!$R261,'Loading Rates'!$B$1:$L$24,4,FALSE)+IF('BMP P Tracking Table'!$AQ261="By HSG",'BMP P Tracking Table'!$AR261*VLOOKUP('BMP P Tracking Table'!$R261,'Loading Rates'!$B$1:$L$24,6,FALSE)+'BMP P Tracking Table'!$AS261*VLOOKUP('BMP P Tracking Table'!$R261,'Loading Rates'!$B$1:$L$24,7,FALSE)+'BMP P Tracking Table'!$AT261*VLOOKUP('BMP P Tracking Table'!$R261,'Loading Rates'!$B$1:$L$24,8,FALSE)+'BMP P Tracking Table'!$AU261*VLOOKUP('BMP P Tracking Table'!$R261,'Loading Rates'!$B$1:$L$24,9,FALSE),'BMP P Tracking Table'!$AV261*VLOOKUP('BMP P Tracking Table'!$R261,'Loading Rates'!$B$1:$L$24,10,FALSE))),"")</f>
        <v/>
      </c>
      <c r="BA261" s="104" t="str">
        <f>IFERROR(IF('BMP P Tracking Table'!$AM261="Yes",MIN(2,IF('BMP P Tracking Table'!$AQ261="Total Pervious",(-(3630*'BMP P Tracking Table'!$AP261+20.691*'BMP P Tracking Table'!$AV261)+SQRT((3630*'BMP P Tracking Table'!$AP261+20.691*'BMP P Tracking Table'!$AV261)^2-(4*(996.798*'BMP P Tracking Table'!$AV261)*-'BMP P Tracking Table'!$AX261)))/(2*(996.798*'BMP P Tracking Table'!$AV261)),IF(SUM('BMP P Tracking Table'!$AR261:$AU261)=0,'BMP P Tracking Table'!$AV261/(-3630*'BMP P Tracking Table'!$AP261),(-(3630*'BMP P Tracking Table'!$AP261+20.691*'BMP P Tracking Table'!$AU261-216.711*'BMP P Tracking Table'!$AT261-83.853*'BMP P Tracking Table'!$AS261-42.834*'BMP P Tracking Table'!$AR261)+SQRT((3630*'BMP P Tracking Table'!$AP261+20.691*'BMP P Tracking Table'!$AU261-216.711*'BMP P Tracking Table'!$AT261-83.853*'BMP P Tracking Table'!$AS261-42.834*'BMP P Tracking Table'!$AR261)^2-(4*(149.919*'BMP P Tracking Table'!$AR261+236.676*'BMP P Tracking Table'!$AS261+726*'BMP P Tracking Table'!$AT261+996.798*'BMP P Tracking Table'!$AU261)*-'BMP P Tracking Table'!$AX261)))/(2*(149.919*'BMP P Tracking Table'!$AR261+236.676*'BMP P Tracking Table'!$AS261+726*'BMP P Tracking Table'!$AT261+996.798*'BMP P Tracking Table'!$AU261))))),MIN(2,IF('BMP P Tracking Table'!$AQ261="Total Pervious",(-(3630*'BMP P Tracking Table'!$V261+20.691*'BMP P Tracking Table'!$AB261)+SQRT((3630*'BMP P Tracking Table'!$V261+20.691*'BMP P Tracking Table'!$AB261)^2-(4*(996.798*'BMP P Tracking Table'!$AB261)*-'BMP P Tracking Table'!$AX261)))/(2*(996.798*'BMP P Tracking Table'!$AB261)),IF(SUM('BMP P Tracking Table'!$X261:$AA261)=0,'BMP P Tracking Table'!$AX261/(-3630*'BMP P Tracking Table'!$V261),(-(3630*'BMP P Tracking Table'!$V261+20.691*'BMP P Tracking Table'!$AA261-216.711*'BMP P Tracking Table'!$Z261-83.853*'BMP P Tracking Table'!$Y261-42.834*'BMP P Tracking Table'!$X261)+SQRT((3630*'BMP P Tracking Table'!$V261+20.691*'BMP P Tracking Table'!$AA261-216.711*'BMP P Tracking Table'!$Z261-83.853*'BMP P Tracking Table'!$Y261-42.834*'BMP P Tracking Table'!$X261)^2-(4*(149.919*'BMP P Tracking Table'!$X261+236.676*'BMP P Tracking Table'!$Y261+726*'BMP P Tracking Table'!$Z261+996.798*'BMP P Tracking Table'!$AA261)*-'BMP P Tracking Table'!$AX261)))/(2*(149.919*'BMP P Tracking Table'!$X261+236.676*'BMP P Tracking Table'!$Y261+726*'BMP P Tracking Table'!$Z261+996.798*'BMP P Tracking Table'!$AA261)))))),"")</f>
        <v/>
      </c>
      <c r="BB261" s="102" t="str">
        <f>IFERROR((VLOOKUP(CONCATENATE('BMP P Tracking Table'!$AW261," ",'BMP P Tracking Table'!$AY261),'Performance Curves'!$C$1:$L$46,_xlfn.SINGLE(MATCH('BMP P Tracking Table'!$BA261,'Performance Curves'!$D$1:$L$1,1))+2,FALSE)-VLOOKUP(CONCATENATE('BMP P Tracking Table'!$AW261," ",'BMP P Tracking Table'!$AY261),'Performance Curves'!$C$1:$L$46,_xlfn.SINGLE(MATCH('BMP P Tracking Table'!$BA261,'Performance Curves'!$D$1:$L$1,1))+1,FALSE)),"")</f>
        <v/>
      </c>
      <c r="BC261" s="102" t="str">
        <f>IFERROR(('BMP P Tracking Table'!$BA261-INDEX('Performance Curves'!$D$1:$L$1,1,MATCH('BMP P Tracking Table'!$BA261,'Performance Curves'!$D$1:$L$1,1)))/(INDEX('Performance Curves'!$D$1:$L$1,1,MATCH('BMP P Tracking Table'!$BA261,'Performance Curves'!$D$1:$L$1,1)+1)-INDEX('Performance Curves'!$D$1:$L$1,1,MATCH('BMP P Tracking Table'!$BA261,'Performance Curves'!$D$1:$L$1,1))),"")</f>
        <v/>
      </c>
      <c r="BD261" s="103" t="str" cm="1">
        <f t="array" ref="BD261">IFERROR(IF('BMP P Tracking Table'!$BA261=2,VLOOKUP(CONCATENATE('BMP P Tracking Table'!$AW261," ",'BMP P Tracking Table'!$AY261),'Performance Curves'!$C$1:$L$44,_xlfn.SINGLE(MATCH('BMP P Tracking Table'!$BA261,'Performance Curves'!$D$1:$L$1,1))+1,FALSE),'BMP P Tracking Table'!$BB261*'BMP P Tracking Table'!$BC261+VLOOKUP(CONCATENATE('BMP P Tracking Table'!$AW261," ",'BMP P Tracking Table'!$AY261),'Performance Curves'!$C$1:$L$44,_xlfn.SINGLE(MATCH('BMP P Tracking Table'!$BA261,'Performance Curves'!$D$1:$L$1,1))+1,FALSE)),"")</f>
        <v/>
      </c>
      <c r="BE261" s="104" t="str">
        <f>IFERROR('BMP P Tracking Table'!$BD261*'BMP P Tracking Table'!$AZ261,"")</f>
        <v/>
      </c>
      <c r="BF261" s="98"/>
      <c r="BG261" s="37">
        <f t="shared" si="36"/>
        <v>0</v>
      </c>
    </row>
    <row r="262" spans="2:59" s="36" customFormat="1">
      <c r="B262" s="65"/>
      <c r="C262" s="65"/>
      <c r="D262" s="65"/>
      <c r="E262" s="65"/>
      <c r="F262" s="94"/>
      <c r="G262" s="94"/>
      <c r="H262" s="65"/>
      <c r="I262" s="65"/>
      <c r="J262" s="65"/>
      <c r="K262" s="95"/>
      <c r="L262" s="65"/>
      <c r="M262" s="65"/>
      <c r="N262" s="65"/>
      <c r="O262" s="65"/>
      <c r="P262" s="65"/>
      <c r="Q262" s="65"/>
      <c r="R262" s="65" t="str">
        <f>IFERROR(VLOOKUP('BMP P Tracking Table'!$Q262,Dropdowns!$C$2:$E$15,3,FALSE),"")</f>
        <v/>
      </c>
      <c r="S262" s="65" t="str">
        <f>IFERROR(VLOOKUP('BMP P Tracking Table'!$R262,Dropdowns!$Q$3:$R$23,2,FALSE),"")</f>
        <v/>
      </c>
      <c r="T262" s="65"/>
      <c r="U262" s="65"/>
      <c r="V262" s="65"/>
      <c r="W262" s="65"/>
      <c r="X262" s="65"/>
      <c r="Y262" s="65"/>
      <c r="Z262" s="65"/>
      <c r="AA262" s="65"/>
      <c r="AB262" s="65"/>
      <c r="AC262" s="97"/>
      <c r="AD262" s="65"/>
      <c r="AE262" s="104" t="str">
        <f>IFERROR('BMP P Tracking Table'!$V262*VLOOKUP('BMP P Tracking Table'!$R262,'Loading Rates'!$B$1:$L$24,4,FALSE)+IF('BMP P Tracking Table'!$W262="By HSG",'BMP P Tracking Table'!$X262*VLOOKUP('BMP P Tracking Table'!$R262,'Loading Rates'!$B$1:$L$24,6,FALSE)+'BMP P Tracking Table'!$Y262*VLOOKUP('BMP P Tracking Table'!$R262,'Loading Rates'!$B$1:$L$24,7,FALSE)+'BMP P Tracking Table'!$Z262*VLOOKUP('BMP P Tracking Table'!$R262,'Loading Rates'!$B$1:$L$24,8,FALSE)+'BMP P Tracking Table'!$AA262*VLOOKUP('BMP P Tracking Table'!$R262,'Loading Rates'!$B$1:$L$24,9,FALSE),'BMP P Tracking Table'!$AB262*VLOOKUP('BMP P Tracking Table'!$R262,'Loading Rates'!$B$1:$L$24,10,FALSE)),"")</f>
        <v/>
      </c>
      <c r="AF262" s="104" t="str">
        <f>IFERROR(MIN(2,IF('BMP P Tracking Table'!$W262="Total Pervious",(-(3630*'BMP P Tracking Table'!$V262+20.691*'BMP P Tracking Table'!$AB262)+SQRT((3630*'BMP P Tracking Table'!$V262+20.691*'BMP P Tracking Table'!$AB262)^2-(4*(996.798*'BMP P Tracking Table'!$AB262)*-'BMP P Tracking Table'!$AC262)))/(2*(996.798*'BMP P Tracking Table'!$AB262)),IF(SUM('BMP P Tracking Table'!$X262:$AA262)=0,'BMP P Tracking Table'!$AC262/(-3630*'BMP P Tracking Table'!$V262),(-(3630*'BMP P Tracking Table'!$V262+20.691*'BMP P Tracking Table'!$AA262-216.711*'BMP P Tracking Table'!$Z262-83.853*'BMP P Tracking Table'!$Y262-42.834*'BMP P Tracking Table'!$X262)+SQRT((3630*'BMP P Tracking Table'!$V262+20.691*'BMP P Tracking Table'!$AA262-216.711*'BMP P Tracking Table'!$Z262-83.853*'BMP P Tracking Table'!$Y262-42.834*'BMP P Tracking Table'!$X262)^2-(4*(149.919*'BMP P Tracking Table'!$X262+236.676*'BMP P Tracking Table'!$Y262+726*'BMP P Tracking Table'!$Z262+996.798*'BMP P Tracking Table'!$AA262)*-'BMP P Tracking Table'!$AC262)))/(2*(149.919*'BMP P Tracking Table'!$X262+236.676*'BMP P Tracking Table'!$Y262+726*'BMP P Tracking Table'!$Z262+996.798*'BMP P Tracking Table'!$AA262))))),"")</f>
        <v/>
      </c>
      <c r="AG262" s="104" t="str">
        <f>IFERROR((VLOOKUP(CONCATENATE('BMP P Tracking Table'!$U262," ",'BMP P Tracking Table'!$AD262),'Performance Curves'!$C$1:$L$46,_xlfn.SINGLE(MATCH('BMP P Tracking Table'!$AF262,'Performance Curves'!$D$1:$L$1,1))+2,FALSE)-VLOOKUP(CONCATENATE('BMP P Tracking Table'!$U262," ",'BMP P Tracking Table'!$AD262),'Performance Curves'!$C$1:$L$46,_xlfn.SINGLE(MATCH('BMP P Tracking Table'!$AF262,'Performance Curves'!$D$1:$L$1,1))+1,FALSE)),"")</f>
        <v/>
      </c>
      <c r="AH262" s="104" t="str">
        <f>IFERROR(('BMP P Tracking Table'!$AF262-INDEX('Performance Curves'!$D$1:$L$1,1,MATCH('BMP P Tracking Table'!$AF262,'Performance Curves'!$D$1:$L$1,1)))/(INDEX('Performance Curves'!$D$1:$L$1,1,MATCH('BMP P Tracking Table'!$AF262,'Performance Curves'!$D$1:$L$1,1)+1)-INDEX('Performance Curves'!$D$1:$L$1,1,MATCH('BMP P Tracking Table'!$AF262,'Performance Curves'!$D$1:$L$1,1))),"")</f>
        <v/>
      </c>
      <c r="AI262" s="103" t="str">
        <f>IFERROR(IF('BMP P Tracking Table'!$AF262=2,VLOOKUP(CONCATENATE('BMP P Tracking Table'!$U262," ",'BMP P Tracking Table'!$AD262),'Performance Curves'!$C$1:$L$46,_xlfn.SINGLE(MATCH('BMP P Tracking Table'!$AF262,'Performance Curves'!$D$1:$L$1,1))+1,FALSE),'BMP P Tracking Table'!$AG262*'BMP P Tracking Table'!$AH262+VLOOKUP(CONCATENATE('BMP P Tracking Table'!$U262," ",'BMP P Tracking Table'!$AD262),'Performance Curves'!$C$1:$L$46,_xlfn.SINGLE(MATCH('BMP P Tracking Table'!$AF262,'Performance Curves'!$D$1:$L$1,1))+1,FALSE)),"")</f>
        <v/>
      </c>
      <c r="AJ262" s="104" t="str">
        <f>IFERROR('BMP P Tracking Table'!$AI262*'BMP P Tracking Table'!$AE262,"")</f>
        <v/>
      </c>
      <c r="AK262" s="65"/>
      <c r="AL262" s="98"/>
      <c r="AM262" s="98"/>
      <c r="AN262" s="64">
        <v>1</v>
      </c>
      <c r="AO262" s="102" t="str">
        <f t="shared" si="35"/>
        <v/>
      </c>
      <c r="AP262" s="98"/>
      <c r="AQ262" s="98"/>
      <c r="AR262" s="98"/>
      <c r="AS262" s="98"/>
      <c r="AT262" s="98"/>
      <c r="AU262" s="98"/>
      <c r="AV262" s="98"/>
      <c r="AW262" s="65"/>
      <c r="AX262" s="99"/>
      <c r="AY262" s="99"/>
      <c r="AZ262" s="104" t="str">
        <f>IF('BMP P Tracking Table'!$AL262="Yes",IF('BMP P Tracking Table'!$AM262="No",'BMP P Tracking Table'!$V262*VLOOKUP('BMP P Tracking Table'!$R262,'Loading Rates'!$B$1:$L$24,4,FALSE)+IF('BMP P Tracking Table'!$W262="By HSG",'BMP P Tracking Table'!$X262*VLOOKUP('BMP P Tracking Table'!$R262,'Loading Rates'!$B$1:$L$24,6,FALSE)+'BMP P Tracking Table'!$Y262*VLOOKUP('BMP P Tracking Table'!$R262,'Loading Rates'!$B$1:$L$24,7,FALSE)+'BMP P Tracking Table'!$Z262*VLOOKUP('BMP P Tracking Table'!$R262,'Loading Rates'!$B$1:$L$24,8,FALSE)+'BMP P Tracking Table'!$AA262*VLOOKUP('BMP P Tracking Table'!$R262,'Loading Rates'!$B$1:$L$24,9,FALSE),'BMP P Tracking Table'!$AB262*VLOOKUP('BMP P Tracking Table'!$R262,'Loading Rates'!$B$1:$L$24,10,FALSE)),'BMP P Tracking Table'!$AP262*VLOOKUP('BMP P Tracking Table'!$R262,'Loading Rates'!$B$1:$L$24,4,FALSE)+IF('BMP P Tracking Table'!$AQ262="By HSG",'BMP P Tracking Table'!$AR262*VLOOKUP('BMP P Tracking Table'!$R262,'Loading Rates'!$B$1:$L$24,6,FALSE)+'BMP P Tracking Table'!$AS262*VLOOKUP('BMP P Tracking Table'!$R262,'Loading Rates'!$B$1:$L$24,7,FALSE)+'BMP P Tracking Table'!$AT262*VLOOKUP('BMP P Tracking Table'!$R262,'Loading Rates'!$B$1:$L$24,8,FALSE)+'BMP P Tracking Table'!$AU262*VLOOKUP('BMP P Tracking Table'!$R262,'Loading Rates'!$B$1:$L$24,9,FALSE),'BMP P Tracking Table'!$AV262*VLOOKUP('BMP P Tracking Table'!$R262,'Loading Rates'!$B$1:$L$24,10,FALSE))),"")</f>
        <v/>
      </c>
      <c r="BA262" s="104" t="str">
        <f>IFERROR(IF('BMP P Tracking Table'!$AM262="Yes",MIN(2,IF('BMP P Tracking Table'!$AQ262="Total Pervious",(-(3630*'BMP P Tracking Table'!$AP262+20.691*'BMP P Tracking Table'!$AV262)+SQRT((3630*'BMP P Tracking Table'!$AP262+20.691*'BMP P Tracking Table'!$AV262)^2-(4*(996.798*'BMP P Tracking Table'!$AV262)*-'BMP P Tracking Table'!$AX262)))/(2*(996.798*'BMP P Tracking Table'!$AV262)),IF(SUM('BMP P Tracking Table'!$AR262:$AU262)=0,'BMP P Tracking Table'!$AV262/(-3630*'BMP P Tracking Table'!$AP262),(-(3630*'BMP P Tracking Table'!$AP262+20.691*'BMP P Tracking Table'!$AU262-216.711*'BMP P Tracking Table'!$AT262-83.853*'BMP P Tracking Table'!$AS262-42.834*'BMP P Tracking Table'!$AR262)+SQRT((3630*'BMP P Tracking Table'!$AP262+20.691*'BMP P Tracking Table'!$AU262-216.711*'BMP P Tracking Table'!$AT262-83.853*'BMP P Tracking Table'!$AS262-42.834*'BMP P Tracking Table'!$AR262)^2-(4*(149.919*'BMP P Tracking Table'!$AR262+236.676*'BMP P Tracking Table'!$AS262+726*'BMP P Tracking Table'!$AT262+996.798*'BMP P Tracking Table'!$AU262)*-'BMP P Tracking Table'!$AX262)))/(2*(149.919*'BMP P Tracking Table'!$AR262+236.676*'BMP P Tracking Table'!$AS262+726*'BMP P Tracking Table'!$AT262+996.798*'BMP P Tracking Table'!$AU262))))),MIN(2,IF('BMP P Tracking Table'!$AQ262="Total Pervious",(-(3630*'BMP P Tracking Table'!$V262+20.691*'BMP P Tracking Table'!$AB262)+SQRT((3630*'BMP P Tracking Table'!$V262+20.691*'BMP P Tracking Table'!$AB262)^2-(4*(996.798*'BMP P Tracking Table'!$AB262)*-'BMP P Tracking Table'!$AX262)))/(2*(996.798*'BMP P Tracking Table'!$AB262)),IF(SUM('BMP P Tracking Table'!$X262:$AA262)=0,'BMP P Tracking Table'!$AX262/(-3630*'BMP P Tracking Table'!$V262),(-(3630*'BMP P Tracking Table'!$V262+20.691*'BMP P Tracking Table'!$AA262-216.711*'BMP P Tracking Table'!$Z262-83.853*'BMP P Tracking Table'!$Y262-42.834*'BMP P Tracking Table'!$X262)+SQRT((3630*'BMP P Tracking Table'!$V262+20.691*'BMP P Tracking Table'!$AA262-216.711*'BMP P Tracking Table'!$Z262-83.853*'BMP P Tracking Table'!$Y262-42.834*'BMP P Tracking Table'!$X262)^2-(4*(149.919*'BMP P Tracking Table'!$X262+236.676*'BMP P Tracking Table'!$Y262+726*'BMP P Tracking Table'!$Z262+996.798*'BMP P Tracking Table'!$AA262)*-'BMP P Tracking Table'!$AX262)))/(2*(149.919*'BMP P Tracking Table'!$X262+236.676*'BMP P Tracking Table'!$Y262+726*'BMP P Tracking Table'!$Z262+996.798*'BMP P Tracking Table'!$AA262)))))),"")</f>
        <v/>
      </c>
      <c r="BB262" s="102" t="str">
        <f>IFERROR((VLOOKUP(CONCATENATE('BMP P Tracking Table'!$AW262," ",'BMP P Tracking Table'!$AY262),'Performance Curves'!$C$1:$L$46,_xlfn.SINGLE(MATCH('BMP P Tracking Table'!$BA262,'Performance Curves'!$D$1:$L$1,1))+2,FALSE)-VLOOKUP(CONCATENATE('BMP P Tracking Table'!$AW262," ",'BMP P Tracking Table'!$AY262),'Performance Curves'!$C$1:$L$46,_xlfn.SINGLE(MATCH('BMP P Tracking Table'!$BA262,'Performance Curves'!$D$1:$L$1,1))+1,FALSE)),"")</f>
        <v/>
      </c>
      <c r="BC262" s="102" t="str">
        <f>IFERROR(('BMP P Tracking Table'!$BA262-INDEX('Performance Curves'!$D$1:$L$1,1,MATCH('BMP P Tracking Table'!$BA262,'Performance Curves'!$D$1:$L$1,1)))/(INDEX('Performance Curves'!$D$1:$L$1,1,MATCH('BMP P Tracking Table'!$BA262,'Performance Curves'!$D$1:$L$1,1)+1)-INDEX('Performance Curves'!$D$1:$L$1,1,MATCH('BMP P Tracking Table'!$BA262,'Performance Curves'!$D$1:$L$1,1))),"")</f>
        <v/>
      </c>
      <c r="BD262" s="103" t="str" cm="1">
        <f t="array" ref="BD262">IFERROR(IF('BMP P Tracking Table'!$BA262=2,VLOOKUP(CONCATENATE('BMP P Tracking Table'!$AW262," ",'BMP P Tracking Table'!$AY262),'Performance Curves'!$C$1:$L$44,_xlfn.SINGLE(MATCH('BMP P Tracking Table'!$BA262,'Performance Curves'!$D$1:$L$1,1))+1,FALSE),'BMP P Tracking Table'!$BB262*'BMP P Tracking Table'!$BC262+VLOOKUP(CONCATENATE('BMP P Tracking Table'!$AW262," ",'BMP P Tracking Table'!$AY262),'Performance Curves'!$C$1:$L$44,_xlfn.SINGLE(MATCH('BMP P Tracking Table'!$BA262,'Performance Curves'!$D$1:$L$1,1))+1,FALSE)),"")</f>
        <v/>
      </c>
      <c r="BE262" s="104" t="str">
        <f>IFERROR('BMP P Tracking Table'!$BD262*'BMP P Tracking Table'!$AZ262,"")</f>
        <v/>
      </c>
      <c r="BF262" s="98"/>
      <c r="BG262" s="37">
        <f t="shared" si="36"/>
        <v>0</v>
      </c>
    </row>
    <row r="263" spans="2:59" s="36" customFormat="1">
      <c r="B263" s="65"/>
      <c r="C263" s="65"/>
      <c r="D263" s="65"/>
      <c r="E263" s="65"/>
      <c r="F263" s="94"/>
      <c r="G263" s="94"/>
      <c r="H263" s="65"/>
      <c r="I263" s="65"/>
      <c r="J263" s="65"/>
      <c r="K263" s="95"/>
      <c r="L263" s="65"/>
      <c r="M263" s="65"/>
      <c r="N263" s="65"/>
      <c r="O263" s="65"/>
      <c r="P263" s="65"/>
      <c r="Q263" s="65"/>
      <c r="R263" s="65" t="str">
        <f>IFERROR(VLOOKUP('BMP P Tracking Table'!$Q263,Dropdowns!$C$2:$E$15,3,FALSE),"")</f>
        <v/>
      </c>
      <c r="S263" s="65" t="str">
        <f>IFERROR(VLOOKUP('BMP P Tracking Table'!$R263,Dropdowns!$Q$3:$R$23,2,FALSE),"")</f>
        <v/>
      </c>
      <c r="T263" s="65"/>
      <c r="U263" s="65"/>
      <c r="V263" s="65"/>
      <c r="W263" s="65"/>
      <c r="X263" s="65"/>
      <c r="Y263" s="65"/>
      <c r="Z263" s="65"/>
      <c r="AA263" s="65"/>
      <c r="AB263" s="65"/>
      <c r="AC263" s="97"/>
      <c r="AD263" s="65"/>
      <c r="AE263" s="104" t="str">
        <f>IFERROR('BMP P Tracking Table'!$V263*VLOOKUP('BMP P Tracking Table'!$R263,'Loading Rates'!$B$1:$L$24,4,FALSE)+IF('BMP P Tracking Table'!$W263="By HSG",'BMP P Tracking Table'!$X263*VLOOKUP('BMP P Tracking Table'!$R263,'Loading Rates'!$B$1:$L$24,6,FALSE)+'BMP P Tracking Table'!$Y263*VLOOKUP('BMP P Tracking Table'!$R263,'Loading Rates'!$B$1:$L$24,7,FALSE)+'BMP P Tracking Table'!$Z263*VLOOKUP('BMP P Tracking Table'!$R263,'Loading Rates'!$B$1:$L$24,8,FALSE)+'BMP P Tracking Table'!$AA263*VLOOKUP('BMP P Tracking Table'!$R263,'Loading Rates'!$B$1:$L$24,9,FALSE),'BMP P Tracking Table'!$AB263*VLOOKUP('BMP P Tracking Table'!$R263,'Loading Rates'!$B$1:$L$24,10,FALSE)),"")</f>
        <v/>
      </c>
      <c r="AF263" s="104" t="str">
        <f>IFERROR(MIN(2,IF('BMP P Tracking Table'!$W263="Total Pervious",(-(3630*'BMP P Tracking Table'!$V263+20.691*'BMP P Tracking Table'!$AB263)+SQRT((3630*'BMP P Tracking Table'!$V263+20.691*'BMP P Tracking Table'!$AB263)^2-(4*(996.798*'BMP P Tracking Table'!$AB263)*-'BMP P Tracking Table'!$AC263)))/(2*(996.798*'BMP P Tracking Table'!$AB263)),IF(SUM('BMP P Tracking Table'!$X263:$AA263)=0,'BMP P Tracking Table'!$AC263/(-3630*'BMP P Tracking Table'!$V263),(-(3630*'BMP P Tracking Table'!$V263+20.691*'BMP P Tracking Table'!$AA263-216.711*'BMP P Tracking Table'!$Z263-83.853*'BMP P Tracking Table'!$Y263-42.834*'BMP P Tracking Table'!$X263)+SQRT((3630*'BMP P Tracking Table'!$V263+20.691*'BMP P Tracking Table'!$AA263-216.711*'BMP P Tracking Table'!$Z263-83.853*'BMP P Tracking Table'!$Y263-42.834*'BMP P Tracking Table'!$X263)^2-(4*(149.919*'BMP P Tracking Table'!$X263+236.676*'BMP P Tracking Table'!$Y263+726*'BMP P Tracking Table'!$Z263+996.798*'BMP P Tracking Table'!$AA263)*-'BMP P Tracking Table'!$AC263)))/(2*(149.919*'BMP P Tracking Table'!$X263+236.676*'BMP P Tracking Table'!$Y263+726*'BMP P Tracking Table'!$Z263+996.798*'BMP P Tracking Table'!$AA263))))),"")</f>
        <v/>
      </c>
      <c r="AG263" s="104" t="str">
        <f>IFERROR((VLOOKUP(CONCATENATE('BMP P Tracking Table'!$U263," ",'BMP P Tracking Table'!$AD263),'Performance Curves'!$C$1:$L$46,_xlfn.SINGLE(MATCH('BMP P Tracking Table'!$AF263,'Performance Curves'!$D$1:$L$1,1))+2,FALSE)-VLOOKUP(CONCATENATE('BMP P Tracking Table'!$U263," ",'BMP P Tracking Table'!$AD263),'Performance Curves'!$C$1:$L$46,_xlfn.SINGLE(MATCH('BMP P Tracking Table'!$AF263,'Performance Curves'!$D$1:$L$1,1))+1,FALSE)),"")</f>
        <v/>
      </c>
      <c r="AH263" s="104" t="str">
        <f>IFERROR(('BMP P Tracking Table'!$AF263-INDEX('Performance Curves'!$D$1:$L$1,1,MATCH('BMP P Tracking Table'!$AF263,'Performance Curves'!$D$1:$L$1,1)))/(INDEX('Performance Curves'!$D$1:$L$1,1,MATCH('BMP P Tracking Table'!$AF263,'Performance Curves'!$D$1:$L$1,1)+1)-INDEX('Performance Curves'!$D$1:$L$1,1,MATCH('BMP P Tracking Table'!$AF263,'Performance Curves'!$D$1:$L$1,1))),"")</f>
        <v/>
      </c>
      <c r="AI263" s="103" t="str">
        <f>IFERROR(IF('BMP P Tracking Table'!$AF263=2,VLOOKUP(CONCATENATE('BMP P Tracking Table'!$U263," ",'BMP P Tracking Table'!$AD263),'Performance Curves'!$C$1:$L$46,_xlfn.SINGLE(MATCH('BMP P Tracking Table'!$AF263,'Performance Curves'!$D$1:$L$1,1))+1,FALSE),'BMP P Tracking Table'!$AG263*'BMP P Tracking Table'!$AH263+VLOOKUP(CONCATENATE('BMP P Tracking Table'!$U263," ",'BMP P Tracking Table'!$AD263),'Performance Curves'!$C$1:$L$46,_xlfn.SINGLE(MATCH('BMP P Tracking Table'!$AF263,'Performance Curves'!$D$1:$L$1,1))+1,FALSE)),"")</f>
        <v/>
      </c>
      <c r="AJ263" s="104" t="str">
        <f>IFERROR('BMP P Tracking Table'!$AI263*'BMP P Tracking Table'!$AE263,"")</f>
        <v/>
      </c>
      <c r="AK263" s="65"/>
      <c r="AL263" s="98"/>
      <c r="AM263" s="98"/>
      <c r="AN263" s="64">
        <v>1</v>
      </c>
      <c r="AO263" s="102" t="str">
        <f t="shared" si="35"/>
        <v/>
      </c>
      <c r="AP263" s="98"/>
      <c r="AQ263" s="98"/>
      <c r="AR263" s="98"/>
      <c r="AS263" s="98"/>
      <c r="AT263" s="98"/>
      <c r="AU263" s="98"/>
      <c r="AV263" s="98"/>
      <c r="AW263" s="65"/>
      <c r="AX263" s="99"/>
      <c r="AY263" s="99"/>
      <c r="AZ263" s="104" t="str">
        <f>IF('BMP P Tracking Table'!$AL263="Yes",IF('BMP P Tracking Table'!$AM263="No",'BMP P Tracking Table'!$V263*VLOOKUP('BMP P Tracking Table'!$R263,'Loading Rates'!$B$1:$L$24,4,FALSE)+IF('BMP P Tracking Table'!$W263="By HSG",'BMP P Tracking Table'!$X263*VLOOKUP('BMP P Tracking Table'!$R263,'Loading Rates'!$B$1:$L$24,6,FALSE)+'BMP P Tracking Table'!$Y263*VLOOKUP('BMP P Tracking Table'!$R263,'Loading Rates'!$B$1:$L$24,7,FALSE)+'BMP P Tracking Table'!$Z263*VLOOKUP('BMP P Tracking Table'!$R263,'Loading Rates'!$B$1:$L$24,8,FALSE)+'BMP P Tracking Table'!$AA263*VLOOKUP('BMP P Tracking Table'!$R263,'Loading Rates'!$B$1:$L$24,9,FALSE),'BMP P Tracking Table'!$AB263*VLOOKUP('BMP P Tracking Table'!$R263,'Loading Rates'!$B$1:$L$24,10,FALSE)),'BMP P Tracking Table'!$AP263*VLOOKUP('BMP P Tracking Table'!$R263,'Loading Rates'!$B$1:$L$24,4,FALSE)+IF('BMP P Tracking Table'!$AQ263="By HSG",'BMP P Tracking Table'!$AR263*VLOOKUP('BMP P Tracking Table'!$R263,'Loading Rates'!$B$1:$L$24,6,FALSE)+'BMP P Tracking Table'!$AS263*VLOOKUP('BMP P Tracking Table'!$R263,'Loading Rates'!$B$1:$L$24,7,FALSE)+'BMP P Tracking Table'!$AT263*VLOOKUP('BMP P Tracking Table'!$R263,'Loading Rates'!$B$1:$L$24,8,FALSE)+'BMP P Tracking Table'!$AU263*VLOOKUP('BMP P Tracking Table'!$R263,'Loading Rates'!$B$1:$L$24,9,FALSE),'BMP P Tracking Table'!$AV263*VLOOKUP('BMP P Tracking Table'!$R263,'Loading Rates'!$B$1:$L$24,10,FALSE))),"")</f>
        <v/>
      </c>
      <c r="BA263" s="104" t="str">
        <f>IFERROR(IF('BMP P Tracking Table'!$AM263="Yes",MIN(2,IF('BMP P Tracking Table'!$AQ263="Total Pervious",(-(3630*'BMP P Tracking Table'!$AP263+20.691*'BMP P Tracking Table'!$AV263)+SQRT((3630*'BMP P Tracking Table'!$AP263+20.691*'BMP P Tracking Table'!$AV263)^2-(4*(996.798*'BMP P Tracking Table'!$AV263)*-'BMP P Tracking Table'!$AX263)))/(2*(996.798*'BMP P Tracking Table'!$AV263)),IF(SUM('BMP P Tracking Table'!$AR263:$AU263)=0,'BMP P Tracking Table'!$AV263/(-3630*'BMP P Tracking Table'!$AP263),(-(3630*'BMP P Tracking Table'!$AP263+20.691*'BMP P Tracking Table'!$AU263-216.711*'BMP P Tracking Table'!$AT263-83.853*'BMP P Tracking Table'!$AS263-42.834*'BMP P Tracking Table'!$AR263)+SQRT((3630*'BMP P Tracking Table'!$AP263+20.691*'BMP P Tracking Table'!$AU263-216.711*'BMP P Tracking Table'!$AT263-83.853*'BMP P Tracking Table'!$AS263-42.834*'BMP P Tracking Table'!$AR263)^2-(4*(149.919*'BMP P Tracking Table'!$AR263+236.676*'BMP P Tracking Table'!$AS263+726*'BMP P Tracking Table'!$AT263+996.798*'BMP P Tracking Table'!$AU263)*-'BMP P Tracking Table'!$AX263)))/(2*(149.919*'BMP P Tracking Table'!$AR263+236.676*'BMP P Tracking Table'!$AS263+726*'BMP P Tracking Table'!$AT263+996.798*'BMP P Tracking Table'!$AU263))))),MIN(2,IF('BMP P Tracking Table'!$AQ263="Total Pervious",(-(3630*'BMP P Tracking Table'!$V263+20.691*'BMP P Tracking Table'!$AB263)+SQRT((3630*'BMP P Tracking Table'!$V263+20.691*'BMP P Tracking Table'!$AB263)^2-(4*(996.798*'BMP P Tracking Table'!$AB263)*-'BMP P Tracking Table'!$AX263)))/(2*(996.798*'BMP P Tracking Table'!$AB263)),IF(SUM('BMP P Tracking Table'!$X263:$AA263)=0,'BMP P Tracking Table'!$AX263/(-3630*'BMP P Tracking Table'!$V263),(-(3630*'BMP P Tracking Table'!$V263+20.691*'BMP P Tracking Table'!$AA263-216.711*'BMP P Tracking Table'!$Z263-83.853*'BMP P Tracking Table'!$Y263-42.834*'BMP P Tracking Table'!$X263)+SQRT((3630*'BMP P Tracking Table'!$V263+20.691*'BMP P Tracking Table'!$AA263-216.711*'BMP P Tracking Table'!$Z263-83.853*'BMP P Tracking Table'!$Y263-42.834*'BMP P Tracking Table'!$X263)^2-(4*(149.919*'BMP P Tracking Table'!$X263+236.676*'BMP P Tracking Table'!$Y263+726*'BMP P Tracking Table'!$Z263+996.798*'BMP P Tracking Table'!$AA263)*-'BMP P Tracking Table'!$AX263)))/(2*(149.919*'BMP P Tracking Table'!$X263+236.676*'BMP P Tracking Table'!$Y263+726*'BMP P Tracking Table'!$Z263+996.798*'BMP P Tracking Table'!$AA263)))))),"")</f>
        <v/>
      </c>
      <c r="BB263" s="102" t="str">
        <f>IFERROR((VLOOKUP(CONCATENATE('BMP P Tracking Table'!$AW263," ",'BMP P Tracking Table'!$AY263),'Performance Curves'!$C$1:$L$46,_xlfn.SINGLE(MATCH('BMP P Tracking Table'!$BA263,'Performance Curves'!$D$1:$L$1,1))+2,FALSE)-VLOOKUP(CONCATENATE('BMP P Tracking Table'!$AW263," ",'BMP P Tracking Table'!$AY263),'Performance Curves'!$C$1:$L$46,_xlfn.SINGLE(MATCH('BMP P Tracking Table'!$BA263,'Performance Curves'!$D$1:$L$1,1))+1,FALSE)),"")</f>
        <v/>
      </c>
      <c r="BC263" s="102" t="str">
        <f>IFERROR(('BMP P Tracking Table'!$BA263-INDEX('Performance Curves'!$D$1:$L$1,1,MATCH('BMP P Tracking Table'!$BA263,'Performance Curves'!$D$1:$L$1,1)))/(INDEX('Performance Curves'!$D$1:$L$1,1,MATCH('BMP P Tracking Table'!$BA263,'Performance Curves'!$D$1:$L$1,1)+1)-INDEX('Performance Curves'!$D$1:$L$1,1,MATCH('BMP P Tracking Table'!$BA263,'Performance Curves'!$D$1:$L$1,1))),"")</f>
        <v/>
      </c>
      <c r="BD263" s="103" t="str" cm="1">
        <f t="array" ref="BD263">IFERROR(IF('BMP P Tracking Table'!$BA263=2,VLOOKUP(CONCATENATE('BMP P Tracking Table'!$AW263," ",'BMP P Tracking Table'!$AY263),'Performance Curves'!$C$1:$L$44,_xlfn.SINGLE(MATCH('BMP P Tracking Table'!$BA263,'Performance Curves'!$D$1:$L$1,1))+1,FALSE),'BMP P Tracking Table'!$BB263*'BMP P Tracking Table'!$BC263+VLOOKUP(CONCATENATE('BMP P Tracking Table'!$AW263," ",'BMP P Tracking Table'!$AY263),'Performance Curves'!$C$1:$L$44,_xlfn.SINGLE(MATCH('BMP P Tracking Table'!$BA263,'Performance Curves'!$D$1:$L$1,1))+1,FALSE)),"")</f>
        <v/>
      </c>
      <c r="BE263" s="104" t="str">
        <f>IFERROR('BMP P Tracking Table'!$BD263*'BMP P Tracking Table'!$AZ263,"")</f>
        <v/>
      </c>
      <c r="BF263" s="92"/>
      <c r="BG263" s="37">
        <f t="shared" si="36"/>
        <v>0</v>
      </c>
    </row>
    <row r="264" spans="2:59" s="36" customFormat="1">
      <c r="B264" s="65"/>
      <c r="C264" s="65"/>
      <c r="D264" s="65"/>
      <c r="E264" s="65"/>
      <c r="F264" s="94"/>
      <c r="G264" s="94"/>
      <c r="H264" s="65"/>
      <c r="I264" s="65"/>
      <c r="J264" s="65"/>
      <c r="K264" s="95"/>
      <c r="L264" s="65"/>
      <c r="M264" s="65"/>
      <c r="N264" s="65"/>
      <c r="O264" s="65"/>
      <c r="P264" s="65"/>
      <c r="Q264" s="65"/>
      <c r="R264" s="65" t="str">
        <f>IFERROR(VLOOKUP('BMP P Tracking Table'!$Q264,Dropdowns!$C$2:$E$15,3,FALSE),"")</f>
        <v/>
      </c>
      <c r="S264" s="65" t="str">
        <f>IFERROR(VLOOKUP('BMP P Tracking Table'!$R264,Dropdowns!$Q$3:$R$23,2,FALSE),"")</f>
        <v/>
      </c>
      <c r="T264" s="65"/>
      <c r="U264" s="65"/>
      <c r="V264" s="65"/>
      <c r="W264" s="65"/>
      <c r="X264" s="65"/>
      <c r="Y264" s="65"/>
      <c r="Z264" s="65"/>
      <c r="AA264" s="65"/>
      <c r="AB264" s="65"/>
      <c r="AC264" s="97"/>
      <c r="AD264" s="65"/>
      <c r="AE264" s="104" t="str">
        <f>IFERROR('BMP P Tracking Table'!$V264*VLOOKUP('BMP P Tracking Table'!$R264,'Loading Rates'!$B$1:$L$24,4,FALSE)+IF('BMP P Tracking Table'!$W264="By HSG",'BMP P Tracking Table'!$X264*VLOOKUP('BMP P Tracking Table'!$R264,'Loading Rates'!$B$1:$L$24,6,FALSE)+'BMP P Tracking Table'!$Y264*VLOOKUP('BMP P Tracking Table'!$R264,'Loading Rates'!$B$1:$L$24,7,FALSE)+'BMP P Tracking Table'!$Z264*VLOOKUP('BMP P Tracking Table'!$R264,'Loading Rates'!$B$1:$L$24,8,FALSE)+'BMP P Tracking Table'!$AA264*VLOOKUP('BMP P Tracking Table'!$R264,'Loading Rates'!$B$1:$L$24,9,FALSE),'BMP P Tracking Table'!$AB264*VLOOKUP('BMP P Tracking Table'!$R264,'Loading Rates'!$B$1:$L$24,10,FALSE)),"")</f>
        <v/>
      </c>
      <c r="AF264" s="104" t="str">
        <f>IFERROR(MIN(2,IF('BMP P Tracking Table'!$W264="Total Pervious",(-(3630*'BMP P Tracking Table'!$V264+20.691*'BMP P Tracking Table'!$AB264)+SQRT((3630*'BMP P Tracking Table'!$V264+20.691*'BMP P Tracking Table'!$AB264)^2-(4*(996.798*'BMP P Tracking Table'!$AB264)*-'BMP P Tracking Table'!$AC264)))/(2*(996.798*'BMP P Tracking Table'!$AB264)),IF(SUM('BMP P Tracking Table'!$X264:$AA264)=0,'BMP P Tracking Table'!$AC264/(-3630*'BMP P Tracking Table'!$V264),(-(3630*'BMP P Tracking Table'!$V264+20.691*'BMP P Tracking Table'!$AA264-216.711*'BMP P Tracking Table'!$Z264-83.853*'BMP P Tracking Table'!$Y264-42.834*'BMP P Tracking Table'!$X264)+SQRT((3630*'BMP P Tracking Table'!$V264+20.691*'BMP P Tracking Table'!$AA264-216.711*'BMP P Tracking Table'!$Z264-83.853*'BMP P Tracking Table'!$Y264-42.834*'BMP P Tracking Table'!$X264)^2-(4*(149.919*'BMP P Tracking Table'!$X264+236.676*'BMP P Tracking Table'!$Y264+726*'BMP P Tracking Table'!$Z264+996.798*'BMP P Tracking Table'!$AA264)*-'BMP P Tracking Table'!$AC264)))/(2*(149.919*'BMP P Tracking Table'!$X264+236.676*'BMP P Tracking Table'!$Y264+726*'BMP P Tracking Table'!$Z264+996.798*'BMP P Tracking Table'!$AA264))))),"")</f>
        <v/>
      </c>
      <c r="AG264" s="104" t="str">
        <f>IFERROR((VLOOKUP(CONCATENATE('BMP P Tracking Table'!$U264," ",'BMP P Tracking Table'!$AD264),'Performance Curves'!$C$1:$L$46,_xlfn.SINGLE(MATCH('BMP P Tracking Table'!$AF264,'Performance Curves'!$D$1:$L$1,1))+2,FALSE)-VLOOKUP(CONCATENATE('BMP P Tracking Table'!$U264," ",'BMP P Tracking Table'!$AD264),'Performance Curves'!$C$1:$L$46,_xlfn.SINGLE(MATCH('BMP P Tracking Table'!$AF264,'Performance Curves'!$D$1:$L$1,1))+1,FALSE)),"")</f>
        <v/>
      </c>
      <c r="AH264" s="104" t="str">
        <f>IFERROR(('BMP P Tracking Table'!$AF264-INDEX('Performance Curves'!$D$1:$L$1,1,MATCH('BMP P Tracking Table'!$AF264,'Performance Curves'!$D$1:$L$1,1)))/(INDEX('Performance Curves'!$D$1:$L$1,1,MATCH('BMP P Tracking Table'!$AF264,'Performance Curves'!$D$1:$L$1,1)+1)-INDEX('Performance Curves'!$D$1:$L$1,1,MATCH('BMP P Tracking Table'!$AF264,'Performance Curves'!$D$1:$L$1,1))),"")</f>
        <v/>
      </c>
      <c r="AI264" s="103" t="str">
        <f>IFERROR(IF('BMP P Tracking Table'!$AF264=2,VLOOKUP(CONCATENATE('BMP P Tracking Table'!$U264," ",'BMP P Tracking Table'!$AD264),'Performance Curves'!$C$1:$L$46,_xlfn.SINGLE(MATCH('BMP P Tracking Table'!$AF264,'Performance Curves'!$D$1:$L$1,1))+1,FALSE),'BMP P Tracking Table'!$AG264*'BMP P Tracking Table'!$AH264+VLOOKUP(CONCATENATE('BMP P Tracking Table'!$U264," ",'BMP P Tracking Table'!$AD264),'Performance Curves'!$C$1:$L$46,_xlfn.SINGLE(MATCH('BMP P Tracking Table'!$AF264,'Performance Curves'!$D$1:$L$1,1))+1,FALSE)),"")</f>
        <v/>
      </c>
      <c r="AJ264" s="104" t="str">
        <f>IFERROR('BMP P Tracking Table'!$AI264*'BMP P Tracking Table'!$AE264,"")</f>
        <v/>
      </c>
      <c r="AK264" s="65"/>
      <c r="AL264" s="98"/>
      <c r="AM264" s="98"/>
      <c r="AN264" s="64">
        <v>1</v>
      </c>
      <c r="AO264" s="102" t="str">
        <f t="shared" si="35"/>
        <v/>
      </c>
      <c r="AP264" s="98"/>
      <c r="AQ264" s="98"/>
      <c r="AR264" s="98"/>
      <c r="AS264" s="98"/>
      <c r="AT264" s="98"/>
      <c r="AU264" s="98"/>
      <c r="AV264" s="98"/>
      <c r="AW264" s="65"/>
      <c r="AX264" s="99"/>
      <c r="AY264" s="99"/>
      <c r="AZ264" s="104" t="str">
        <f>IF('BMP P Tracking Table'!$AL264="Yes",IF('BMP P Tracking Table'!$AM264="No",'BMP P Tracking Table'!$V264*VLOOKUP('BMP P Tracking Table'!$R264,'Loading Rates'!$B$1:$L$24,4,FALSE)+IF('BMP P Tracking Table'!$W264="By HSG",'BMP P Tracking Table'!$X264*VLOOKUP('BMP P Tracking Table'!$R264,'Loading Rates'!$B$1:$L$24,6,FALSE)+'BMP P Tracking Table'!$Y264*VLOOKUP('BMP P Tracking Table'!$R264,'Loading Rates'!$B$1:$L$24,7,FALSE)+'BMP P Tracking Table'!$Z264*VLOOKUP('BMP P Tracking Table'!$R264,'Loading Rates'!$B$1:$L$24,8,FALSE)+'BMP P Tracking Table'!$AA264*VLOOKUP('BMP P Tracking Table'!$R264,'Loading Rates'!$B$1:$L$24,9,FALSE),'BMP P Tracking Table'!$AB264*VLOOKUP('BMP P Tracking Table'!$R264,'Loading Rates'!$B$1:$L$24,10,FALSE)),'BMP P Tracking Table'!$AP264*VLOOKUP('BMP P Tracking Table'!$R264,'Loading Rates'!$B$1:$L$24,4,FALSE)+IF('BMP P Tracking Table'!$AQ264="By HSG",'BMP P Tracking Table'!$AR264*VLOOKUP('BMP P Tracking Table'!$R264,'Loading Rates'!$B$1:$L$24,6,FALSE)+'BMP P Tracking Table'!$AS264*VLOOKUP('BMP P Tracking Table'!$R264,'Loading Rates'!$B$1:$L$24,7,FALSE)+'BMP P Tracking Table'!$AT264*VLOOKUP('BMP P Tracking Table'!$R264,'Loading Rates'!$B$1:$L$24,8,FALSE)+'BMP P Tracking Table'!$AU264*VLOOKUP('BMP P Tracking Table'!$R264,'Loading Rates'!$B$1:$L$24,9,FALSE),'BMP P Tracking Table'!$AV264*VLOOKUP('BMP P Tracking Table'!$R264,'Loading Rates'!$B$1:$L$24,10,FALSE))),"")</f>
        <v/>
      </c>
      <c r="BA264" s="104" t="str">
        <f>IFERROR(IF('BMP P Tracking Table'!$AM264="Yes",MIN(2,IF('BMP P Tracking Table'!$AQ264="Total Pervious",(-(3630*'BMP P Tracking Table'!$AP264+20.691*'BMP P Tracking Table'!$AV264)+SQRT((3630*'BMP P Tracking Table'!$AP264+20.691*'BMP P Tracking Table'!$AV264)^2-(4*(996.798*'BMP P Tracking Table'!$AV264)*-'BMP P Tracking Table'!$AX264)))/(2*(996.798*'BMP P Tracking Table'!$AV264)),IF(SUM('BMP P Tracking Table'!$AR264:$AU264)=0,'BMP P Tracking Table'!$AV264/(-3630*'BMP P Tracking Table'!$AP264),(-(3630*'BMP P Tracking Table'!$AP264+20.691*'BMP P Tracking Table'!$AU264-216.711*'BMP P Tracking Table'!$AT264-83.853*'BMP P Tracking Table'!$AS264-42.834*'BMP P Tracking Table'!$AR264)+SQRT((3630*'BMP P Tracking Table'!$AP264+20.691*'BMP P Tracking Table'!$AU264-216.711*'BMP P Tracking Table'!$AT264-83.853*'BMP P Tracking Table'!$AS264-42.834*'BMP P Tracking Table'!$AR264)^2-(4*(149.919*'BMP P Tracking Table'!$AR264+236.676*'BMP P Tracking Table'!$AS264+726*'BMP P Tracking Table'!$AT264+996.798*'BMP P Tracking Table'!$AU264)*-'BMP P Tracking Table'!$AX264)))/(2*(149.919*'BMP P Tracking Table'!$AR264+236.676*'BMP P Tracking Table'!$AS264+726*'BMP P Tracking Table'!$AT264+996.798*'BMP P Tracking Table'!$AU264))))),MIN(2,IF('BMP P Tracking Table'!$AQ264="Total Pervious",(-(3630*'BMP P Tracking Table'!$V264+20.691*'BMP P Tracking Table'!$AB264)+SQRT((3630*'BMP P Tracking Table'!$V264+20.691*'BMP P Tracking Table'!$AB264)^2-(4*(996.798*'BMP P Tracking Table'!$AB264)*-'BMP P Tracking Table'!$AX264)))/(2*(996.798*'BMP P Tracking Table'!$AB264)),IF(SUM('BMP P Tracking Table'!$X264:$AA264)=0,'BMP P Tracking Table'!$AX264/(-3630*'BMP P Tracking Table'!$V264),(-(3630*'BMP P Tracking Table'!$V264+20.691*'BMP P Tracking Table'!$AA264-216.711*'BMP P Tracking Table'!$Z264-83.853*'BMP P Tracking Table'!$Y264-42.834*'BMP P Tracking Table'!$X264)+SQRT((3630*'BMP P Tracking Table'!$V264+20.691*'BMP P Tracking Table'!$AA264-216.711*'BMP P Tracking Table'!$Z264-83.853*'BMP P Tracking Table'!$Y264-42.834*'BMP P Tracking Table'!$X264)^2-(4*(149.919*'BMP P Tracking Table'!$X264+236.676*'BMP P Tracking Table'!$Y264+726*'BMP P Tracking Table'!$Z264+996.798*'BMP P Tracking Table'!$AA264)*-'BMP P Tracking Table'!$AX264)))/(2*(149.919*'BMP P Tracking Table'!$X264+236.676*'BMP P Tracking Table'!$Y264+726*'BMP P Tracking Table'!$Z264+996.798*'BMP P Tracking Table'!$AA264)))))),"")</f>
        <v/>
      </c>
      <c r="BB264" s="102" t="str">
        <f>IFERROR((VLOOKUP(CONCATENATE('BMP P Tracking Table'!$AW264," ",'BMP P Tracking Table'!$AY264),'Performance Curves'!$C$1:$L$46,_xlfn.SINGLE(MATCH('BMP P Tracking Table'!$BA264,'Performance Curves'!$D$1:$L$1,1))+2,FALSE)-VLOOKUP(CONCATENATE('BMP P Tracking Table'!$AW264," ",'BMP P Tracking Table'!$AY264),'Performance Curves'!$C$1:$L$46,_xlfn.SINGLE(MATCH('BMP P Tracking Table'!$BA264,'Performance Curves'!$D$1:$L$1,1))+1,FALSE)),"")</f>
        <v/>
      </c>
      <c r="BC264" s="102" t="str">
        <f>IFERROR(('BMP P Tracking Table'!$BA264-INDEX('Performance Curves'!$D$1:$L$1,1,MATCH('BMP P Tracking Table'!$BA264,'Performance Curves'!$D$1:$L$1,1)))/(INDEX('Performance Curves'!$D$1:$L$1,1,MATCH('BMP P Tracking Table'!$BA264,'Performance Curves'!$D$1:$L$1,1)+1)-INDEX('Performance Curves'!$D$1:$L$1,1,MATCH('BMP P Tracking Table'!$BA264,'Performance Curves'!$D$1:$L$1,1))),"")</f>
        <v/>
      </c>
      <c r="BD264" s="103" t="str" cm="1">
        <f t="array" ref="BD264">IFERROR(IF('BMP P Tracking Table'!$BA264=2,VLOOKUP(CONCATENATE('BMP P Tracking Table'!$AW264," ",'BMP P Tracking Table'!$AY264),'Performance Curves'!$C$1:$L$44,_xlfn.SINGLE(MATCH('BMP P Tracking Table'!$BA264,'Performance Curves'!$D$1:$L$1,1))+1,FALSE),'BMP P Tracking Table'!$BB264*'BMP P Tracking Table'!$BC264+VLOOKUP(CONCATENATE('BMP P Tracking Table'!$AW264," ",'BMP P Tracking Table'!$AY264),'Performance Curves'!$C$1:$L$44,_xlfn.SINGLE(MATCH('BMP P Tracking Table'!$BA264,'Performance Curves'!$D$1:$L$1,1))+1,FALSE)),"")</f>
        <v/>
      </c>
      <c r="BE264" s="104" t="str">
        <f>IFERROR('BMP P Tracking Table'!$BD264*'BMP P Tracking Table'!$AZ264,"")</f>
        <v/>
      </c>
      <c r="BF264" s="98"/>
      <c r="BG264" s="37">
        <f t="shared" si="36"/>
        <v>0</v>
      </c>
    </row>
    <row r="265" spans="2:59" s="36" customFormat="1">
      <c r="B265" s="65"/>
      <c r="C265" s="65"/>
      <c r="D265" s="65"/>
      <c r="E265" s="65"/>
      <c r="F265" s="94"/>
      <c r="G265" s="94"/>
      <c r="H265" s="65"/>
      <c r="I265" s="65"/>
      <c r="J265" s="65"/>
      <c r="K265" s="95"/>
      <c r="L265" s="65"/>
      <c r="M265" s="65"/>
      <c r="N265" s="65"/>
      <c r="O265" s="65"/>
      <c r="P265" s="65"/>
      <c r="Q265" s="65"/>
      <c r="R265" s="65" t="str">
        <f>IFERROR(VLOOKUP('BMP P Tracking Table'!$Q265,Dropdowns!$C$2:$E$15,3,FALSE),"")</f>
        <v/>
      </c>
      <c r="S265" s="65" t="str">
        <f>IFERROR(VLOOKUP('BMP P Tracking Table'!$R265,Dropdowns!$Q$3:$R$23,2,FALSE),"")</f>
        <v/>
      </c>
      <c r="T265" s="65"/>
      <c r="U265" s="65"/>
      <c r="V265" s="65"/>
      <c r="W265" s="65"/>
      <c r="X265" s="65"/>
      <c r="Y265" s="65"/>
      <c r="Z265" s="65"/>
      <c r="AA265" s="65"/>
      <c r="AB265" s="65"/>
      <c r="AC265" s="97"/>
      <c r="AD265" s="65"/>
      <c r="AE265" s="104" t="str">
        <f>IFERROR('BMP P Tracking Table'!$V265*VLOOKUP('BMP P Tracking Table'!$R265,'Loading Rates'!$B$1:$L$24,4,FALSE)+IF('BMP P Tracking Table'!$W265="By HSG",'BMP P Tracking Table'!$X265*VLOOKUP('BMP P Tracking Table'!$R265,'Loading Rates'!$B$1:$L$24,6,FALSE)+'BMP P Tracking Table'!$Y265*VLOOKUP('BMP P Tracking Table'!$R265,'Loading Rates'!$B$1:$L$24,7,FALSE)+'BMP P Tracking Table'!$Z265*VLOOKUP('BMP P Tracking Table'!$R265,'Loading Rates'!$B$1:$L$24,8,FALSE)+'BMP P Tracking Table'!$AA265*VLOOKUP('BMP P Tracking Table'!$R265,'Loading Rates'!$B$1:$L$24,9,FALSE),'BMP P Tracking Table'!$AB265*VLOOKUP('BMP P Tracking Table'!$R265,'Loading Rates'!$B$1:$L$24,10,FALSE)),"")</f>
        <v/>
      </c>
      <c r="AF265" s="104" t="str">
        <f>IFERROR(MIN(2,IF('BMP P Tracking Table'!$W265="Total Pervious",(-(3630*'BMP P Tracking Table'!$V265+20.691*'BMP P Tracking Table'!$AB265)+SQRT((3630*'BMP P Tracking Table'!$V265+20.691*'BMP P Tracking Table'!$AB265)^2-(4*(996.798*'BMP P Tracking Table'!$AB265)*-'BMP P Tracking Table'!$AC265)))/(2*(996.798*'BMP P Tracking Table'!$AB265)),IF(SUM('BMP P Tracking Table'!$X265:$AA265)=0,'BMP P Tracking Table'!$AC265/(-3630*'BMP P Tracking Table'!$V265),(-(3630*'BMP P Tracking Table'!$V265+20.691*'BMP P Tracking Table'!$AA265-216.711*'BMP P Tracking Table'!$Z265-83.853*'BMP P Tracking Table'!$Y265-42.834*'BMP P Tracking Table'!$X265)+SQRT((3630*'BMP P Tracking Table'!$V265+20.691*'BMP P Tracking Table'!$AA265-216.711*'BMP P Tracking Table'!$Z265-83.853*'BMP P Tracking Table'!$Y265-42.834*'BMP P Tracking Table'!$X265)^2-(4*(149.919*'BMP P Tracking Table'!$X265+236.676*'BMP P Tracking Table'!$Y265+726*'BMP P Tracking Table'!$Z265+996.798*'BMP P Tracking Table'!$AA265)*-'BMP P Tracking Table'!$AC265)))/(2*(149.919*'BMP P Tracking Table'!$X265+236.676*'BMP P Tracking Table'!$Y265+726*'BMP P Tracking Table'!$Z265+996.798*'BMP P Tracking Table'!$AA265))))),"")</f>
        <v/>
      </c>
      <c r="AG265" s="104" t="str">
        <f>IFERROR((VLOOKUP(CONCATENATE('BMP P Tracking Table'!$U265," ",'BMP P Tracking Table'!$AD265),'Performance Curves'!$C$1:$L$46,_xlfn.SINGLE(MATCH('BMP P Tracking Table'!$AF265,'Performance Curves'!$D$1:$L$1,1))+2,FALSE)-VLOOKUP(CONCATENATE('BMP P Tracking Table'!$U265," ",'BMP P Tracking Table'!$AD265),'Performance Curves'!$C$1:$L$46,_xlfn.SINGLE(MATCH('BMP P Tracking Table'!$AF265,'Performance Curves'!$D$1:$L$1,1))+1,FALSE)),"")</f>
        <v/>
      </c>
      <c r="AH265" s="104" t="str">
        <f>IFERROR(('BMP P Tracking Table'!$AF265-INDEX('Performance Curves'!$D$1:$L$1,1,MATCH('BMP P Tracking Table'!$AF265,'Performance Curves'!$D$1:$L$1,1)))/(INDEX('Performance Curves'!$D$1:$L$1,1,MATCH('BMP P Tracking Table'!$AF265,'Performance Curves'!$D$1:$L$1,1)+1)-INDEX('Performance Curves'!$D$1:$L$1,1,MATCH('BMP P Tracking Table'!$AF265,'Performance Curves'!$D$1:$L$1,1))),"")</f>
        <v/>
      </c>
      <c r="AI265" s="103" t="str">
        <f>IFERROR(IF('BMP P Tracking Table'!$AF265=2,VLOOKUP(CONCATENATE('BMP P Tracking Table'!$U265," ",'BMP P Tracking Table'!$AD265),'Performance Curves'!$C$1:$L$46,_xlfn.SINGLE(MATCH('BMP P Tracking Table'!$AF265,'Performance Curves'!$D$1:$L$1,1))+1,FALSE),'BMP P Tracking Table'!$AG265*'BMP P Tracking Table'!$AH265+VLOOKUP(CONCATENATE('BMP P Tracking Table'!$U265," ",'BMP P Tracking Table'!$AD265),'Performance Curves'!$C$1:$L$46,_xlfn.SINGLE(MATCH('BMP P Tracking Table'!$AF265,'Performance Curves'!$D$1:$L$1,1))+1,FALSE)),"")</f>
        <v/>
      </c>
      <c r="AJ265" s="104" t="str">
        <f>IFERROR('BMP P Tracking Table'!$AI265*'BMP P Tracking Table'!$AE265,"")</f>
        <v/>
      </c>
      <c r="AK265" s="65"/>
      <c r="AL265" s="98"/>
      <c r="AM265" s="98"/>
      <c r="AN265" s="64">
        <v>1</v>
      </c>
      <c r="AO265" s="102" t="str">
        <f t="shared" si="35"/>
        <v/>
      </c>
      <c r="AP265" s="98"/>
      <c r="AQ265" s="98"/>
      <c r="AR265" s="98"/>
      <c r="AS265" s="98"/>
      <c r="AT265" s="98"/>
      <c r="AU265" s="98"/>
      <c r="AV265" s="98"/>
      <c r="AW265" s="65"/>
      <c r="AX265" s="99"/>
      <c r="AY265" s="99"/>
      <c r="AZ265" s="104" t="str">
        <f>IF('BMP P Tracking Table'!$AL265="Yes",IF('BMP P Tracking Table'!$AM265="No",'BMP P Tracking Table'!$V265*VLOOKUP('BMP P Tracking Table'!$R265,'Loading Rates'!$B$1:$L$24,4,FALSE)+IF('BMP P Tracking Table'!$W265="By HSG",'BMP P Tracking Table'!$X265*VLOOKUP('BMP P Tracking Table'!$R265,'Loading Rates'!$B$1:$L$24,6,FALSE)+'BMP P Tracking Table'!$Y265*VLOOKUP('BMP P Tracking Table'!$R265,'Loading Rates'!$B$1:$L$24,7,FALSE)+'BMP P Tracking Table'!$Z265*VLOOKUP('BMP P Tracking Table'!$R265,'Loading Rates'!$B$1:$L$24,8,FALSE)+'BMP P Tracking Table'!$AA265*VLOOKUP('BMP P Tracking Table'!$R265,'Loading Rates'!$B$1:$L$24,9,FALSE),'BMP P Tracking Table'!$AB265*VLOOKUP('BMP P Tracking Table'!$R265,'Loading Rates'!$B$1:$L$24,10,FALSE)),'BMP P Tracking Table'!$AP265*VLOOKUP('BMP P Tracking Table'!$R265,'Loading Rates'!$B$1:$L$24,4,FALSE)+IF('BMP P Tracking Table'!$AQ265="By HSG",'BMP P Tracking Table'!$AR265*VLOOKUP('BMP P Tracking Table'!$R265,'Loading Rates'!$B$1:$L$24,6,FALSE)+'BMP P Tracking Table'!$AS265*VLOOKUP('BMP P Tracking Table'!$R265,'Loading Rates'!$B$1:$L$24,7,FALSE)+'BMP P Tracking Table'!$AT265*VLOOKUP('BMP P Tracking Table'!$R265,'Loading Rates'!$B$1:$L$24,8,FALSE)+'BMP P Tracking Table'!$AU265*VLOOKUP('BMP P Tracking Table'!$R265,'Loading Rates'!$B$1:$L$24,9,FALSE),'BMP P Tracking Table'!$AV265*VLOOKUP('BMP P Tracking Table'!$R265,'Loading Rates'!$B$1:$L$24,10,FALSE))),"")</f>
        <v/>
      </c>
      <c r="BA265" s="104" t="str">
        <f>IFERROR(IF('BMP P Tracking Table'!$AM265="Yes",MIN(2,IF('BMP P Tracking Table'!$AQ265="Total Pervious",(-(3630*'BMP P Tracking Table'!$AP265+20.691*'BMP P Tracking Table'!$AV265)+SQRT((3630*'BMP P Tracking Table'!$AP265+20.691*'BMP P Tracking Table'!$AV265)^2-(4*(996.798*'BMP P Tracking Table'!$AV265)*-'BMP P Tracking Table'!$AX265)))/(2*(996.798*'BMP P Tracking Table'!$AV265)),IF(SUM('BMP P Tracking Table'!$AR265:$AU265)=0,'BMP P Tracking Table'!$AV265/(-3630*'BMP P Tracking Table'!$AP265),(-(3630*'BMP P Tracking Table'!$AP265+20.691*'BMP P Tracking Table'!$AU265-216.711*'BMP P Tracking Table'!$AT265-83.853*'BMP P Tracking Table'!$AS265-42.834*'BMP P Tracking Table'!$AR265)+SQRT((3630*'BMP P Tracking Table'!$AP265+20.691*'BMP P Tracking Table'!$AU265-216.711*'BMP P Tracking Table'!$AT265-83.853*'BMP P Tracking Table'!$AS265-42.834*'BMP P Tracking Table'!$AR265)^2-(4*(149.919*'BMP P Tracking Table'!$AR265+236.676*'BMP P Tracking Table'!$AS265+726*'BMP P Tracking Table'!$AT265+996.798*'BMP P Tracking Table'!$AU265)*-'BMP P Tracking Table'!$AX265)))/(2*(149.919*'BMP P Tracking Table'!$AR265+236.676*'BMP P Tracking Table'!$AS265+726*'BMP P Tracking Table'!$AT265+996.798*'BMP P Tracking Table'!$AU265))))),MIN(2,IF('BMP P Tracking Table'!$AQ265="Total Pervious",(-(3630*'BMP P Tracking Table'!$V265+20.691*'BMP P Tracking Table'!$AB265)+SQRT((3630*'BMP P Tracking Table'!$V265+20.691*'BMP P Tracking Table'!$AB265)^2-(4*(996.798*'BMP P Tracking Table'!$AB265)*-'BMP P Tracking Table'!$AX265)))/(2*(996.798*'BMP P Tracking Table'!$AB265)),IF(SUM('BMP P Tracking Table'!$X265:$AA265)=0,'BMP P Tracking Table'!$AX265/(-3630*'BMP P Tracking Table'!$V265),(-(3630*'BMP P Tracking Table'!$V265+20.691*'BMP P Tracking Table'!$AA265-216.711*'BMP P Tracking Table'!$Z265-83.853*'BMP P Tracking Table'!$Y265-42.834*'BMP P Tracking Table'!$X265)+SQRT((3630*'BMP P Tracking Table'!$V265+20.691*'BMP P Tracking Table'!$AA265-216.711*'BMP P Tracking Table'!$Z265-83.853*'BMP P Tracking Table'!$Y265-42.834*'BMP P Tracking Table'!$X265)^2-(4*(149.919*'BMP P Tracking Table'!$X265+236.676*'BMP P Tracking Table'!$Y265+726*'BMP P Tracking Table'!$Z265+996.798*'BMP P Tracking Table'!$AA265)*-'BMP P Tracking Table'!$AX265)))/(2*(149.919*'BMP P Tracking Table'!$X265+236.676*'BMP P Tracking Table'!$Y265+726*'BMP P Tracking Table'!$Z265+996.798*'BMP P Tracking Table'!$AA265)))))),"")</f>
        <v/>
      </c>
      <c r="BB265" s="102" t="str">
        <f>IFERROR((VLOOKUP(CONCATENATE('BMP P Tracking Table'!$AW265," ",'BMP P Tracking Table'!$AY265),'Performance Curves'!$C$1:$L$46,_xlfn.SINGLE(MATCH('BMP P Tracking Table'!$BA265,'Performance Curves'!$D$1:$L$1,1))+2,FALSE)-VLOOKUP(CONCATENATE('BMP P Tracking Table'!$AW265," ",'BMP P Tracking Table'!$AY265),'Performance Curves'!$C$1:$L$46,_xlfn.SINGLE(MATCH('BMP P Tracking Table'!$BA265,'Performance Curves'!$D$1:$L$1,1))+1,FALSE)),"")</f>
        <v/>
      </c>
      <c r="BC265" s="102" t="str">
        <f>IFERROR(('BMP P Tracking Table'!$BA265-INDEX('Performance Curves'!$D$1:$L$1,1,MATCH('BMP P Tracking Table'!$BA265,'Performance Curves'!$D$1:$L$1,1)))/(INDEX('Performance Curves'!$D$1:$L$1,1,MATCH('BMP P Tracking Table'!$BA265,'Performance Curves'!$D$1:$L$1,1)+1)-INDEX('Performance Curves'!$D$1:$L$1,1,MATCH('BMP P Tracking Table'!$BA265,'Performance Curves'!$D$1:$L$1,1))),"")</f>
        <v/>
      </c>
      <c r="BD265" s="103" t="str" cm="1">
        <f t="array" ref="BD265">IFERROR(IF('BMP P Tracking Table'!$BA265=2,VLOOKUP(CONCATENATE('BMP P Tracking Table'!$AW265," ",'BMP P Tracking Table'!$AY265),'Performance Curves'!$C$1:$L$44,_xlfn.SINGLE(MATCH('BMP P Tracking Table'!$BA265,'Performance Curves'!$D$1:$L$1,1))+1,FALSE),'BMP P Tracking Table'!$BB265*'BMP P Tracking Table'!$BC265+VLOOKUP(CONCATENATE('BMP P Tracking Table'!$AW265," ",'BMP P Tracking Table'!$AY265),'Performance Curves'!$C$1:$L$44,_xlfn.SINGLE(MATCH('BMP P Tracking Table'!$BA265,'Performance Curves'!$D$1:$L$1,1))+1,FALSE)),"")</f>
        <v/>
      </c>
      <c r="BE265" s="104" t="str">
        <f>IFERROR('BMP P Tracking Table'!$BD265*'BMP P Tracking Table'!$AZ265,"")</f>
        <v/>
      </c>
      <c r="BF265" s="98"/>
      <c r="BG265" s="37">
        <f t="shared" si="36"/>
        <v>0</v>
      </c>
    </row>
    <row r="266" spans="2:59" s="36" customFormat="1">
      <c r="B266" s="65"/>
      <c r="C266" s="65"/>
      <c r="D266" s="65"/>
      <c r="E266" s="65"/>
      <c r="F266" s="94"/>
      <c r="G266" s="94"/>
      <c r="H266" s="65"/>
      <c r="I266" s="65"/>
      <c r="J266" s="65"/>
      <c r="K266" s="95"/>
      <c r="L266" s="65"/>
      <c r="M266" s="65"/>
      <c r="N266" s="65"/>
      <c r="O266" s="65"/>
      <c r="P266" s="65"/>
      <c r="Q266" s="65"/>
      <c r="R266" s="65" t="str">
        <f>IFERROR(VLOOKUP('BMP P Tracking Table'!$Q266,Dropdowns!$C$2:$E$15,3,FALSE),"")</f>
        <v/>
      </c>
      <c r="S266" s="65" t="str">
        <f>IFERROR(VLOOKUP('BMP P Tracking Table'!$R266,Dropdowns!$Q$3:$R$23,2,FALSE),"")</f>
        <v/>
      </c>
      <c r="T266" s="65"/>
      <c r="U266" s="65"/>
      <c r="V266" s="65"/>
      <c r="W266" s="65"/>
      <c r="X266" s="65"/>
      <c r="Y266" s="65"/>
      <c r="Z266" s="65"/>
      <c r="AA266" s="65"/>
      <c r="AB266" s="65"/>
      <c r="AC266" s="97"/>
      <c r="AD266" s="65"/>
      <c r="AE266" s="104" t="str">
        <f>IFERROR('BMP P Tracking Table'!$V266*VLOOKUP('BMP P Tracking Table'!$R266,'Loading Rates'!$B$1:$L$24,4,FALSE)+IF('BMP P Tracking Table'!$W266="By HSG",'BMP P Tracking Table'!$X266*VLOOKUP('BMP P Tracking Table'!$R266,'Loading Rates'!$B$1:$L$24,6,FALSE)+'BMP P Tracking Table'!$Y266*VLOOKUP('BMP P Tracking Table'!$R266,'Loading Rates'!$B$1:$L$24,7,FALSE)+'BMP P Tracking Table'!$Z266*VLOOKUP('BMP P Tracking Table'!$R266,'Loading Rates'!$B$1:$L$24,8,FALSE)+'BMP P Tracking Table'!$AA266*VLOOKUP('BMP P Tracking Table'!$R266,'Loading Rates'!$B$1:$L$24,9,FALSE),'BMP P Tracking Table'!$AB266*VLOOKUP('BMP P Tracking Table'!$R266,'Loading Rates'!$B$1:$L$24,10,FALSE)),"")</f>
        <v/>
      </c>
      <c r="AF266" s="104" t="str">
        <f>IFERROR(MIN(2,IF('BMP P Tracking Table'!$W266="Total Pervious",(-(3630*'BMP P Tracking Table'!$V266+20.691*'BMP P Tracking Table'!$AB266)+SQRT((3630*'BMP P Tracking Table'!$V266+20.691*'BMP P Tracking Table'!$AB266)^2-(4*(996.798*'BMP P Tracking Table'!$AB266)*-'BMP P Tracking Table'!$AC266)))/(2*(996.798*'BMP P Tracking Table'!$AB266)),IF(SUM('BMP P Tracking Table'!$X266:$AA266)=0,'BMP P Tracking Table'!$AC266/(-3630*'BMP P Tracking Table'!$V266),(-(3630*'BMP P Tracking Table'!$V266+20.691*'BMP P Tracking Table'!$AA266-216.711*'BMP P Tracking Table'!$Z266-83.853*'BMP P Tracking Table'!$Y266-42.834*'BMP P Tracking Table'!$X266)+SQRT((3630*'BMP P Tracking Table'!$V266+20.691*'BMP P Tracking Table'!$AA266-216.711*'BMP P Tracking Table'!$Z266-83.853*'BMP P Tracking Table'!$Y266-42.834*'BMP P Tracking Table'!$X266)^2-(4*(149.919*'BMP P Tracking Table'!$X266+236.676*'BMP P Tracking Table'!$Y266+726*'BMP P Tracking Table'!$Z266+996.798*'BMP P Tracking Table'!$AA266)*-'BMP P Tracking Table'!$AC266)))/(2*(149.919*'BMP P Tracking Table'!$X266+236.676*'BMP P Tracking Table'!$Y266+726*'BMP P Tracking Table'!$Z266+996.798*'BMP P Tracking Table'!$AA266))))),"")</f>
        <v/>
      </c>
      <c r="AG266" s="104" t="str">
        <f>IFERROR((VLOOKUP(CONCATENATE('BMP P Tracking Table'!$U266," ",'BMP P Tracking Table'!$AD266),'Performance Curves'!$C$1:$L$46,_xlfn.SINGLE(MATCH('BMP P Tracking Table'!$AF266,'Performance Curves'!$D$1:$L$1,1))+2,FALSE)-VLOOKUP(CONCATENATE('BMP P Tracking Table'!$U266," ",'BMP P Tracking Table'!$AD266),'Performance Curves'!$C$1:$L$46,_xlfn.SINGLE(MATCH('BMP P Tracking Table'!$AF266,'Performance Curves'!$D$1:$L$1,1))+1,FALSE)),"")</f>
        <v/>
      </c>
      <c r="AH266" s="104" t="str">
        <f>IFERROR(('BMP P Tracking Table'!$AF266-INDEX('Performance Curves'!$D$1:$L$1,1,MATCH('BMP P Tracking Table'!$AF266,'Performance Curves'!$D$1:$L$1,1)))/(INDEX('Performance Curves'!$D$1:$L$1,1,MATCH('BMP P Tracking Table'!$AF266,'Performance Curves'!$D$1:$L$1,1)+1)-INDEX('Performance Curves'!$D$1:$L$1,1,MATCH('BMP P Tracking Table'!$AF266,'Performance Curves'!$D$1:$L$1,1))),"")</f>
        <v/>
      </c>
      <c r="AI266" s="103" t="str">
        <f>IFERROR(IF('BMP P Tracking Table'!$AF266=2,VLOOKUP(CONCATENATE('BMP P Tracking Table'!$U266," ",'BMP P Tracking Table'!$AD266),'Performance Curves'!$C$1:$L$46,_xlfn.SINGLE(MATCH('BMP P Tracking Table'!$AF266,'Performance Curves'!$D$1:$L$1,1))+1,FALSE),'BMP P Tracking Table'!$AG266*'BMP P Tracking Table'!$AH266+VLOOKUP(CONCATENATE('BMP P Tracking Table'!$U266," ",'BMP P Tracking Table'!$AD266),'Performance Curves'!$C$1:$L$46,_xlfn.SINGLE(MATCH('BMP P Tracking Table'!$AF266,'Performance Curves'!$D$1:$L$1,1))+1,FALSE)),"")</f>
        <v/>
      </c>
      <c r="AJ266" s="104" t="str">
        <f>IFERROR('BMP P Tracking Table'!$AI266*'BMP P Tracking Table'!$AE266,"")</f>
        <v/>
      </c>
      <c r="AK266" s="65"/>
      <c r="AL266" s="98"/>
      <c r="AM266" s="98"/>
      <c r="AN266" s="64">
        <v>1</v>
      </c>
      <c r="AO266" s="102" t="str">
        <f t="shared" si="35"/>
        <v/>
      </c>
      <c r="AP266" s="98"/>
      <c r="AQ266" s="98"/>
      <c r="AR266" s="98"/>
      <c r="AS266" s="98"/>
      <c r="AT266" s="98"/>
      <c r="AU266" s="98"/>
      <c r="AV266" s="98"/>
      <c r="AW266" s="65"/>
      <c r="AX266" s="99"/>
      <c r="AY266" s="99"/>
      <c r="AZ266" s="104" t="str">
        <f>IF('BMP P Tracking Table'!$AL266="Yes",IF('BMP P Tracking Table'!$AM266="No",'BMP P Tracking Table'!$V266*VLOOKUP('BMP P Tracking Table'!$R266,'Loading Rates'!$B$1:$L$24,4,FALSE)+IF('BMP P Tracking Table'!$W266="By HSG",'BMP P Tracking Table'!$X266*VLOOKUP('BMP P Tracking Table'!$R266,'Loading Rates'!$B$1:$L$24,6,FALSE)+'BMP P Tracking Table'!$Y266*VLOOKUP('BMP P Tracking Table'!$R266,'Loading Rates'!$B$1:$L$24,7,FALSE)+'BMP P Tracking Table'!$Z266*VLOOKUP('BMP P Tracking Table'!$R266,'Loading Rates'!$B$1:$L$24,8,FALSE)+'BMP P Tracking Table'!$AA266*VLOOKUP('BMP P Tracking Table'!$R266,'Loading Rates'!$B$1:$L$24,9,FALSE),'BMP P Tracking Table'!$AB266*VLOOKUP('BMP P Tracking Table'!$R266,'Loading Rates'!$B$1:$L$24,10,FALSE)),'BMP P Tracking Table'!$AP266*VLOOKUP('BMP P Tracking Table'!$R266,'Loading Rates'!$B$1:$L$24,4,FALSE)+IF('BMP P Tracking Table'!$AQ266="By HSG",'BMP P Tracking Table'!$AR266*VLOOKUP('BMP P Tracking Table'!$R266,'Loading Rates'!$B$1:$L$24,6,FALSE)+'BMP P Tracking Table'!$AS266*VLOOKUP('BMP P Tracking Table'!$R266,'Loading Rates'!$B$1:$L$24,7,FALSE)+'BMP P Tracking Table'!$AT266*VLOOKUP('BMP P Tracking Table'!$R266,'Loading Rates'!$B$1:$L$24,8,FALSE)+'BMP P Tracking Table'!$AU266*VLOOKUP('BMP P Tracking Table'!$R266,'Loading Rates'!$B$1:$L$24,9,FALSE),'BMP P Tracking Table'!$AV266*VLOOKUP('BMP P Tracking Table'!$R266,'Loading Rates'!$B$1:$L$24,10,FALSE))),"")</f>
        <v/>
      </c>
      <c r="BA266" s="104" t="str">
        <f>IFERROR(IF('BMP P Tracking Table'!$AM266="Yes",MIN(2,IF('BMP P Tracking Table'!$AQ266="Total Pervious",(-(3630*'BMP P Tracking Table'!$AP266+20.691*'BMP P Tracking Table'!$AV266)+SQRT((3630*'BMP P Tracking Table'!$AP266+20.691*'BMP P Tracking Table'!$AV266)^2-(4*(996.798*'BMP P Tracking Table'!$AV266)*-'BMP P Tracking Table'!$AX266)))/(2*(996.798*'BMP P Tracking Table'!$AV266)),IF(SUM('BMP P Tracking Table'!$AR266:$AU266)=0,'BMP P Tracking Table'!$AV266/(-3630*'BMP P Tracking Table'!$AP266),(-(3630*'BMP P Tracking Table'!$AP266+20.691*'BMP P Tracking Table'!$AU266-216.711*'BMP P Tracking Table'!$AT266-83.853*'BMP P Tracking Table'!$AS266-42.834*'BMP P Tracking Table'!$AR266)+SQRT((3630*'BMP P Tracking Table'!$AP266+20.691*'BMP P Tracking Table'!$AU266-216.711*'BMP P Tracking Table'!$AT266-83.853*'BMP P Tracking Table'!$AS266-42.834*'BMP P Tracking Table'!$AR266)^2-(4*(149.919*'BMP P Tracking Table'!$AR266+236.676*'BMP P Tracking Table'!$AS266+726*'BMP P Tracking Table'!$AT266+996.798*'BMP P Tracking Table'!$AU266)*-'BMP P Tracking Table'!$AX266)))/(2*(149.919*'BMP P Tracking Table'!$AR266+236.676*'BMP P Tracking Table'!$AS266+726*'BMP P Tracking Table'!$AT266+996.798*'BMP P Tracking Table'!$AU266))))),MIN(2,IF('BMP P Tracking Table'!$AQ266="Total Pervious",(-(3630*'BMP P Tracking Table'!$V266+20.691*'BMP P Tracking Table'!$AB266)+SQRT((3630*'BMP P Tracking Table'!$V266+20.691*'BMP P Tracking Table'!$AB266)^2-(4*(996.798*'BMP P Tracking Table'!$AB266)*-'BMP P Tracking Table'!$AX266)))/(2*(996.798*'BMP P Tracking Table'!$AB266)),IF(SUM('BMP P Tracking Table'!$X266:$AA266)=0,'BMP P Tracking Table'!$AX266/(-3630*'BMP P Tracking Table'!$V266),(-(3630*'BMP P Tracking Table'!$V266+20.691*'BMP P Tracking Table'!$AA266-216.711*'BMP P Tracking Table'!$Z266-83.853*'BMP P Tracking Table'!$Y266-42.834*'BMP P Tracking Table'!$X266)+SQRT((3630*'BMP P Tracking Table'!$V266+20.691*'BMP P Tracking Table'!$AA266-216.711*'BMP P Tracking Table'!$Z266-83.853*'BMP P Tracking Table'!$Y266-42.834*'BMP P Tracking Table'!$X266)^2-(4*(149.919*'BMP P Tracking Table'!$X266+236.676*'BMP P Tracking Table'!$Y266+726*'BMP P Tracking Table'!$Z266+996.798*'BMP P Tracking Table'!$AA266)*-'BMP P Tracking Table'!$AX266)))/(2*(149.919*'BMP P Tracking Table'!$X266+236.676*'BMP P Tracking Table'!$Y266+726*'BMP P Tracking Table'!$Z266+996.798*'BMP P Tracking Table'!$AA266)))))),"")</f>
        <v/>
      </c>
      <c r="BB266" s="102" t="str">
        <f>IFERROR((VLOOKUP(CONCATENATE('BMP P Tracking Table'!$AW266," ",'BMP P Tracking Table'!$AY266),'Performance Curves'!$C$1:$L$46,_xlfn.SINGLE(MATCH('BMP P Tracking Table'!$BA266,'Performance Curves'!$D$1:$L$1,1))+2,FALSE)-VLOOKUP(CONCATENATE('BMP P Tracking Table'!$AW266," ",'BMP P Tracking Table'!$AY266),'Performance Curves'!$C$1:$L$46,_xlfn.SINGLE(MATCH('BMP P Tracking Table'!$BA266,'Performance Curves'!$D$1:$L$1,1))+1,FALSE)),"")</f>
        <v/>
      </c>
      <c r="BC266" s="102" t="str">
        <f>IFERROR(('BMP P Tracking Table'!$BA266-INDEX('Performance Curves'!$D$1:$L$1,1,MATCH('BMP P Tracking Table'!$BA266,'Performance Curves'!$D$1:$L$1,1)))/(INDEX('Performance Curves'!$D$1:$L$1,1,MATCH('BMP P Tracking Table'!$BA266,'Performance Curves'!$D$1:$L$1,1)+1)-INDEX('Performance Curves'!$D$1:$L$1,1,MATCH('BMP P Tracking Table'!$BA266,'Performance Curves'!$D$1:$L$1,1))),"")</f>
        <v/>
      </c>
      <c r="BD266" s="103" t="str" cm="1">
        <f t="array" ref="BD266">IFERROR(IF('BMP P Tracking Table'!$BA266=2,VLOOKUP(CONCATENATE('BMP P Tracking Table'!$AW266," ",'BMP P Tracking Table'!$AY266),'Performance Curves'!$C$1:$L$44,_xlfn.SINGLE(MATCH('BMP P Tracking Table'!$BA266,'Performance Curves'!$D$1:$L$1,1))+1,FALSE),'BMP P Tracking Table'!$BB266*'BMP P Tracking Table'!$BC266+VLOOKUP(CONCATENATE('BMP P Tracking Table'!$AW266," ",'BMP P Tracking Table'!$AY266),'Performance Curves'!$C$1:$L$44,_xlfn.SINGLE(MATCH('BMP P Tracking Table'!$BA266,'Performance Curves'!$D$1:$L$1,1))+1,FALSE)),"")</f>
        <v/>
      </c>
      <c r="BE266" s="104" t="str">
        <f>IFERROR('BMP P Tracking Table'!$BD266*'BMP P Tracking Table'!$AZ266,"")</f>
        <v/>
      </c>
      <c r="BF266" s="98"/>
      <c r="BG266" s="37">
        <f t="shared" si="36"/>
        <v>0</v>
      </c>
    </row>
    <row r="267" spans="2:59" s="36" customFormat="1">
      <c r="B267" s="65"/>
      <c r="C267" s="65"/>
      <c r="D267" s="65"/>
      <c r="E267" s="65"/>
      <c r="F267" s="94"/>
      <c r="G267" s="94"/>
      <c r="H267" s="65"/>
      <c r="I267" s="65"/>
      <c r="J267" s="65"/>
      <c r="K267" s="95"/>
      <c r="L267" s="65"/>
      <c r="M267" s="65"/>
      <c r="N267" s="65"/>
      <c r="O267" s="65"/>
      <c r="P267" s="65"/>
      <c r="Q267" s="65"/>
      <c r="R267" s="65" t="str">
        <f>IFERROR(VLOOKUP('BMP P Tracking Table'!$Q267,Dropdowns!$C$2:$E$15,3,FALSE),"")</f>
        <v/>
      </c>
      <c r="S267" s="65" t="str">
        <f>IFERROR(VLOOKUP('BMP P Tracking Table'!$R267,Dropdowns!$Q$3:$R$23,2,FALSE),"")</f>
        <v/>
      </c>
      <c r="T267" s="65"/>
      <c r="U267" s="65"/>
      <c r="V267" s="65"/>
      <c r="W267" s="65"/>
      <c r="X267" s="65"/>
      <c r="Y267" s="65"/>
      <c r="Z267" s="65"/>
      <c r="AA267" s="65"/>
      <c r="AB267" s="65"/>
      <c r="AC267" s="97"/>
      <c r="AD267" s="65"/>
      <c r="AE267" s="104" t="str">
        <f>IFERROR('BMP P Tracking Table'!$V267*VLOOKUP('BMP P Tracking Table'!$R267,'Loading Rates'!$B$1:$L$24,4,FALSE)+IF('BMP P Tracking Table'!$W267="By HSG",'BMP P Tracking Table'!$X267*VLOOKUP('BMP P Tracking Table'!$R267,'Loading Rates'!$B$1:$L$24,6,FALSE)+'BMP P Tracking Table'!$Y267*VLOOKUP('BMP P Tracking Table'!$R267,'Loading Rates'!$B$1:$L$24,7,FALSE)+'BMP P Tracking Table'!$Z267*VLOOKUP('BMP P Tracking Table'!$R267,'Loading Rates'!$B$1:$L$24,8,FALSE)+'BMP P Tracking Table'!$AA267*VLOOKUP('BMP P Tracking Table'!$R267,'Loading Rates'!$B$1:$L$24,9,FALSE),'BMP P Tracking Table'!$AB267*VLOOKUP('BMP P Tracking Table'!$R267,'Loading Rates'!$B$1:$L$24,10,FALSE)),"")</f>
        <v/>
      </c>
      <c r="AF267" s="104" t="str">
        <f>IFERROR(MIN(2,IF('BMP P Tracking Table'!$W267="Total Pervious",(-(3630*'BMP P Tracking Table'!$V267+20.691*'BMP P Tracking Table'!$AB267)+SQRT((3630*'BMP P Tracking Table'!$V267+20.691*'BMP P Tracking Table'!$AB267)^2-(4*(996.798*'BMP P Tracking Table'!$AB267)*-'BMP P Tracking Table'!$AC267)))/(2*(996.798*'BMP P Tracking Table'!$AB267)),IF(SUM('BMP P Tracking Table'!$X267:$AA267)=0,'BMP P Tracking Table'!$AC267/(-3630*'BMP P Tracking Table'!$V267),(-(3630*'BMP P Tracking Table'!$V267+20.691*'BMP P Tracking Table'!$AA267-216.711*'BMP P Tracking Table'!$Z267-83.853*'BMP P Tracking Table'!$Y267-42.834*'BMP P Tracking Table'!$X267)+SQRT((3630*'BMP P Tracking Table'!$V267+20.691*'BMP P Tracking Table'!$AA267-216.711*'BMP P Tracking Table'!$Z267-83.853*'BMP P Tracking Table'!$Y267-42.834*'BMP P Tracking Table'!$X267)^2-(4*(149.919*'BMP P Tracking Table'!$X267+236.676*'BMP P Tracking Table'!$Y267+726*'BMP P Tracking Table'!$Z267+996.798*'BMP P Tracking Table'!$AA267)*-'BMP P Tracking Table'!$AC267)))/(2*(149.919*'BMP P Tracking Table'!$X267+236.676*'BMP P Tracking Table'!$Y267+726*'BMP P Tracking Table'!$Z267+996.798*'BMP P Tracking Table'!$AA267))))),"")</f>
        <v/>
      </c>
      <c r="AG267" s="104" t="str">
        <f>IFERROR((VLOOKUP(CONCATENATE('BMP P Tracking Table'!$U267," ",'BMP P Tracking Table'!$AD267),'Performance Curves'!$C$1:$L$46,_xlfn.SINGLE(MATCH('BMP P Tracking Table'!$AF267,'Performance Curves'!$D$1:$L$1,1))+2,FALSE)-VLOOKUP(CONCATENATE('BMP P Tracking Table'!$U267," ",'BMP P Tracking Table'!$AD267),'Performance Curves'!$C$1:$L$46,_xlfn.SINGLE(MATCH('BMP P Tracking Table'!$AF267,'Performance Curves'!$D$1:$L$1,1))+1,FALSE)),"")</f>
        <v/>
      </c>
      <c r="AH267" s="104" t="str">
        <f>IFERROR(('BMP P Tracking Table'!$AF267-INDEX('Performance Curves'!$D$1:$L$1,1,MATCH('BMP P Tracking Table'!$AF267,'Performance Curves'!$D$1:$L$1,1)))/(INDEX('Performance Curves'!$D$1:$L$1,1,MATCH('BMP P Tracking Table'!$AF267,'Performance Curves'!$D$1:$L$1,1)+1)-INDEX('Performance Curves'!$D$1:$L$1,1,MATCH('BMP P Tracking Table'!$AF267,'Performance Curves'!$D$1:$L$1,1))),"")</f>
        <v/>
      </c>
      <c r="AI267" s="103" t="str">
        <f>IFERROR(IF('BMP P Tracking Table'!$AF267=2,VLOOKUP(CONCATENATE('BMP P Tracking Table'!$U267," ",'BMP P Tracking Table'!$AD267),'Performance Curves'!$C$1:$L$46,_xlfn.SINGLE(MATCH('BMP P Tracking Table'!$AF267,'Performance Curves'!$D$1:$L$1,1))+1,FALSE),'BMP P Tracking Table'!$AG267*'BMP P Tracking Table'!$AH267+VLOOKUP(CONCATENATE('BMP P Tracking Table'!$U267," ",'BMP P Tracking Table'!$AD267),'Performance Curves'!$C$1:$L$46,_xlfn.SINGLE(MATCH('BMP P Tracking Table'!$AF267,'Performance Curves'!$D$1:$L$1,1))+1,FALSE)),"")</f>
        <v/>
      </c>
      <c r="AJ267" s="104" t="str">
        <f>IFERROR('BMP P Tracking Table'!$AI267*'BMP P Tracking Table'!$AE267,"")</f>
        <v/>
      </c>
      <c r="AK267" s="65"/>
      <c r="AL267" s="98"/>
      <c r="AM267" s="98"/>
      <c r="AN267" s="64">
        <v>1</v>
      </c>
      <c r="AO267" s="102" t="str">
        <f t="shared" si="35"/>
        <v/>
      </c>
      <c r="AP267" s="98"/>
      <c r="AQ267" s="98"/>
      <c r="AR267" s="98"/>
      <c r="AS267" s="98"/>
      <c r="AT267" s="98"/>
      <c r="AU267" s="98"/>
      <c r="AV267" s="98"/>
      <c r="AW267" s="65"/>
      <c r="AX267" s="99"/>
      <c r="AY267" s="99"/>
      <c r="AZ267" s="104" t="str">
        <f>IF('BMP P Tracking Table'!$AL267="Yes",IF('BMP P Tracking Table'!$AM267="No",'BMP P Tracking Table'!$V267*VLOOKUP('BMP P Tracking Table'!$R267,'Loading Rates'!$B$1:$L$24,4,FALSE)+IF('BMP P Tracking Table'!$W267="By HSG",'BMP P Tracking Table'!$X267*VLOOKUP('BMP P Tracking Table'!$R267,'Loading Rates'!$B$1:$L$24,6,FALSE)+'BMP P Tracking Table'!$Y267*VLOOKUP('BMP P Tracking Table'!$R267,'Loading Rates'!$B$1:$L$24,7,FALSE)+'BMP P Tracking Table'!$Z267*VLOOKUP('BMP P Tracking Table'!$R267,'Loading Rates'!$B$1:$L$24,8,FALSE)+'BMP P Tracking Table'!$AA267*VLOOKUP('BMP P Tracking Table'!$R267,'Loading Rates'!$B$1:$L$24,9,FALSE),'BMP P Tracking Table'!$AB267*VLOOKUP('BMP P Tracking Table'!$R267,'Loading Rates'!$B$1:$L$24,10,FALSE)),'BMP P Tracking Table'!$AP267*VLOOKUP('BMP P Tracking Table'!$R267,'Loading Rates'!$B$1:$L$24,4,FALSE)+IF('BMP P Tracking Table'!$AQ267="By HSG",'BMP P Tracking Table'!$AR267*VLOOKUP('BMP P Tracking Table'!$R267,'Loading Rates'!$B$1:$L$24,6,FALSE)+'BMP P Tracking Table'!$AS267*VLOOKUP('BMP P Tracking Table'!$R267,'Loading Rates'!$B$1:$L$24,7,FALSE)+'BMP P Tracking Table'!$AT267*VLOOKUP('BMP P Tracking Table'!$R267,'Loading Rates'!$B$1:$L$24,8,FALSE)+'BMP P Tracking Table'!$AU267*VLOOKUP('BMP P Tracking Table'!$R267,'Loading Rates'!$B$1:$L$24,9,FALSE),'BMP P Tracking Table'!$AV267*VLOOKUP('BMP P Tracking Table'!$R267,'Loading Rates'!$B$1:$L$24,10,FALSE))),"")</f>
        <v/>
      </c>
      <c r="BA267" s="104" t="str">
        <f>IFERROR(IF('BMP P Tracking Table'!$AM267="Yes",MIN(2,IF('BMP P Tracking Table'!$AQ267="Total Pervious",(-(3630*'BMP P Tracking Table'!$AP267+20.691*'BMP P Tracking Table'!$AV267)+SQRT((3630*'BMP P Tracking Table'!$AP267+20.691*'BMP P Tracking Table'!$AV267)^2-(4*(996.798*'BMP P Tracking Table'!$AV267)*-'BMP P Tracking Table'!$AX267)))/(2*(996.798*'BMP P Tracking Table'!$AV267)),IF(SUM('BMP P Tracking Table'!$AR267:$AU267)=0,'BMP P Tracking Table'!$AV267/(-3630*'BMP P Tracking Table'!$AP267),(-(3630*'BMP P Tracking Table'!$AP267+20.691*'BMP P Tracking Table'!$AU267-216.711*'BMP P Tracking Table'!$AT267-83.853*'BMP P Tracking Table'!$AS267-42.834*'BMP P Tracking Table'!$AR267)+SQRT((3630*'BMP P Tracking Table'!$AP267+20.691*'BMP P Tracking Table'!$AU267-216.711*'BMP P Tracking Table'!$AT267-83.853*'BMP P Tracking Table'!$AS267-42.834*'BMP P Tracking Table'!$AR267)^2-(4*(149.919*'BMP P Tracking Table'!$AR267+236.676*'BMP P Tracking Table'!$AS267+726*'BMP P Tracking Table'!$AT267+996.798*'BMP P Tracking Table'!$AU267)*-'BMP P Tracking Table'!$AX267)))/(2*(149.919*'BMP P Tracking Table'!$AR267+236.676*'BMP P Tracking Table'!$AS267+726*'BMP P Tracking Table'!$AT267+996.798*'BMP P Tracking Table'!$AU267))))),MIN(2,IF('BMP P Tracking Table'!$AQ267="Total Pervious",(-(3630*'BMP P Tracking Table'!$V267+20.691*'BMP P Tracking Table'!$AB267)+SQRT((3630*'BMP P Tracking Table'!$V267+20.691*'BMP P Tracking Table'!$AB267)^2-(4*(996.798*'BMP P Tracking Table'!$AB267)*-'BMP P Tracking Table'!$AX267)))/(2*(996.798*'BMP P Tracking Table'!$AB267)),IF(SUM('BMP P Tracking Table'!$X267:$AA267)=0,'BMP P Tracking Table'!$AX267/(-3630*'BMP P Tracking Table'!$V267),(-(3630*'BMP P Tracking Table'!$V267+20.691*'BMP P Tracking Table'!$AA267-216.711*'BMP P Tracking Table'!$Z267-83.853*'BMP P Tracking Table'!$Y267-42.834*'BMP P Tracking Table'!$X267)+SQRT((3630*'BMP P Tracking Table'!$V267+20.691*'BMP P Tracking Table'!$AA267-216.711*'BMP P Tracking Table'!$Z267-83.853*'BMP P Tracking Table'!$Y267-42.834*'BMP P Tracking Table'!$X267)^2-(4*(149.919*'BMP P Tracking Table'!$X267+236.676*'BMP P Tracking Table'!$Y267+726*'BMP P Tracking Table'!$Z267+996.798*'BMP P Tracking Table'!$AA267)*-'BMP P Tracking Table'!$AX267)))/(2*(149.919*'BMP P Tracking Table'!$X267+236.676*'BMP P Tracking Table'!$Y267+726*'BMP P Tracking Table'!$Z267+996.798*'BMP P Tracking Table'!$AA267)))))),"")</f>
        <v/>
      </c>
      <c r="BB267" s="102" t="str">
        <f>IFERROR((VLOOKUP(CONCATENATE('BMP P Tracking Table'!$AW267," ",'BMP P Tracking Table'!$AY267),'Performance Curves'!$C$1:$L$46,_xlfn.SINGLE(MATCH('BMP P Tracking Table'!$BA267,'Performance Curves'!$D$1:$L$1,1))+2,FALSE)-VLOOKUP(CONCATENATE('BMP P Tracking Table'!$AW267," ",'BMP P Tracking Table'!$AY267),'Performance Curves'!$C$1:$L$46,_xlfn.SINGLE(MATCH('BMP P Tracking Table'!$BA267,'Performance Curves'!$D$1:$L$1,1))+1,FALSE)),"")</f>
        <v/>
      </c>
      <c r="BC267" s="102" t="str">
        <f>IFERROR(('BMP P Tracking Table'!$BA267-INDEX('Performance Curves'!$D$1:$L$1,1,MATCH('BMP P Tracking Table'!$BA267,'Performance Curves'!$D$1:$L$1,1)))/(INDEX('Performance Curves'!$D$1:$L$1,1,MATCH('BMP P Tracking Table'!$BA267,'Performance Curves'!$D$1:$L$1,1)+1)-INDEX('Performance Curves'!$D$1:$L$1,1,MATCH('BMP P Tracking Table'!$BA267,'Performance Curves'!$D$1:$L$1,1))),"")</f>
        <v/>
      </c>
      <c r="BD267" s="103" t="str" cm="1">
        <f t="array" ref="BD267">IFERROR(IF('BMP P Tracking Table'!$BA267=2,VLOOKUP(CONCATENATE('BMP P Tracking Table'!$AW267," ",'BMP P Tracking Table'!$AY267),'Performance Curves'!$C$1:$L$44,_xlfn.SINGLE(MATCH('BMP P Tracking Table'!$BA267,'Performance Curves'!$D$1:$L$1,1))+1,FALSE),'BMP P Tracking Table'!$BB267*'BMP P Tracking Table'!$BC267+VLOOKUP(CONCATENATE('BMP P Tracking Table'!$AW267," ",'BMP P Tracking Table'!$AY267),'Performance Curves'!$C$1:$L$44,_xlfn.SINGLE(MATCH('BMP P Tracking Table'!$BA267,'Performance Curves'!$D$1:$L$1,1))+1,FALSE)),"")</f>
        <v/>
      </c>
      <c r="BE267" s="104" t="str">
        <f>IFERROR('BMP P Tracking Table'!$BD267*'BMP P Tracking Table'!$AZ267,"")</f>
        <v/>
      </c>
      <c r="BF267" s="98"/>
      <c r="BG267" s="37">
        <f t="shared" si="36"/>
        <v>0</v>
      </c>
    </row>
    <row r="268" spans="2:59" s="36" customFormat="1">
      <c r="B268" s="65"/>
      <c r="C268" s="65"/>
      <c r="D268" s="65"/>
      <c r="E268" s="65"/>
      <c r="F268" s="94"/>
      <c r="G268" s="94"/>
      <c r="H268" s="65"/>
      <c r="I268" s="65"/>
      <c r="J268" s="65"/>
      <c r="K268" s="95"/>
      <c r="L268" s="65"/>
      <c r="M268" s="65"/>
      <c r="N268" s="65"/>
      <c r="O268" s="65"/>
      <c r="P268" s="65"/>
      <c r="Q268" s="65"/>
      <c r="R268" s="65" t="str">
        <f>IFERROR(VLOOKUP('BMP P Tracking Table'!$Q268,Dropdowns!$C$2:$E$15,3,FALSE),"")</f>
        <v/>
      </c>
      <c r="S268" s="65" t="str">
        <f>IFERROR(VLOOKUP('BMP P Tracking Table'!$R268,Dropdowns!$Q$3:$R$23,2,FALSE),"")</f>
        <v/>
      </c>
      <c r="T268" s="65"/>
      <c r="U268" s="65"/>
      <c r="V268" s="65"/>
      <c r="W268" s="65"/>
      <c r="X268" s="65"/>
      <c r="Y268" s="65"/>
      <c r="Z268" s="65"/>
      <c r="AA268" s="65"/>
      <c r="AB268" s="65"/>
      <c r="AC268" s="97"/>
      <c r="AD268" s="65"/>
      <c r="AE268" s="104" t="str">
        <f>IFERROR('BMP P Tracking Table'!$V268*VLOOKUP('BMP P Tracking Table'!$R268,'Loading Rates'!$B$1:$L$24,4,FALSE)+IF('BMP P Tracking Table'!$W268="By HSG",'BMP P Tracking Table'!$X268*VLOOKUP('BMP P Tracking Table'!$R268,'Loading Rates'!$B$1:$L$24,6,FALSE)+'BMP P Tracking Table'!$Y268*VLOOKUP('BMP P Tracking Table'!$R268,'Loading Rates'!$B$1:$L$24,7,FALSE)+'BMP P Tracking Table'!$Z268*VLOOKUP('BMP P Tracking Table'!$R268,'Loading Rates'!$B$1:$L$24,8,FALSE)+'BMP P Tracking Table'!$AA268*VLOOKUP('BMP P Tracking Table'!$R268,'Loading Rates'!$B$1:$L$24,9,FALSE),'BMP P Tracking Table'!$AB268*VLOOKUP('BMP P Tracking Table'!$R268,'Loading Rates'!$B$1:$L$24,10,FALSE)),"")</f>
        <v/>
      </c>
      <c r="AF268" s="104" t="str">
        <f>IFERROR(MIN(2,IF('BMP P Tracking Table'!$W268="Total Pervious",(-(3630*'BMP P Tracking Table'!$V268+20.691*'BMP P Tracking Table'!$AB268)+SQRT((3630*'BMP P Tracking Table'!$V268+20.691*'BMP P Tracking Table'!$AB268)^2-(4*(996.798*'BMP P Tracking Table'!$AB268)*-'BMP P Tracking Table'!$AC268)))/(2*(996.798*'BMP P Tracking Table'!$AB268)),IF(SUM('BMP P Tracking Table'!$X268:$AA268)=0,'BMP P Tracking Table'!$AC268/(-3630*'BMP P Tracking Table'!$V268),(-(3630*'BMP P Tracking Table'!$V268+20.691*'BMP P Tracking Table'!$AA268-216.711*'BMP P Tracking Table'!$Z268-83.853*'BMP P Tracking Table'!$Y268-42.834*'BMP P Tracking Table'!$X268)+SQRT((3630*'BMP P Tracking Table'!$V268+20.691*'BMP P Tracking Table'!$AA268-216.711*'BMP P Tracking Table'!$Z268-83.853*'BMP P Tracking Table'!$Y268-42.834*'BMP P Tracking Table'!$X268)^2-(4*(149.919*'BMP P Tracking Table'!$X268+236.676*'BMP P Tracking Table'!$Y268+726*'BMP P Tracking Table'!$Z268+996.798*'BMP P Tracking Table'!$AA268)*-'BMP P Tracking Table'!$AC268)))/(2*(149.919*'BMP P Tracking Table'!$X268+236.676*'BMP P Tracking Table'!$Y268+726*'BMP P Tracking Table'!$Z268+996.798*'BMP P Tracking Table'!$AA268))))),"")</f>
        <v/>
      </c>
      <c r="AG268" s="104" t="str">
        <f>IFERROR((VLOOKUP(CONCATENATE('BMP P Tracking Table'!$U268," ",'BMP P Tracking Table'!$AD268),'Performance Curves'!$C$1:$L$46,_xlfn.SINGLE(MATCH('BMP P Tracking Table'!$AF268,'Performance Curves'!$D$1:$L$1,1))+2,FALSE)-VLOOKUP(CONCATENATE('BMP P Tracking Table'!$U268," ",'BMP P Tracking Table'!$AD268),'Performance Curves'!$C$1:$L$46,_xlfn.SINGLE(MATCH('BMP P Tracking Table'!$AF268,'Performance Curves'!$D$1:$L$1,1))+1,FALSE)),"")</f>
        <v/>
      </c>
      <c r="AH268" s="104" t="str">
        <f>IFERROR(('BMP P Tracking Table'!$AF268-INDEX('Performance Curves'!$D$1:$L$1,1,MATCH('BMP P Tracking Table'!$AF268,'Performance Curves'!$D$1:$L$1,1)))/(INDEX('Performance Curves'!$D$1:$L$1,1,MATCH('BMP P Tracking Table'!$AF268,'Performance Curves'!$D$1:$L$1,1)+1)-INDEX('Performance Curves'!$D$1:$L$1,1,MATCH('BMP P Tracking Table'!$AF268,'Performance Curves'!$D$1:$L$1,1))),"")</f>
        <v/>
      </c>
      <c r="AI268" s="103" t="str">
        <f>IFERROR(IF('BMP P Tracking Table'!$AF268=2,VLOOKUP(CONCATENATE('BMP P Tracking Table'!$U268," ",'BMP P Tracking Table'!$AD268),'Performance Curves'!$C$1:$L$46,_xlfn.SINGLE(MATCH('BMP P Tracking Table'!$AF268,'Performance Curves'!$D$1:$L$1,1))+1,FALSE),'BMP P Tracking Table'!$AG268*'BMP P Tracking Table'!$AH268+VLOOKUP(CONCATENATE('BMP P Tracking Table'!$U268," ",'BMP P Tracking Table'!$AD268),'Performance Curves'!$C$1:$L$46,_xlfn.SINGLE(MATCH('BMP P Tracking Table'!$AF268,'Performance Curves'!$D$1:$L$1,1))+1,FALSE)),"")</f>
        <v/>
      </c>
      <c r="AJ268" s="104" t="str">
        <f>IFERROR('BMP P Tracking Table'!$AI268*'BMP P Tracking Table'!$AE268,"")</f>
        <v/>
      </c>
      <c r="AK268" s="65"/>
      <c r="AL268" s="98"/>
      <c r="AM268" s="98"/>
      <c r="AN268" s="64">
        <v>1</v>
      </c>
      <c r="AO268" s="102" t="str">
        <f t="shared" si="35"/>
        <v/>
      </c>
      <c r="AP268" s="98"/>
      <c r="AQ268" s="98"/>
      <c r="AR268" s="98"/>
      <c r="AS268" s="98"/>
      <c r="AT268" s="98"/>
      <c r="AU268" s="98"/>
      <c r="AV268" s="98"/>
      <c r="AW268" s="65"/>
      <c r="AX268" s="99"/>
      <c r="AY268" s="99"/>
      <c r="AZ268" s="104" t="str">
        <f>IF('BMP P Tracking Table'!$AL268="Yes",IF('BMP P Tracking Table'!$AM268="No",'BMP P Tracking Table'!$V268*VLOOKUP('BMP P Tracking Table'!$R268,'Loading Rates'!$B$1:$L$24,4,FALSE)+IF('BMP P Tracking Table'!$W268="By HSG",'BMP P Tracking Table'!$X268*VLOOKUP('BMP P Tracking Table'!$R268,'Loading Rates'!$B$1:$L$24,6,FALSE)+'BMP P Tracking Table'!$Y268*VLOOKUP('BMP P Tracking Table'!$R268,'Loading Rates'!$B$1:$L$24,7,FALSE)+'BMP P Tracking Table'!$Z268*VLOOKUP('BMP P Tracking Table'!$R268,'Loading Rates'!$B$1:$L$24,8,FALSE)+'BMP P Tracking Table'!$AA268*VLOOKUP('BMP P Tracking Table'!$R268,'Loading Rates'!$B$1:$L$24,9,FALSE),'BMP P Tracking Table'!$AB268*VLOOKUP('BMP P Tracking Table'!$R268,'Loading Rates'!$B$1:$L$24,10,FALSE)),'BMP P Tracking Table'!$AP268*VLOOKUP('BMP P Tracking Table'!$R268,'Loading Rates'!$B$1:$L$24,4,FALSE)+IF('BMP P Tracking Table'!$AQ268="By HSG",'BMP P Tracking Table'!$AR268*VLOOKUP('BMP P Tracking Table'!$R268,'Loading Rates'!$B$1:$L$24,6,FALSE)+'BMP P Tracking Table'!$AS268*VLOOKUP('BMP P Tracking Table'!$R268,'Loading Rates'!$B$1:$L$24,7,FALSE)+'BMP P Tracking Table'!$AT268*VLOOKUP('BMP P Tracking Table'!$R268,'Loading Rates'!$B$1:$L$24,8,FALSE)+'BMP P Tracking Table'!$AU268*VLOOKUP('BMP P Tracking Table'!$R268,'Loading Rates'!$B$1:$L$24,9,FALSE),'BMP P Tracking Table'!$AV268*VLOOKUP('BMP P Tracking Table'!$R268,'Loading Rates'!$B$1:$L$24,10,FALSE))),"")</f>
        <v/>
      </c>
      <c r="BA268" s="104" t="str">
        <f>IFERROR(IF('BMP P Tracking Table'!$AM268="Yes",MIN(2,IF('BMP P Tracking Table'!$AQ268="Total Pervious",(-(3630*'BMP P Tracking Table'!$AP268+20.691*'BMP P Tracking Table'!$AV268)+SQRT((3630*'BMP P Tracking Table'!$AP268+20.691*'BMP P Tracking Table'!$AV268)^2-(4*(996.798*'BMP P Tracking Table'!$AV268)*-'BMP P Tracking Table'!$AX268)))/(2*(996.798*'BMP P Tracking Table'!$AV268)),IF(SUM('BMP P Tracking Table'!$AR268:$AU268)=0,'BMP P Tracking Table'!$AV268/(-3630*'BMP P Tracking Table'!$AP268),(-(3630*'BMP P Tracking Table'!$AP268+20.691*'BMP P Tracking Table'!$AU268-216.711*'BMP P Tracking Table'!$AT268-83.853*'BMP P Tracking Table'!$AS268-42.834*'BMP P Tracking Table'!$AR268)+SQRT((3630*'BMP P Tracking Table'!$AP268+20.691*'BMP P Tracking Table'!$AU268-216.711*'BMP P Tracking Table'!$AT268-83.853*'BMP P Tracking Table'!$AS268-42.834*'BMP P Tracking Table'!$AR268)^2-(4*(149.919*'BMP P Tracking Table'!$AR268+236.676*'BMP P Tracking Table'!$AS268+726*'BMP P Tracking Table'!$AT268+996.798*'BMP P Tracking Table'!$AU268)*-'BMP P Tracking Table'!$AX268)))/(2*(149.919*'BMP P Tracking Table'!$AR268+236.676*'BMP P Tracking Table'!$AS268+726*'BMP P Tracking Table'!$AT268+996.798*'BMP P Tracking Table'!$AU268))))),MIN(2,IF('BMP P Tracking Table'!$AQ268="Total Pervious",(-(3630*'BMP P Tracking Table'!$V268+20.691*'BMP P Tracking Table'!$AB268)+SQRT((3630*'BMP P Tracking Table'!$V268+20.691*'BMP P Tracking Table'!$AB268)^2-(4*(996.798*'BMP P Tracking Table'!$AB268)*-'BMP P Tracking Table'!$AX268)))/(2*(996.798*'BMP P Tracking Table'!$AB268)),IF(SUM('BMP P Tracking Table'!$X268:$AA268)=0,'BMP P Tracking Table'!$AX268/(-3630*'BMP P Tracking Table'!$V268),(-(3630*'BMP P Tracking Table'!$V268+20.691*'BMP P Tracking Table'!$AA268-216.711*'BMP P Tracking Table'!$Z268-83.853*'BMP P Tracking Table'!$Y268-42.834*'BMP P Tracking Table'!$X268)+SQRT((3630*'BMP P Tracking Table'!$V268+20.691*'BMP P Tracking Table'!$AA268-216.711*'BMP P Tracking Table'!$Z268-83.853*'BMP P Tracking Table'!$Y268-42.834*'BMP P Tracking Table'!$X268)^2-(4*(149.919*'BMP P Tracking Table'!$X268+236.676*'BMP P Tracking Table'!$Y268+726*'BMP P Tracking Table'!$Z268+996.798*'BMP P Tracking Table'!$AA268)*-'BMP P Tracking Table'!$AX268)))/(2*(149.919*'BMP P Tracking Table'!$X268+236.676*'BMP P Tracking Table'!$Y268+726*'BMP P Tracking Table'!$Z268+996.798*'BMP P Tracking Table'!$AA268)))))),"")</f>
        <v/>
      </c>
      <c r="BB268" s="102" t="str">
        <f>IFERROR((VLOOKUP(CONCATENATE('BMP P Tracking Table'!$AW268," ",'BMP P Tracking Table'!$AY268),'Performance Curves'!$C$1:$L$46,_xlfn.SINGLE(MATCH('BMP P Tracking Table'!$BA268,'Performance Curves'!$D$1:$L$1,1))+2,FALSE)-VLOOKUP(CONCATENATE('BMP P Tracking Table'!$AW268," ",'BMP P Tracking Table'!$AY268),'Performance Curves'!$C$1:$L$46,_xlfn.SINGLE(MATCH('BMP P Tracking Table'!$BA268,'Performance Curves'!$D$1:$L$1,1))+1,FALSE)),"")</f>
        <v/>
      </c>
      <c r="BC268" s="102" t="str">
        <f>IFERROR(('BMP P Tracking Table'!$BA268-INDEX('Performance Curves'!$D$1:$L$1,1,MATCH('BMP P Tracking Table'!$BA268,'Performance Curves'!$D$1:$L$1,1)))/(INDEX('Performance Curves'!$D$1:$L$1,1,MATCH('BMP P Tracking Table'!$BA268,'Performance Curves'!$D$1:$L$1,1)+1)-INDEX('Performance Curves'!$D$1:$L$1,1,MATCH('BMP P Tracking Table'!$BA268,'Performance Curves'!$D$1:$L$1,1))),"")</f>
        <v/>
      </c>
      <c r="BD268" s="103" t="str" cm="1">
        <f t="array" ref="BD268">IFERROR(IF('BMP P Tracking Table'!$BA268=2,VLOOKUP(CONCATENATE('BMP P Tracking Table'!$AW268," ",'BMP P Tracking Table'!$AY268),'Performance Curves'!$C$1:$L$44,_xlfn.SINGLE(MATCH('BMP P Tracking Table'!$BA268,'Performance Curves'!$D$1:$L$1,1))+1,FALSE),'BMP P Tracking Table'!$BB268*'BMP P Tracking Table'!$BC268+VLOOKUP(CONCATENATE('BMP P Tracking Table'!$AW268," ",'BMP P Tracking Table'!$AY268),'Performance Curves'!$C$1:$L$44,_xlfn.SINGLE(MATCH('BMP P Tracking Table'!$BA268,'Performance Curves'!$D$1:$L$1,1))+1,FALSE)),"")</f>
        <v/>
      </c>
      <c r="BE268" s="104" t="str">
        <f>IFERROR('BMP P Tracking Table'!$BD268*'BMP P Tracking Table'!$AZ268,"")</f>
        <v/>
      </c>
      <c r="BF268" s="98"/>
      <c r="BG268" s="37">
        <f t="shared" si="36"/>
        <v>0</v>
      </c>
    </row>
    <row r="269" spans="2:59" s="36" customFormat="1">
      <c r="B269" s="65"/>
      <c r="C269" s="65"/>
      <c r="D269" s="65"/>
      <c r="E269" s="65"/>
      <c r="F269" s="94"/>
      <c r="G269" s="94"/>
      <c r="H269" s="65"/>
      <c r="I269" s="65"/>
      <c r="J269" s="65"/>
      <c r="K269" s="95"/>
      <c r="L269" s="65"/>
      <c r="M269" s="65"/>
      <c r="N269" s="65"/>
      <c r="O269" s="65"/>
      <c r="P269" s="65"/>
      <c r="Q269" s="65"/>
      <c r="R269" s="65" t="str">
        <f>IFERROR(VLOOKUP('BMP P Tracking Table'!$Q269,Dropdowns!$C$2:$E$15,3,FALSE),"")</f>
        <v/>
      </c>
      <c r="S269" s="65" t="str">
        <f>IFERROR(VLOOKUP('BMP P Tracking Table'!$R269,Dropdowns!$Q$3:$R$23,2,FALSE),"")</f>
        <v/>
      </c>
      <c r="T269" s="65"/>
      <c r="U269" s="65"/>
      <c r="V269" s="65"/>
      <c r="W269" s="65"/>
      <c r="X269" s="65"/>
      <c r="Y269" s="65"/>
      <c r="Z269" s="65"/>
      <c r="AA269" s="65"/>
      <c r="AB269" s="65"/>
      <c r="AC269" s="97"/>
      <c r="AD269" s="65"/>
      <c r="AE269" s="104" t="str">
        <f>IFERROR('BMP P Tracking Table'!$V269*VLOOKUP('BMP P Tracking Table'!$R269,'Loading Rates'!$B$1:$L$24,4,FALSE)+IF('BMP P Tracking Table'!$W269="By HSG",'BMP P Tracking Table'!$X269*VLOOKUP('BMP P Tracking Table'!$R269,'Loading Rates'!$B$1:$L$24,6,FALSE)+'BMP P Tracking Table'!$Y269*VLOOKUP('BMP P Tracking Table'!$R269,'Loading Rates'!$B$1:$L$24,7,FALSE)+'BMP P Tracking Table'!$Z269*VLOOKUP('BMP P Tracking Table'!$R269,'Loading Rates'!$B$1:$L$24,8,FALSE)+'BMP P Tracking Table'!$AA269*VLOOKUP('BMP P Tracking Table'!$R269,'Loading Rates'!$B$1:$L$24,9,FALSE),'BMP P Tracking Table'!$AB269*VLOOKUP('BMP P Tracking Table'!$R269,'Loading Rates'!$B$1:$L$24,10,FALSE)),"")</f>
        <v/>
      </c>
      <c r="AF269" s="104" t="str">
        <f>IFERROR(MIN(2,IF('BMP P Tracking Table'!$W269="Total Pervious",(-(3630*'BMP P Tracking Table'!$V269+20.691*'BMP P Tracking Table'!$AB269)+SQRT((3630*'BMP P Tracking Table'!$V269+20.691*'BMP P Tracking Table'!$AB269)^2-(4*(996.798*'BMP P Tracking Table'!$AB269)*-'BMP P Tracking Table'!$AC269)))/(2*(996.798*'BMP P Tracking Table'!$AB269)),IF(SUM('BMP P Tracking Table'!$X269:$AA269)=0,'BMP P Tracking Table'!$AC269/(-3630*'BMP P Tracking Table'!$V269),(-(3630*'BMP P Tracking Table'!$V269+20.691*'BMP P Tracking Table'!$AA269-216.711*'BMP P Tracking Table'!$Z269-83.853*'BMP P Tracking Table'!$Y269-42.834*'BMP P Tracking Table'!$X269)+SQRT((3630*'BMP P Tracking Table'!$V269+20.691*'BMP P Tracking Table'!$AA269-216.711*'BMP P Tracking Table'!$Z269-83.853*'BMP P Tracking Table'!$Y269-42.834*'BMP P Tracking Table'!$X269)^2-(4*(149.919*'BMP P Tracking Table'!$X269+236.676*'BMP P Tracking Table'!$Y269+726*'BMP P Tracking Table'!$Z269+996.798*'BMP P Tracking Table'!$AA269)*-'BMP P Tracking Table'!$AC269)))/(2*(149.919*'BMP P Tracking Table'!$X269+236.676*'BMP P Tracking Table'!$Y269+726*'BMP P Tracking Table'!$Z269+996.798*'BMP P Tracking Table'!$AA269))))),"")</f>
        <v/>
      </c>
      <c r="AG269" s="104" t="str">
        <f>IFERROR((VLOOKUP(CONCATENATE('BMP P Tracking Table'!$U269," ",'BMP P Tracking Table'!$AD269),'Performance Curves'!$C$1:$L$46,_xlfn.SINGLE(MATCH('BMP P Tracking Table'!$AF269,'Performance Curves'!$D$1:$L$1,1))+2,FALSE)-VLOOKUP(CONCATENATE('BMP P Tracking Table'!$U269," ",'BMP P Tracking Table'!$AD269),'Performance Curves'!$C$1:$L$46,_xlfn.SINGLE(MATCH('BMP P Tracking Table'!$AF269,'Performance Curves'!$D$1:$L$1,1))+1,FALSE)),"")</f>
        <v/>
      </c>
      <c r="AH269" s="104" t="str">
        <f>IFERROR(('BMP P Tracking Table'!$AF269-INDEX('Performance Curves'!$D$1:$L$1,1,MATCH('BMP P Tracking Table'!$AF269,'Performance Curves'!$D$1:$L$1,1)))/(INDEX('Performance Curves'!$D$1:$L$1,1,MATCH('BMP P Tracking Table'!$AF269,'Performance Curves'!$D$1:$L$1,1)+1)-INDEX('Performance Curves'!$D$1:$L$1,1,MATCH('BMP P Tracking Table'!$AF269,'Performance Curves'!$D$1:$L$1,1))),"")</f>
        <v/>
      </c>
      <c r="AI269" s="103" t="str">
        <f>IFERROR(IF('BMP P Tracking Table'!$AF269=2,VLOOKUP(CONCATENATE('BMP P Tracking Table'!$U269," ",'BMP P Tracking Table'!$AD269),'Performance Curves'!$C$1:$L$46,_xlfn.SINGLE(MATCH('BMP P Tracking Table'!$AF269,'Performance Curves'!$D$1:$L$1,1))+1,FALSE),'BMP P Tracking Table'!$AG269*'BMP P Tracking Table'!$AH269+VLOOKUP(CONCATENATE('BMP P Tracking Table'!$U269," ",'BMP P Tracking Table'!$AD269),'Performance Curves'!$C$1:$L$46,_xlfn.SINGLE(MATCH('BMP P Tracking Table'!$AF269,'Performance Curves'!$D$1:$L$1,1))+1,FALSE)),"")</f>
        <v/>
      </c>
      <c r="AJ269" s="104" t="str">
        <f>IFERROR('BMP P Tracking Table'!$AI269*'BMP P Tracking Table'!$AE269,"")</f>
        <v/>
      </c>
      <c r="AK269" s="65"/>
      <c r="AL269" s="98"/>
      <c r="AM269" s="98"/>
      <c r="AN269" s="64">
        <v>1</v>
      </c>
      <c r="AO269" s="102" t="str">
        <f t="shared" si="35"/>
        <v/>
      </c>
      <c r="AP269" s="98"/>
      <c r="AQ269" s="98"/>
      <c r="AR269" s="98"/>
      <c r="AS269" s="98"/>
      <c r="AT269" s="98"/>
      <c r="AU269" s="98"/>
      <c r="AV269" s="98"/>
      <c r="AW269" s="65"/>
      <c r="AX269" s="99"/>
      <c r="AY269" s="99"/>
      <c r="AZ269" s="104" t="str">
        <f>IF('BMP P Tracking Table'!$AL269="Yes",IF('BMP P Tracking Table'!$AM269="No",'BMP P Tracking Table'!$V269*VLOOKUP('BMP P Tracking Table'!$R269,'Loading Rates'!$B$1:$L$24,4,FALSE)+IF('BMP P Tracking Table'!$W269="By HSG",'BMP P Tracking Table'!$X269*VLOOKUP('BMP P Tracking Table'!$R269,'Loading Rates'!$B$1:$L$24,6,FALSE)+'BMP P Tracking Table'!$Y269*VLOOKUP('BMP P Tracking Table'!$R269,'Loading Rates'!$B$1:$L$24,7,FALSE)+'BMP P Tracking Table'!$Z269*VLOOKUP('BMP P Tracking Table'!$R269,'Loading Rates'!$B$1:$L$24,8,FALSE)+'BMP P Tracking Table'!$AA269*VLOOKUP('BMP P Tracking Table'!$R269,'Loading Rates'!$B$1:$L$24,9,FALSE),'BMP P Tracking Table'!$AB269*VLOOKUP('BMP P Tracking Table'!$R269,'Loading Rates'!$B$1:$L$24,10,FALSE)),'BMP P Tracking Table'!$AP269*VLOOKUP('BMP P Tracking Table'!$R269,'Loading Rates'!$B$1:$L$24,4,FALSE)+IF('BMP P Tracking Table'!$AQ269="By HSG",'BMP P Tracking Table'!$AR269*VLOOKUP('BMP P Tracking Table'!$R269,'Loading Rates'!$B$1:$L$24,6,FALSE)+'BMP P Tracking Table'!$AS269*VLOOKUP('BMP P Tracking Table'!$R269,'Loading Rates'!$B$1:$L$24,7,FALSE)+'BMP P Tracking Table'!$AT269*VLOOKUP('BMP P Tracking Table'!$R269,'Loading Rates'!$B$1:$L$24,8,FALSE)+'BMP P Tracking Table'!$AU269*VLOOKUP('BMP P Tracking Table'!$R269,'Loading Rates'!$B$1:$L$24,9,FALSE),'BMP P Tracking Table'!$AV269*VLOOKUP('BMP P Tracking Table'!$R269,'Loading Rates'!$B$1:$L$24,10,FALSE))),"")</f>
        <v/>
      </c>
      <c r="BA269" s="104" t="str">
        <f>IFERROR(IF('BMP P Tracking Table'!$AM269="Yes",MIN(2,IF('BMP P Tracking Table'!$AQ269="Total Pervious",(-(3630*'BMP P Tracking Table'!$AP269+20.691*'BMP P Tracking Table'!$AV269)+SQRT((3630*'BMP P Tracking Table'!$AP269+20.691*'BMP P Tracking Table'!$AV269)^2-(4*(996.798*'BMP P Tracking Table'!$AV269)*-'BMP P Tracking Table'!$AX269)))/(2*(996.798*'BMP P Tracking Table'!$AV269)),IF(SUM('BMP P Tracking Table'!$AR269:$AU269)=0,'BMP P Tracking Table'!$AV269/(-3630*'BMP P Tracking Table'!$AP269),(-(3630*'BMP P Tracking Table'!$AP269+20.691*'BMP P Tracking Table'!$AU269-216.711*'BMP P Tracking Table'!$AT269-83.853*'BMP P Tracking Table'!$AS269-42.834*'BMP P Tracking Table'!$AR269)+SQRT((3630*'BMP P Tracking Table'!$AP269+20.691*'BMP P Tracking Table'!$AU269-216.711*'BMP P Tracking Table'!$AT269-83.853*'BMP P Tracking Table'!$AS269-42.834*'BMP P Tracking Table'!$AR269)^2-(4*(149.919*'BMP P Tracking Table'!$AR269+236.676*'BMP P Tracking Table'!$AS269+726*'BMP P Tracking Table'!$AT269+996.798*'BMP P Tracking Table'!$AU269)*-'BMP P Tracking Table'!$AX269)))/(2*(149.919*'BMP P Tracking Table'!$AR269+236.676*'BMP P Tracking Table'!$AS269+726*'BMP P Tracking Table'!$AT269+996.798*'BMP P Tracking Table'!$AU269))))),MIN(2,IF('BMP P Tracking Table'!$AQ269="Total Pervious",(-(3630*'BMP P Tracking Table'!$V269+20.691*'BMP P Tracking Table'!$AB269)+SQRT((3630*'BMP P Tracking Table'!$V269+20.691*'BMP P Tracking Table'!$AB269)^2-(4*(996.798*'BMP P Tracking Table'!$AB269)*-'BMP P Tracking Table'!$AX269)))/(2*(996.798*'BMP P Tracking Table'!$AB269)),IF(SUM('BMP P Tracking Table'!$X269:$AA269)=0,'BMP P Tracking Table'!$AX269/(-3630*'BMP P Tracking Table'!$V269),(-(3630*'BMP P Tracking Table'!$V269+20.691*'BMP P Tracking Table'!$AA269-216.711*'BMP P Tracking Table'!$Z269-83.853*'BMP P Tracking Table'!$Y269-42.834*'BMP P Tracking Table'!$X269)+SQRT((3630*'BMP P Tracking Table'!$V269+20.691*'BMP P Tracking Table'!$AA269-216.711*'BMP P Tracking Table'!$Z269-83.853*'BMP P Tracking Table'!$Y269-42.834*'BMP P Tracking Table'!$X269)^2-(4*(149.919*'BMP P Tracking Table'!$X269+236.676*'BMP P Tracking Table'!$Y269+726*'BMP P Tracking Table'!$Z269+996.798*'BMP P Tracking Table'!$AA269)*-'BMP P Tracking Table'!$AX269)))/(2*(149.919*'BMP P Tracking Table'!$X269+236.676*'BMP P Tracking Table'!$Y269+726*'BMP P Tracking Table'!$Z269+996.798*'BMP P Tracking Table'!$AA269)))))),"")</f>
        <v/>
      </c>
      <c r="BB269" s="102" t="str">
        <f>IFERROR((VLOOKUP(CONCATENATE('BMP P Tracking Table'!$AW269," ",'BMP P Tracking Table'!$AY269),'Performance Curves'!$C$1:$L$46,_xlfn.SINGLE(MATCH('BMP P Tracking Table'!$BA269,'Performance Curves'!$D$1:$L$1,1))+2,FALSE)-VLOOKUP(CONCATENATE('BMP P Tracking Table'!$AW269," ",'BMP P Tracking Table'!$AY269),'Performance Curves'!$C$1:$L$46,_xlfn.SINGLE(MATCH('BMP P Tracking Table'!$BA269,'Performance Curves'!$D$1:$L$1,1))+1,FALSE)),"")</f>
        <v/>
      </c>
      <c r="BC269" s="102" t="str">
        <f>IFERROR(('BMP P Tracking Table'!$BA269-INDEX('Performance Curves'!$D$1:$L$1,1,MATCH('BMP P Tracking Table'!$BA269,'Performance Curves'!$D$1:$L$1,1)))/(INDEX('Performance Curves'!$D$1:$L$1,1,MATCH('BMP P Tracking Table'!$BA269,'Performance Curves'!$D$1:$L$1,1)+1)-INDEX('Performance Curves'!$D$1:$L$1,1,MATCH('BMP P Tracking Table'!$BA269,'Performance Curves'!$D$1:$L$1,1))),"")</f>
        <v/>
      </c>
      <c r="BD269" s="103" t="str" cm="1">
        <f t="array" ref="BD269">IFERROR(IF('BMP P Tracking Table'!$BA269=2,VLOOKUP(CONCATENATE('BMP P Tracking Table'!$AW269," ",'BMP P Tracking Table'!$AY269),'Performance Curves'!$C$1:$L$44,_xlfn.SINGLE(MATCH('BMP P Tracking Table'!$BA269,'Performance Curves'!$D$1:$L$1,1))+1,FALSE),'BMP P Tracking Table'!$BB269*'BMP P Tracking Table'!$BC269+VLOOKUP(CONCATENATE('BMP P Tracking Table'!$AW269," ",'BMP P Tracking Table'!$AY269),'Performance Curves'!$C$1:$L$44,_xlfn.SINGLE(MATCH('BMP P Tracking Table'!$BA269,'Performance Curves'!$D$1:$L$1,1))+1,FALSE)),"")</f>
        <v/>
      </c>
      <c r="BE269" s="104" t="str">
        <f>IFERROR('BMP P Tracking Table'!$BD269*'BMP P Tracking Table'!$AZ269,"")</f>
        <v/>
      </c>
      <c r="BF269" s="98"/>
      <c r="BG269" s="37">
        <f t="shared" si="36"/>
        <v>0</v>
      </c>
    </row>
    <row r="270" spans="2:59" s="36" customFormat="1">
      <c r="B270" s="65"/>
      <c r="C270" s="65"/>
      <c r="D270" s="65"/>
      <c r="E270" s="65"/>
      <c r="F270" s="94"/>
      <c r="G270" s="94"/>
      <c r="H270" s="65"/>
      <c r="I270" s="65"/>
      <c r="J270" s="65"/>
      <c r="K270" s="95"/>
      <c r="L270" s="65"/>
      <c r="M270" s="65"/>
      <c r="N270" s="65"/>
      <c r="O270" s="65"/>
      <c r="P270" s="65"/>
      <c r="Q270" s="65"/>
      <c r="R270" s="65" t="str">
        <f>IFERROR(VLOOKUP('BMP P Tracking Table'!$Q270,Dropdowns!$C$2:$E$15,3,FALSE),"")</f>
        <v/>
      </c>
      <c r="S270" s="65" t="str">
        <f>IFERROR(VLOOKUP('BMP P Tracking Table'!$R270,Dropdowns!$Q$3:$R$23,2,FALSE),"")</f>
        <v/>
      </c>
      <c r="T270" s="65"/>
      <c r="U270" s="65"/>
      <c r="V270" s="65"/>
      <c r="W270" s="65"/>
      <c r="X270" s="65"/>
      <c r="Y270" s="65"/>
      <c r="Z270" s="65"/>
      <c r="AA270" s="65"/>
      <c r="AB270" s="65"/>
      <c r="AC270" s="97"/>
      <c r="AD270" s="65"/>
      <c r="AE270" s="104" t="str">
        <f>IFERROR('BMP P Tracking Table'!$V270*VLOOKUP('BMP P Tracking Table'!$R270,'Loading Rates'!$B$1:$L$24,4,FALSE)+IF('BMP P Tracking Table'!$W270="By HSG",'BMP P Tracking Table'!$X270*VLOOKUP('BMP P Tracking Table'!$R270,'Loading Rates'!$B$1:$L$24,6,FALSE)+'BMP P Tracking Table'!$Y270*VLOOKUP('BMP P Tracking Table'!$R270,'Loading Rates'!$B$1:$L$24,7,FALSE)+'BMP P Tracking Table'!$Z270*VLOOKUP('BMP P Tracking Table'!$R270,'Loading Rates'!$B$1:$L$24,8,FALSE)+'BMP P Tracking Table'!$AA270*VLOOKUP('BMP P Tracking Table'!$R270,'Loading Rates'!$B$1:$L$24,9,FALSE),'BMP P Tracking Table'!$AB270*VLOOKUP('BMP P Tracking Table'!$R270,'Loading Rates'!$B$1:$L$24,10,FALSE)),"")</f>
        <v/>
      </c>
      <c r="AF270" s="104" t="str">
        <f>IFERROR(MIN(2,IF('BMP P Tracking Table'!$W270="Total Pervious",(-(3630*'BMP P Tracking Table'!$V270+20.691*'BMP P Tracking Table'!$AB270)+SQRT((3630*'BMP P Tracking Table'!$V270+20.691*'BMP P Tracking Table'!$AB270)^2-(4*(996.798*'BMP P Tracking Table'!$AB270)*-'BMP P Tracking Table'!$AC270)))/(2*(996.798*'BMP P Tracking Table'!$AB270)),IF(SUM('BMP P Tracking Table'!$X270:$AA270)=0,'BMP P Tracking Table'!$AC270/(-3630*'BMP P Tracking Table'!$V270),(-(3630*'BMP P Tracking Table'!$V270+20.691*'BMP P Tracking Table'!$AA270-216.711*'BMP P Tracking Table'!$Z270-83.853*'BMP P Tracking Table'!$Y270-42.834*'BMP P Tracking Table'!$X270)+SQRT((3630*'BMP P Tracking Table'!$V270+20.691*'BMP P Tracking Table'!$AA270-216.711*'BMP P Tracking Table'!$Z270-83.853*'BMP P Tracking Table'!$Y270-42.834*'BMP P Tracking Table'!$X270)^2-(4*(149.919*'BMP P Tracking Table'!$X270+236.676*'BMP P Tracking Table'!$Y270+726*'BMP P Tracking Table'!$Z270+996.798*'BMP P Tracking Table'!$AA270)*-'BMP P Tracking Table'!$AC270)))/(2*(149.919*'BMP P Tracking Table'!$X270+236.676*'BMP P Tracking Table'!$Y270+726*'BMP P Tracking Table'!$Z270+996.798*'BMP P Tracking Table'!$AA270))))),"")</f>
        <v/>
      </c>
      <c r="AG270" s="104" t="str">
        <f>IFERROR((VLOOKUP(CONCATENATE('BMP P Tracking Table'!$U270," ",'BMP P Tracking Table'!$AD270),'Performance Curves'!$C$1:$L$46,_xlfn.SINGLE(MATCH('BMP P Tracking Table'!$AF270,'Performance Curves'!$D$1:$L$1,1))+2,FALSE)-VLOOKUP(CONCATENATE('BMP P Tracking Table'!$U270," ",'BMP P Tracking Table'!$AD270),'Performance Curves'!$C$1:$L$46,_xlfn.SINGLE(MATCH('BMP P Tracking Table'!$AF270,'Performance Curves'!$D$1:$L$1,1))+1,FALSE)),"")</f>
        <v/>
      </c>
      <c r="AH270" s="104" t="str">
        <f>IFERROR(('BMP P Tracking Table'!$AF270-INDEX('Performance Curves'!$D$1:$L$1,1,MATCH('BMP P Tracking Table'!$AF270,'Performance Curves'!$D$1:$L$1,1)))/(INDEX('Performance Curves'!$D$1:$L$1,1,MATCH('BMP P Tracking Table'!$AF270,'Performance Curves'!$D$1:$L$1,1)+1)-INDEX('Performance Curves'!$D$1:$L$1,1,MATCH('BMP P Tracking Table'!$AF270,'Performance Curves'!$D$1:$L$1,1))),"")</f>
        <v/>
      </c>
      <c r="AI270" s="103" t="str">
        <f>IFERROR(IF('BMP P Tracking Table'!$AF270=2,VLOOKUP(CONCATENATE('BMP P Tracking Table'!$U270," ",'BMP P Tracking Table'!$AD270),'Performance Curves'!$C$1:$L$46,_xlfn.SINGLE(MATCH('BMP P Tracking Table'!$AF270,'Performance Curves'!$D$1:$L$1,1))+1,FALSE),'BMP P Tracking Table'!$AG270*'BMP P Tracking Table'!$AH270+VLOOKUP(CONCATENATE('BMP P Tracking Table'!$U270," ",'BMP P Tracking Table'!$AD270),'Performance Curves'!$C$1:$L$46,_xlfn.SINGLE(MATCH('BMP P Tracking Table'!$AF270,'Performance Curves'!$D$1:$L$1,1))+1,FALSE)),"")</f>
        <v/>
      </c>
      <c r="AJ270" s="104" t="str">
        <f>IFERROR('BMP P Tracking Table'!$AI270*'BMP P Tracking Table'!$AE270,"")</f>
        <v/>
      </c>
      <c r="AK270" s="65"/>
      <c r="AL270" s="98"/>
      <c r="AM270" s="98"/>
      <c r="AN270" s="64">
        <v>1</v>
      </c>
      <c r="AO270" s="102" t="str">
        <f t="shared" si="35"/>
        <v/>
      </c>
      <c r="AP270" s="98"/>
      <c r="AQ270" s="98"/>
      <c r="AR270" s="98"/>
      <c r="AS270" s="98"/>
      <c r="AT270" s="98"/>
      <c r="AU270" s="98"/>
      <c r="AV270" s="98"/>
      <c r="AW270" s="65"/>
      <c r="AX270" s="99"/>
      <c r="AY270" s="99"/>
      <c r="AZ270" s="104" t="str">
        <f>IF('BMP P Tracking Table'!$AL270="Yes",IF('BMP P Tracking Table'!$AM270="No",'BMP P Tracking Table'!$V270*VLOOKUP('BMP P Tracking Table'!$R270,'Loading Rates'!$B$1:$L$24,4,FALSE)+IF('BMP P Tracking Table'!$W270="By HSG",'BMP P Tracking Table'!$X270*VLOOKUP('BMP P Tracking Table'!$R270,'Loading Rates'!$B$1:$L$24,6,FALSE)+'BMP P Tracking Table'!$Y270*VLOOKUP('BMP P Tracking Table'!$R270,'Loading Rates'!$B$1:$L$24,7,FALSE)+'BMP P Tracking Table'!$Z270*VLOOKUP('BMP P Tracking Table'!$R270,'Loading Rates'!$B$1:$L$24,8,FALSE)+'BMP P Tracking Table'!$AA270*VLOOKUP('BMP P Tracking Table'!$R270,'Loading Rates'!$B$1:$L$24,9,FALSE),'BMP P Tracking Table'!$AB270*VLOOKUP('BMP P Tracking Table'!$R270,'Loading Rates'!$B$1:$L$24,10,FALSE)),'BMP P Tracking Table'!$AP270*VLOOKUP('BMP P Tracking Table'!$R270,'Loading Rates'!$B$1:$L$24,4,FALSE)+IF('BMP P Tracking Table'!$AQ270="By HSG",'BMP P Tracking Table'!$AR270*VLOOKUP('BMP P Tracking Table'!$R270,'Loading Rates'!$B$1:$L$24,6,FALSE)+'BMP P Tracking Table'!$AS270*VLOOKUP('BMP P Tracking Table'!$R270,'Loading Rates'!$B$1:$L$24,7,FALSE)+'BMP P Tracking Table'!$AT270*VLOOKUP('BMP P Tracking Table'!$R270,'Loading Rates'!$B$1:$L$24,8,FALSE)+'BMP P Tracking Table'!$AU270*VLOOKUP('BMP P Tracking Table'!$R270,'Loading Rates'!$B$1:$L$24,9,FALSE),'BMP P Tracking Table'!$AV270*VLOOKUP('BMP P Tracking Table'!$R270,'Loading Rates'!$B$1:$L$24,10,FALSE))),"")</f>
        <v/>
      </c>
      <c r="BA270" s="104" t="str">
        <f>IFERROR(IF('BMP P Tracking Table'!$AM270="Yes",MIN(2,IF('BMP P Tracking Table'!$AQ270="Total Pervious",(-(3630*'BMP P Tracking Table'!$AP270+20.691*'BMP P Tracking Table'!$AV270)+SQRT((3630*'BMP P Tracking Table'!$AP270+20.691*'BMP P Tracking Table'!$AV270)^2-(4*(996.798*'BMP P Tracking Table'!$AV270)*-'BMP P Tracking Table'!$AX270)))/(2*(996.798*'BMP P Tracking Table'!$AV270)),IF(SUM('BMP P Tracking Table'!$AR270:$AU270)=0,'BMP P Tracking Table'!$AV270/(-3630*'BMP P Tracking Table'!$AP270),(-(3630*'BMP P Tracking Table'!$AP270+20.691*'BMP P Tracking Table'!$AU270-216.711*'BMP P Tracking Table'!$AT270-83.853*'BMP P Tracking Table'!$AS270-42.834*'BMP P Tracking Table'!$AR270)+SQRT((3630*'BMP P Tracking Table'!$AP270+20.691*'BMP P Tracking Table'!$AU270-216.711*'BMP P Tracking Table'!$AT270-83.853*'BMP P Tracking Table'!$AS270-42.834*'BMP P Tracking Table'!$AR270)^2-(4*(149.919*'BMP P Tracking Table'!$AR270+236.676*'BMP P Tracking Table'!$AS270+726*'BMP P Tracking Table'!$AT270+996.798*'BMP P Tracking Table'!$AU270)*-'BMP P Tracking Table'!$AX270)))/(2*(149.919*'BMP P Tracking Table'!$AR270+236.676*'BMP P Tracking Table'!$AS270+726*'BMP P Tracking Table'!$AT270+996.798*'BMP P Tracking Table'!$AU270))))),MIN(2,IF('BMP P Tracking Table'!$AQ270="Total Pervious",(-(3630*'BMP P Tracking Table'!$V270+20.691*'BMP P Tracking Table'!$AB270)+SQRT((3630*'BMP P Tracking Table'!$V270+20.691*'BMP P Tracking Table'!$AB270)^2-(4*(996.798*'BMP P Tracking Table'!$AB270)*-'BMP P Tracking Table'!$AX270)))/(2*(996.798*'BMP P Tracking Table'!$AB270)),IF(SUM('BMP P Tracking Table'!$X270:$AA270)=0,'BMP P Tracking Table'!$AX270/(-3630*'BMP P Tracking Table'!$V270),(-(3630*'BMP P Tracking Table'!$V270+20.691*'BMP P Tracking Table'!$AA270-216.711*'BMP P Tracking Table'!$Z270-83.853*'BMP P Tracking Table'!$Y270-42.834*'BMP P Tracking Table'!$X270)+SQRT((3630*'BMP P Tracking Table'!$V270+20.691*'BMP P Tracking Table'!$AA270-216.711*'BMP P Tracking Table'!$Z270-83.853*'BMP P Tracking Table'!$Y270-42.834*'BMP P Tracking Table'!$X270)^2-(4*(149.919*'BMP P Tracking Table'!$X270+236.676*'BMP P Tracking Table'!$Y270+726*'BMP P Tracking Table'!$Z270+996.798*'BMP P Tracking Table'!$AA270)*-'BMP P Tracking Table'!$AX270)))/(2*(149.919*'BMP P Tracking Table'!$X270+236.676*'BMP P Tracking Table'!$Y270+726*'BMP P Tracking Table'!$Z270+996.798*'BMP P Tracking Table'!$AA270)))))),"")</f>
        <v/>
      </c>
      <c r="BB270" s="102" t="str">
        <f>IFERROR((VLOOKUP(CONCATENATE('BMP P Tracking Table'!$AW270," ",'BMP P Tracking Table'!$AY270),'Performance Curves'!$C$1:$L$46,_xlfn.SINGLE(MATCH('BMP P Tracking Table'!$BA270,'Performance Curves'!$D$1:$L$1,1))+2,FALSE)-VLOOKUP(CONCATENATE('BMP P Tracking Table'!$AW270," ",'BMP P Tracking Table'!$AY270),'Performance Curves'!$C$1:$L$46,_xlfn.SINGLE(MATCH('BMP P Tracking Table'!$BA270,'Performance Curves'!$D$1:$L$1,1))+1,FALSE)),"")</f>
        <v/>
      </c>
      <c r="BC270" s="102" t="str">
        <f>IFERROR(('BMP P Tracking Table'!$BA270-INDEX('Performance Curves'!$D$1:$L$1,1,MATCH('BMP P Tracking Table'!$BA270,'Performance Curves'!$D$1:$L$1,1)))/(INDEX('Performance Curves'!$D$1:$L$1,1,MATCH('BMP P Tracking Table'!$BA270,'Performance Curves'!$D$1:$L$1,1)+1)-INDEX('Performance Curves'!$D$1:$L$1,1,MATCH('BMP P Tracking Table'!$BA270,'Performance Curves'!$D$1:$L$1,1))),"")</f>
        <v/>
      </c>
      <c r="BD270" s="103" t="str" cm="1">
        <f t="array" ref="BD270">IFERROR(IF('BMP P Tracking Table'!$BA270=2,VLOOKUP(CONCATENATE('BMP P Tracking Table'!$AW270," ",'BMP P Tracking Table'!$AY270),'Performance Curves'!$C$1:$L$44,_xlfn.SINGLE(MATCH('BMP P Tracking Table'!$BA270,'Performance Curves'!$D$1:$L$1,1))+1,FALSE),'BMP P Tracking Table'!$BB270*'BMP P Tracking Table'!$BC270+VLOOKUP(CONCATENATE('BMP P Tracking Table'!$AW270," ",'BMP P Tracking Table'!$AY270),'Performance Curves'!$C$1:$L$44,_xlfn.SINGLE(MATCH('BMP P Tracking Table'!$BA270,'Performance Curves'!$D$1:$L$1,1))+1,FALSE)),"")</f>
        <v/>
      </c>
      <c r="BE270" s="104" t="str">
        <f>IFERROR('BMP P Tracking Table'!$BD270*'BMP P Tracking Table'!$AZ270,"")</f>
        <v/>
      </c>
      <c r="BF270" s="98"/>
      <c r="BG270" s="37">
        <f t="shared" si="36"/>
        <v>0</v>
      </c>
    </row>
    <row r="271" spans="2:59" s="36" customFormat="1">
      <c r="B271" s="65"/>
      <c r="C271" s="65"/>
      <c r="D271" s="65"/>
      <c r="E271" s="65"/>
      <c r="F271" s="94"/>
      <c r="G271" s="94"/>
      <c r="H271" s="65"/>
      <c r="I271" s="65"/>
      <c r="J271" s="65"/>
      <c r="K271" s="95"/>
      <c r="L271" s="65"/>
      <c r="M271" s="65"/>
      <c r="N271" s="65"/>
      <c r="O271" s="65"/>
      <c r="P271" s="65"/>
      <c r="Q271" s="65"/>
      <c r="R271" s="65" t="str">
        <f>IFERROR(VLOOKUP('BMP P Tracking Table'!$Q271,Dropdowns!$C$2:$E$15,3,FALSE),"")</f>
        <v/>
      </c>
      <c r="S271" s="65" t="str">
        <f>IFERROR(VLOOKUP('BMP P Tracking Table'!$R271,Dropdowns!$Q$3:$R$23,2,FALSE),"")</f>
        <v/>
      </c>
      <c r="T271" s="65"/>
      <c r="U271" s="65"/>
      <c r="V271" s="65"/>
      <c r="W271" s="65"/>
      <c r="X271" s="65"/>
      <c r="Y271" s="65"/>
      <c r="Z271" s="65"/>
      <c r="AA271" s="65"/>
      <c r="AB271" s="65"/>
      <c r="AC271" s="97"/>
      <c r="AD271" s="65"/>
      <c r="AE271" s="104" t="str">
        <f>IFERROR('BMP P Tracking Table'!$V271*VLOOKUP('BMP P Tracking Table'!$R271,'Loading Rates'!$B$1:$L$24,4,FALSE)+IF('BMP P Tracking Table'!$W271="By HSG",'BMP P Tracking Table'!$X271*VLOOKUP('BMP P Tracking Table'!$R271,'Loading Rates'!$B$1:$L$24,6,FALSE)+'BMP P Tracking Table'!$Y271*VLOOKUP('BMP P Tracking Table'!$R271,'Loading Rates'!$B$1:$L$24,7,FALSE)+'BMP P Tracking Table'!$Z271*VLOOKUP('BMP P Tracking Table'!$R271,'Loading Rates'!$B$1:$L$24,8,FALSE)+'BMP P Tracking Table'!$AA271*VLOOKUP('BMP P Tracking Table'!$R271,'Loading Rates'!$B$1:$L$24,9,FALSE),'BMP P Tracking Table'!$AB271*VLOOKUP('BMP P Tracking Table'!$R271,'Loading Rates'!$B$1:$L$24,10,FALSE)),"")</f>
        <v/>
      </c>
      <c r="AF271" s="104" t="str">
        <f>IFERROR(MIN(2,IF('BMP P Tracking Table'!$W271="Total Pervious",(-(3630*'BMP P Tracking Table'!$V271+20.691*'BMP P Tracking Table'!$AB271)+SQRT((3630*'BMP P Tracking Table'!$V271+20.691*'BMP P Tracking Table'!$AB271)^2-(4*(996.798*'BMP P Tracking Table'!$AB271)*-'BMP P Tracking Table'!$AC271)))/(2*(996.798*'BMP P Tracking Table'!$AB271)),IF(SUM('BMP P Tracking Table'!$X271:$AA271)=0,'BMP P Tracking Table'!$AC271/(-3630*'BMP P Tracking Table'!$V271),(-(3630*'BMP P Tracking Table'!$V271+20.691*'BMP P Tracking Table'!$AA271-216.711*'BMP P Tracking Table'!$Z271-83.853*'BMP P Tracking Table'!$Y271-42.834*'BMP P Tracking Table'!$X271)+SQRT((3630*'BMP P Tracking Table'!$V271+20.691*'BMP P Tracking Table'!$AA271-216.711*'BMP P Tracking Table'!$Z271-83.853*'BMP P Tracking Table'!$Y271-42.834*'BMP P Tracking Table'!$X271)^2-(4*(149.919*'BMP P Tracking Table'!$X271+236.676*'BMP P Tracking Table'!$Y271+726*'BMP P Tracking Table'!$Z271+996.798*'BMP P Tracking Table'!$AA271)*-'BMP P Tracking Table'!$AC271)))/(2*(149.919*'BMP P Tracking Table'!$X271+236.676*'BMP P Tracking Table'!$Y271+726*'BMP P Tracking Table'!$Z271+996.798*'BMP P Tracking Table'!$AA271))))),"")</f>
        <v/>
      </c>
      <c r="AG271" s="104" t="str">
        <f>IFERROR((VLOOKUP(CONCATENATE('BMP P Tracking Table'!$U271," ",'BMP P Tracking Table'!$AD271),'Performance Curves'!$C$1:$L$46,_xlfn.SINGLE(MATCH('BMP P Tracking Table'!$AF271,'Performance Curves'!$D$1:$L$1,1))+2,FALSE)-VLOOKUP(CONCATENATE('BMP P Tracking Table'!$U271," ",'BMP P Tracking Table'!$AD271),'Performance Curves'!$C$1:$L$46,_xlfn.SINGLE(MATCH('BMP P Tracking Table'!$AF271,'Performance Curves'!$D$1:$L$1,1))+1,FALSE)),"")</f>
        <v/>
      </c>
      <c r="AH271" s="104" t="str">
        <f>IFERROR(('BMP P Tracking Table'!$AF271-INDEX('Performance Curves'!$D$1:$L$1,1,MATCH('BMP P Tracking Table'!$AF271,'Performance Curves'!$D$1:$L$1,1)))/(INDEX('Performance Curves'!$D$1:$L$1,1,MATCH('BMP P Tracking Table'!$AF271,'Performance Curves'!$D$1:$L$1,1)+1)-INDEX('Performance Curves'!$D$1:$L$1,1,MATCH('BMP P Tracking Table'!$AF271,'Performance Curves'!$D$1:$L$1,1))),"")</f>
        <v/>
      </c>
      <c r="AI271" s="103" t="str">
        <f>IFERROR(IF('BMP P Tracking Table'!$AF271=2,VLOOKUP(CONCATENATE('BMP P Tracking Table'!$U271," ",'BMP P Tracking Table'!$AD271),'Performance Curves'!$C$1:$L$46,_xlfn.SINGLE(MATCH('BMP P Tracking Table'!$AF271,'Performance Curves'!$D$1:$L$1,1))+1,FALSE),'BMP P Tracking Table'!$AG271*'BMP P Tracking Table'!$AH271+VLOOKUP(CONCATENATE('BMP P Tracking Table'!$U271," ",'BMP P Tracking Table'!$AD271),'Performance Curves'!$C$1:$L$46,_xlfn.SINGLE(MATCH('BMP P Tracking Table'!$AF271,'Performance Curves'!$D$1:$L$1,1))+1,FALSE)),"")</f>
        <v/>
      </c>
      <c r="AJ271" s="104" t="str">
        <f>IFERROR('BMP P Tracking Table'!$AI271*'BMP P Tracking Table'!$AE271,"")</f>
        <v/>
      </c>
      <c r="AK271" s="65"/>
      <c r="AL271" s="98"/>
      <c r="AM271" s="98"/>
      <c r="AN271" s="64">
        <v>1</v>
      </c>
      <c r="AO271" s="102" t="str">
        <f t="shared" si="35"/>
        <v/>
      </c>
      <c r="AP271" s="98"/>
      <c r="AQ271" s="98"/>
      <c r="AR271" s="98"/>
      <c r="AS271" s="98"/>
      <c r="AT271" s="98"/>
      <c r="AU271" s="98"/>
      <c r="AV271" s="98"/>
      <c r="AW271" s="65"/>
      <c r="AX271" s="99"/>
      <c r="AY271" s="99"/>
      <c r="AZ271" s="104" t="str">
        <f>IF('BMP P Tracking Table'!$AL271="Yes",IF('BMP P Tracking Table'!$AM271="No",'BMP P Tracking Table'!$V271*VLOOKUP('BMP P Tracking Table'!$R271,'Loading Rates'!$B$1:$L$24,4,FALSE)+IF('BMP P Tracking Table'!$W271="By HSG",'BMP P Tracking Table'!$X271*VLOOKUP('BMP P Tracking Table'!$R271,'Loading Rates'!$B$1:$L$24,6,FALSE)+'BMP P Tracking Table'!$Y271*VLOOKUP('BMP P Tracking Table'!$R271,'Loading Rates'!$B$1:$L$24,7,FALSE)+'BMP P Tracking Table'!$Z271*VLOOKUP('BMP P Tracking Table'!$R271,'Loading Rates'!$B$1:$L$24,8,FALSE)+'BMP P Tracking Table'!$AA271*VLOOKUP('BMP P Tracking Table'!$R271,'Loading Rates'!$B$1:$L$24,9,FALSE),'BMP P Tracking Table'!$AB271*VLOOKUP('BMP P Tracking Table'!$R271,'Loading Rates'!$B$1:$L$24,10,FALSE)),'BMP P Tracking Table'!$AP271*VLOOKUP('BMP P Tracking Table'!$R271,'Loading Rates'!$B$1:$L$24,4,FALSE)+IF('BMP P Tracking Table'!$AQ271="By HSG",'BMP P Tracking Table'!$AR271*VLOOKUP('BMP P Tracking Table'!$R271,'Loading Rates'!$B$1:$L$24,6,FALSE)+'BMP P Tracking Table'!$AS271*VLOOKUP('BMP P Tracking Table'!$R271,'Loading Rates'!$B$1:$L$24,7,FALSE)+'BMP P Tracking Table'!$AT271*VLOOKUP('BMP P Tracking Table'!$R271,'Loading Rates'!$B$1:$L$24,8,FALSE)+'BMP P Tracking Table'!$AU271*VLOOKUP('BMP P Tracking Table'!$R271,'Loading Rates'!$B$1:$L$24,9,FALSE),'BMP P Tracking Table'!$AV271*VLOOKUP('BMP P Tracking Table'!$R271,'Loading Rates'!$B$1:$L$24,10,FALSE))),"")</f>
        <v/>
      </c>
      <c r="BA271" s="104" t="str">
        <f>IFERROR(IF('BMP P Tracking Table'!$AM271="Yes",MIN(2,IF('BMP P Tracking Table'!$AQ271="Total Pervious",(-(3630*'BMP P Tracking Table'!$AP271+20.691*'BMP P Tracking Table'!$AV271)+SQRT((3630*'BMP P Tracking Table'!$AP271+20.691*'BMP P Tracking Table'!$AV271)^2-(4*(996.798*'BMP P Tracking Table'!$AV271)*-'BMP P Tracking Table'!$AX271)))/(2*(996.798*'BMP P Tracking Table'!$AV271)),IF(SUM('BMP P Tracking Table'!$AR271:$AU271)=0,'BMP P Tracking Table'!$AV271/(-3630*'BMP P Tracking Table'!$AP271),(-(3630*'BMP P Tracking Table'!$AP271+20.691*'BMP P Tracking Table'!$AU271-216.711*'BMP P Tracking Table'!$AT271-83.853*'BMP P Tracking Table'!$AS271-42.834*'BMP P Tracking Table'!$AR271)+SQRT((3630*'BMP P Tracking Table'!$AP271+20.691*'BMP P Tracking Table'!$AU271-216.711*'BMP P Tracking Table'!$AT271-83.853*'BMP P Tracking Table'!$AS271-42.834*'BMP P Tracking Table'!$AR271)^2-(4*(149.919*'BMP P Tracking Table'!$AR271+236.676*'BMP P Tracking Table'!$AS271+726*'BMP P Tracking Table'!$AT271+996.798*'BMP P Tracking Table'!$AU271)*-'BMP P Tracking Table'!$AX271)))/(2*(149.919*'BMP P Tracking Table'!$AR271+236.676*'BMP P Tracking Table'!$AS271+726*'BMP P Tracking Table'!$AT271+996.798*'BMP P Tracking Table'!$AU271))))),MIN(2,IF('BMP P Tracking Table'!$AQ271="Total Pervious",(-(3630*'BMP P Tracking Table'!$V271+20.691*'BMP P Tracking Table'!$AB271)+SQRT((3630*'BMP P Tracking Table'!$V271+20.691*'BMP P Tracking Table'!$AB271)^2-(4*(996.798*'BMP P Tracking Table'!$AB271)*-'BMP P Tracking Table'!$AX271)))/(2*(996.798*'BMP P Tracking Table'!$AB271)),IF(SUM('BMP P Tracking Table'!$X271:$AA271)=0,'BMP P Tracking Table'!$AX271/(-3630*'BMP P Tracking Table'!$V271),(-(3630*'BMP P Tracking Table'!$V271+20.691*'BMP P Tracking Table'!$AA271-216.711*'BMP P Tracking Table'!$Z271-83.853*'BMP P Tracking Table'!$Y271-42.834*'BMP P Tracking Table'!$X271)+SQRT((3630*'BMP P Tracking Table'!$V271+20.691*'BMP P Tracking Table'!$AA271-216.711*'BMP P Tracking Table'!$Z271-83.853*'BMP P Tracking Table'!$Y271-42.834*'BMP P Tracking Table'!$X271)^2-(4*(149.919*'BMP P Tracking Table'!$X271+236.676*'BMP P Tracking Table'!$Y271+726*'BMP P Tracking Table'!$Z271+996.798*'BMP P Tracking Table'!$AA271)*-'BMP P Tracking Table'!$AX271)))/(2*(149.919*'BMP P Tracking Table'!$X271+236.676*'BMP P Tracking Table'!$Y271+726*'BMP P Tracking Table'!$Z271+996.798*'BMP P Tracking Table'!$AA271)))))),"")</f>
        <v/>
      </c>
      <c r="BB271" s="102" t="str">
        <f>IFERROR((VLOOKUP(CONCATENATE('BMP P Tracking Table'!$AW271," ",'BMP P Tracking Table'!$AY271),'Performance Curves'!$C$1:$L$46,_xlfn.SINGLE(MATCH('BMP P Tracking Table'!$BA271,'Performance Curves'!$D$1:$L$1,1))+2,FALSE)-VLOOKUP(CONCATENATE('BMP P Tracking Table'!$AW271," ",'BMP P Tracking Table'!$AY271),'Performance Curves'!$C$1:$L$46,_xlfn.SINGLE(MATCH('BMP P Tracking Table'!$BA271,'Performance Curves'!$D$1:$L$1,1))+1,FALSE)),"")</f>
        <v/>
      </c>
      <c r="BC271" s="102" t="str">
        <f>IFERROR(('BMP P Tracking Table'!$BA271-INDEX('Performance Curves'!$D$1:$L$1,1,MATCH('BMP P Tracking Table'!$BA271,'Performance Curves'!$D$1:$L$1,1)))/(INDEX('Performance Curves'!$D$1:$L$1,1,MATCH('BMP P Tracking Table'!$BA271,'Performance Curves'!$D$1:$L$1,1)+1)-INDEX('Performance Curves'!$D$1:$L$1,1,MATCH('BMP P Tracking Table'!$BA271,'Performance Curves'!$D$1:$L$1,1))),"")</f>
        <v/>
      </c>
      <c r="BD271" s="103" t="str" cm="1">
        <f t="array" ref="BD271">IFERROR(IF('BMP P Tracking Table'!$BA271=2,VLOOKUP(CONCATENATE('BMP P Tracking Table'!$AW271," ",'BMP P Tracking Table'!$AY271),'Performance Curves'!$C$1:$L$44,_xlfn.SINGLE(MATCH('BMP P Tracking Table'!$BA271,'Performance Curves'!$D$1:$L$1,1))+1,FALSE),'BMP P Tracking Table'!$BB271*'BMP P Tracking Table'!$BC271+VLOOKUP(CONCATENATE('BMP P Tracking Table'!$AW271," ",'BMP P Tracking Table'!$AY271),'Performance Curves'!$C$1:$L$44,_xlfn.SINGLE(MATCH('BMP P Tracking Table'!$BA271,'Performance Curves'!$D$1:$L$1,1))+1,FALSE)),"")</f>
        <v/>
      </c>
      <c r="BE271" s="104" t="str">
        <f>IFERROR('BMP P Tracking Table'!$BD271*'BMP P Tracking Table'!$AZ271,"")</f>
        <v/>
      </c>
      <c r="BF271" s="98"/>
      <c r="BG271" s="37">
        <f t="shared" si="36"/>
        <v>0</v>
      </c>
    </row>
    <row r="272" spans="2:59" s="36" customFormat="1">
      <c r="B272" s="65"/>
      <c r="C272" s="65"/>
      <c r="D272" s="65"/>
      <c r="E272" s="65"/>
      <c r="F272" s="94"/>
      <c r="G272" s="94"/>
      <c r="H272" s="65"/>
      <c r="I272" s="65"/>
      <c r="J272" s="65"/>
      <c r="K272" s="95"/>
      <c r="L272" s="65"/>
      <c r="M272" s="65"/>
      <c r="N272" s="65"/>
      <c r="O272" s="65"/>
      <c r="P272" s="65"/>
      <c r="Q272" s="65"/>
      <c r="R272" s="65" t="str">
        <f>IFERROR(VLOOKUP('BMP P Tracking Table'!$Q272,Dropdowns!$C$2:$E$15,3,FALSE),"")</f>
        <v/>
      </c>
      <c r="S272" s="65" t="str">
        <f>IFERROR(VLOOKUP('BMP P Tracking Table'!$R272,Dropdowns!$Q$3:$R$23,2,FALSE),"")</f>
        <v/>
      </c>
      <c r="T272" s="65"/>
      <c r="U272" s="65"/>
      <c r="V272" s="65"/>
      <c r="W272" s="65"/>
      <c r="X272" s="65"/>
      <c r="Y272" s="65"/>
      <c r="Z272" s="65"/>
      <c r="AA272" s="65"/>
      <c r="AB272" s="65"/>
      <c r="AC272" s="97"/>
      <c r="AD272" s="65"/>
      <c r="AE272" s="104" t="str">
        <f>IFERROR('BMP P Tracking Table'!$V272*VLOOKUP('BMP P Tracking Table'!$R272,'Loading Rates'!$B$1:$L$24,4,FALSE)+IF('BMP P Tracking Table'!$W272="By HSG",'BMP P Tracking Table'!$X272*VLOOKUP('BMP P Tracking Table'!$R272,'Loading Rates'!$B$1:$L$24,6,FALSE)+'BMP P Tracking Table'!$Y272*VLOOKUP('BMP P Tracking Table'!$R272,'Loading Rates'!$B$1:$L$24,7,FALSE)+'BMP P Tracking Table'!$Z272*VLOOKUP('BMP P Tracking Table'!$R272,'Loading Rates'!$B$1:$L$24,8,FALSE)+'BMP P Tracking Table'!$AA272*VLOOKUP('BMP P Tracking Table'!$R272,'Loading Rates'!$B$1:$L$24,9,FALSE),'BMP P Tracking Table'!$AB272*VLOOKUP('BMP P Tracking Table'!$R272,'Loading Rates'!$B$1:$L$24,10,FALSE)),"")</f>
        <v/>
      </c>
      <c r="AF272" s="104" t="str">
        <f>IFERROR(MIN(2,IF('BMP P Tracking Table'!$W272="Total Pervious",(-(3630*'BMP P Tracking Table'!$V272+20.691*'BMP P Tracking Table'!$AB272)+SQRT((3630*'BMP P Tracking Table'!$V272+20.691*'BMP P Tracking Table'!$AB272)^2-(4*(996.798*'BMP P Tracking Table'!$AB272)*-'BMP P Tracking Table'!$AC272)))/(2*(996.798*'BMP P Tracking Table'!$AB272)),IF(SUM('BMP P Tracking Table'!$X272:$AA272)=0,'BMP P Tracking Table'!$AC272/(-3630*'BMP P Tracking Table'!$V272),(-(3630*'BMP P Tracking Table'!$V272+20.691*'BMP P Tracking Table'!$AA272-216.711*'BMP P Tracking Table'!$Z272-83.853*'BMP P Tracking Table'!$Y272-42.834*'BMP P Tracking Table'!$X272)+SQRT((3630*'BMP P Tracking Table'!$V272+20.691*'BMP P Tracking Table'!$AA272-216.711*'BMP P Tracking Table'!$Z272-83.853*'BMP P Tracking Table'!$Y272-42.834*'BMP P Tracking Table'!$X272)^2-(4*(149.919*'BMP P Tracking Table'!$X272+236.676*'BMP P Tracking Table'!$Y272+726*'BMP P Tracking Table'!$Z272+996.798*'BMP P Tracking Table'!$AA272)*-'BMP P Tracking Table'!$AC272)))/(2*(149.919*'BMP P Tracking Table'!$X272+236.676*'BMP P Tracking Table'!$Y272+726*'BMP P Tracking Table'!$Z272+996.798*'BMP P Tracking Table'!$AA272))))),"")</f>
        <v/>
      </c>
      <c r="AG272" s="104" t="str">
        <f>IFERROR((VLOOKUP(CONCATENATE('BMP P Tracking Table'!$U272," ",'BMP P Tracking Table'!$AD272),'Performance Curves'!$C$1:$L$46,_xlfn.SINGLE(MATCH('BMP P Tracking Table'!$AF272,'Performance Curves'!$D$1:$L$1,1))+2,FALSE)-VLOOKUP(CONCATENATE('BMP P Tracking Table'!$U272," ",'BMP P Tracking Table'!$AD272),'Performance Curves'!$C$1:$L$46,_xlfn.SINGLE(MATCH('BMP P Tracking Table'!$AF272,'Performance Curves'!$D$1:$L$1,1))+1,FALSE)),"")</f>
        <v/>
      </c>
      <c r="AH272" s="104" t="str">
        <f>IFERROR(('BMP P Tracking Table'!$AF272-INDEX('Performance Curves'!$D$1:$L$1,1,MATCH('BMP P Tracking Table'!$AF272,'Performance Curves'!$D$1:$L$1,1)))/(INDEX('Performance Curves'!$D$1:$L$1,1,MATCH('BMP P Tracking Table'!$AF272,'Performance Curves'!$D$1:$L$1,1)+1)-INDEX('Performance Curves'!$D$1:$L$1,1,MATCH('BMP P Tracking Table'!$AF272,'Performance Curves'!$D$1:$L$1,1))),"")</f>
        <v/>
      </c>
      <c r="AI272" s="103" t="str">
        <f>IFERROR(IF('BMP P Tracking Table'!$AF272=2,VLOOKUP(CONCATENATE('BMP P Tracking Table'!$U272," ",'BMP P Tracking Table'!$AD272),'Performance Curves'!$C$1:$L$46,_xlfn.SINGLE(MATCH('BMP P Tracking Table'!$AF272,'Performance Curves'!$D$1:$L$1,1))+1,FALSE),'BMP P Tracking Table'!$AG272*'BMP P Tracking Table'!$AH272+VLOOKUP(CONCATENATE('BMP P Tracking Table'!$U272," ",'BMP P Tracking Table'!$AD272),'Performance Curves'!$C$1:$L$46,_xlfn.SINGLE(MATCH('BMP P Tracking Table'!$AF272,'Performance Curves'!$D$1:$L$1,1))+1,FALSE)),"")</f>
        <v/>
      </c>
      <c r="AJ272" s="104" t="str">
        <f>IFERROR('BMP P Tracking Table'!$AI272*'BMP P Tracking Table'!$AE272,"")</f>
        <v/>
      </c>
      <c r="AK272" s="65"/>
      <c r="AL272" s="98"/>
      <c r="AM272" s="98"/>
      <c r="AN272" s="64">
        <v>1</v>
      </c>
      <c r="AO272" s="102" t="str">
        <f t="shared" si="35"/>
        <v/>
      </c>
      <c r="AP272" s="98"/>
      <c r="AQ272" s="98"/>
      <c r="AR272" s="98"/>
      <c r="AS272" s="98"/>
      <c r="AT272" s="98"/>
      <c r="AU272" s="98"/>
      <c r="AV272" s="98"/>
      <c r="AW272" s="65"/>
      <c r="AX272" s="99"/>
      <c r="AY272" s="99"/>
      <c r="AZ272" s="104" t="str">
        <f>IF('BMP P Tracking Table'!$AL272="Yes",IF('BMP P Tracking Table'!$AM272="No",'BMP P Tracking Table'!$V272*VLOOKUP('BMP P Tracking Table'!$R272,'Loading Rates'!$B$1:$L$24,4,FALSE)+IF('BMP P Tracking Table'!$W272="By HSG",'BMP P Tracking Table'!$X272*VLOOKUP('BMP P Tracking Table'!$R272,'Loading Rates'!$B$1:$L$24,6,FALSE)+'BMP P Tracking Table'!$Y272*VLOOKUP('BMP P Tracking Table'!$R272,'Loading Rates'!$B$1:$L$24,7,FALSE)+'BMP P Tracking Table'!$Z272*VLOOKUP('BMP P Tracking Table'!$R272,'Loading Rates'!$B$1:$L$24,8,FALSE)+'BMP P Tracking Table'!$AA272*VLOOKUP('BMP P Tracking Table'!$R272,'Loading Rates'!$B$1:$L$24,9,FALSE),'BMP P Tracking Table'!$AB272*VLOOKUP('BMP P Tracking Table'!$R272,'Loading Rates'!$B$1:$L$24,10,FALSE)),'BMP P Tracking Table'!$AP272*VLOOKUP('BMP P Tracking Table'!$R272,'Loading Rates'!$B$1:$L$24,4,FALSE)+IF('BMP P Tracking Table'!$AQ272="By HSG",'BMP P Tracking Table'!$AR272*VLOOKUP('BMP P Tracking Table'!$R272,'Loading Rates'!$B$1:$L$24,6,FALSE)+'BMP P Tracking Table'!$AS272*VLOOKUP('BMP P Tracking Table'!$R272,'Loading Rates'!$B$1:$L$24,7,FALSE)+'BMP P Tracking Table'!$AT272*VLOOKUP('BMP P Tracking Table'!$R272,'Loading Rates'!$B$1:$L$24,8,FALSE)+'BMP P Tracking Table'!$AU272*VLOOKUP('BMP P Tracking Table'!$R272,'Loading Rates'!$B$1:$L$24,9,FALSE),'BMP P Tracking Table'!$AV272*VLOOKUP('BMP P Tracking Table'!$R272,'Loading Rates'!$B$1:$L$24,10,FALSE))),"")</f>
        <v/>
      </c>
      <c r="BA272" s="104" t="str">
        <f>IFERROR(IF('BMP P Tracking Table'!$AM272="Yes",MIN(2,IF('BMP P Tracking Table'!$AQ272="Total Pervious",(-(3630*'BMP P Tracking Table'!$AP272+20.691*'BMP P Tracking Table'!$AV272)+SQRT((3630*'BMP P Tracking Table'!$AP272+20.691*'BMP P Tracking Table'!$AV272)^2-(4*(996.798*'BMP P Tracking Table'!$AV272)*-'BMP P Tracking Table'!$AX272)))/(2*(996.798*'BMP P Tracking Table'!$AV272)),IF(SUM('BMP P Tracking Table'!$AR272:$AU272)=0,'BMP P Tracking Table'!$AV272/(-3630*'BMP P Tracking Table'!$AP272),(-(3630*'BMP P Tracking Table'!$AP272+20.691*'BMP P Tracking Table'!$AU272-216.711*'BMP P Tracking Table'!$AT272-83.853*'BMP P Tracking Table'!$AS272-42.834*'BMP P Tracking Table'!$AR272)+SQRT((3630*'BMP P Tracking Table'!$AP272+20.691*'BMP P Tracking Table'!$AU272-216.711*'BMP P Tracking Table'!$AT272-83.853*'BMP P Tracking Table'!$AS272-42.834*'BMP P Tracking Table'!$AR272)^2-(4*(149.919*'BMP P Tracking Table'!$AR272+236.676*'BMP P Tracking Table'!$AS272+726*'BMP P Tracking Table'!$AT272+996.798*'BMP P Tracking Table'!$AU272)*-'BMP P Tracking Table'!$AX272)))/(2*(149.919*'BMP P Tracking Table'!$AR272+236.676*'BMP P Tracking Table'!$AS272+726*'BMP P Tracking Table'!$AT272+996.798*'BMP P Tracking Table'!$AU272))))),MIN(2,IF('BMP P Tracking Table'!$AQ272="Total Pervious",(-(3630*'BMP P Tracking Table'!$V272+20.691*'BMP P Tracking Table'!$AB272)+SQRT((3630*'BMP P Tracking Table'!$V272+20.691*'BMP P Tracking Table'!$AB272)^2-(4*(996.798*'BMP P Tracking Table'!$AB272)*-'BMP P Tracking Table'!$AX272)))/(2*(996.798*'BMP P Tracking Table'!$AB272)),IF(SUM('BMP P Tracking Table'!$X272:$AA272)=0,'BMP P Tracking Table'!$AX272/(-3630*'BMP P Tracking Table'!$V272),(-(3630*'BMP P Tracking Table'!$V272+20.691*'BMP P Tracking Table'!$AA272-216.711*'BMP P Tracking Table'!$Z272-83.853*'BMP P Tracking Table'!$Y272-42.834*'BMP P Tracking Table'!$X272)+SQRT((3630*'BMP P Tracking Table'!$V272+20.691*'BMP P Tracking Table'!$AA272-216.711*'BMP P Tracking Table'!$Z272-83.853*'BMP P Tracking Table'!$Y272-42.834*'BMP P Tracking Table'!$X272)^2-(4*(149.919*'BMP P Tracking Table'!$X272+236.676*'BMP P Tracking Table'!$Y272+726*'BMP P Tracking Table'!$Z272+996.798*'BMP P Tracking Table'!$AA272)*-'BMP P Tracking Table'!$AX272)))/(2*(149.919*'BMP P Tracking Table'!$X272+236.676*'BMP P Tracking Table'!$Y272+726*'BMP P Tracking Table'!$Z272+996.798*'BMP P Tracking Table'!$AA272)))))),"")</f>
        <v/>
      </c>
      <c r="BB272" s="102" t="str">
        <f>IFERROR((VLOOKUP(CONCATENATE('BMP P Tracking Table'!$AW272," ",'BMP P Tracking Table'!$AY272),'Performance Curves'!$C$1:$L$46,_xlfn.SINGLE(MATCH('BMP P Tracking Table'!$BA272,'Performance Curves'!$D$1:$L$1,1))+2,FALSE)-VLOOKUP(CONCATENATE('BMP P Tracking Table'!$AW272," ",'BMP P Tracking Table'!$AY272),'Performance Curves'!$C$1:$L$46,_xlfn.SINGLE(MATCH('BMP P Tracking Table'!$BA272,'Performance Curves'!$D$1:$L$1,1))+1,FALSE)),"")</f>
        <v/>
      </c>
      <c r="BC272" s="102" t="str">
        <f>IFERROR(('BMP P Tracking Table'!$BA272-INDEX('Performance Curves'!$D$1:$L$1,1,MATCH('BMP P Tracking Table'!$BA272,'Performance Curves'!$D$1:$L$1,1)))/(INDEX('Performance Curves'!$D$1:$L$1,1,MATCH('BMP P Tracking Table'!$BA272,'Performance Curves'!$D$1:$L$1,1)+1)-INDEX('Performance Curves'!$D$1:$L$1,1,MATCH('BMP P Tracking Table'!$BA272,'Performance Curves'!$D$1:$L$1,1))),"")</f>
        <v/>
      </c>
      <c r="BD272" s="103" t="str" cm="1">
        <f t="array" ref="BD272">IFERROR(IF('BMP P Tracking Table'!$BA272=2,VLOOKUP(CONCATENATE('BMP P Tracking Table'!$AW272," ",'BMP P Tracking Table'!$AY272),'Performance Curves'!$C$1:$L$44,_xlfn.SINGLE(MATCH('BMP P Tracking Table'!$BA272,'Performance Curves'!$D$1:$L$1,1))+1,FALSE),'BMP P Tracking Table'!$BB272*'BMP P Tracking Table'!$BC272+VLOOKUP(CONCATENATE('BMP P Tracking Table'!$AW272," ",'BMP P Tracking Table'!$AY272),'Performance Curves'!$C$1:$L$44,_xlfn.SINGLE(MATCH('BMP P Tracking Table'!$BA272,'Performance Curves'!$D$1:$L$1,1))+1,FALSE)),"")</f>
        <v/>
      </c>
      <c r="BE272" s="104" t="str">
        <f>IFERROR('BMP P Tracking Table'!$BD272*'BMP P Tracking Table'!$AZ272,"")</f>
        <v/>
      </c>
      <c r="BF272" s="98"/>
      <c r="BG272" s="37">
        <f t="shared" si="36"/>
        <v>0</v>
      </c>
    </row>
    <row r="273" spans="2:59" s="36" customFormat="1">
      <c r="B273" s="65"/>
      <c r="C273" s="65"/>
      <c r="D273" s="65"/>
      <c r="E273" s="65"/>
      <c r="F273" s="94"/>
      <c r="G273" s="94"/>
      <c r="H273" s="65"/>
      <c r="I273" s="65"/>
      <c r="J273" s="65"/>
      <c r="K273" s="95"/>
      <c r="L273" s="65"/>
      <c r="M273" s="65"/>
      <c r="N273" s="65"/>
      <c r="O273" s="65"/>
      <c r="P273" s="65"/>
      <c r="Q273" s="65"/>
      <c r="R273" s="65" t="str">
        <f>IFERROR(VLOOKUP('BMP P Tracking Table'!$Q273,Dropdowns!$C$2:$E$15,3,FALSE),"")</f>
        <v/>
      </c>
      <c r="S273" s="65" t="str">
        <f>IFERROR(VLOOKUP('BMP P Tracking Table'!$R273,Dropdowns!$Q$3:$R$23,2,FALSE),"")</f>
        <v/>
      </c>
      <c r="T273" s="65"/>
      <c r="U273" s="65"/>
      <c r="V273" s="65"/>
      <c r="W273" s="65"/>
      <c r="X273" s="65"/>
      <c r="Y273" s="65"/>
      <c r="Z273" s="65"/>
      <c r="AA273" s="65"/>
      <c r="AB273" s="65"/>
      <c r="AC273" s="97"/>
      <c r="AD273" s="65"/>
      <c r="AE273" s="104" t="str">
        <f>IFERROR('BMP P Tracking Table'!$V273*VLOOKUP('BMP P Tracking Table'!$R273,'Loading Rates'!$B$1:$L$24,4,FALSE)+IF('BMP P Tracking Table'!$W273="By HSG",'BMP P Tracking Table'!$X273*VLOOKUP('BMP P Tracking Table'!$R273,'Loading Rates'!$B$1:$L$24,6,FALSE)+'BMP P Tracking Table'!$Y273*VLOOKUP('BMP P Tracking Table'!$R273,'Loading Rates'!$B$1:$L$24,7,FALSE)+'BMP P Tracking Table'!$Z273*VLOOKUP('BMP P Tracking Table'!$R273,'Loading Rates'!$B$1:$L$24,8,FALSE)+'BMP P Tracking Table'!$AA273*VLOOKUP('BMP P Tracking Table'!$R273,'Loading Rates'!$B$1:$L$24,9,FALSE),'BMP P Tracking Table'!$AB273*VLOOKUP('BMP P Tracking Table'!$R273,'Loading Rates'!$B$1:$L$24,10,FALSE)),"")</f>
        <v/>
      </c>
      <c r="AF273" s="104" t="str">
        <f>IFERROR(MIN(2,IF('BMP P Tracking Table'!$W273="Total Pervious",(-(3630*'BMP P Tracking Table'!$V273+20.691*'BMP P Tracking Table'!$AB273)+SQRT((3630*'BMP P Tracking Table'!$V273+20.691*'BMP P Tracking Table'!$AB273)^2-(4*(996.798*'BMP P Tracking Table'!$AB273)*-'BMP P Tracking Table'!$AC273)))/(2*(996.798*'BMP P Tracking Table'!$AB273)),IF(SUM('BMP P Tracking Table'!$X273:$AA273)=0,'BMP P Tracking Table'!$AC273/(-3630*'BMP P Tracking Table'!$V273),(-(3630*'BMP P Tracking Table'!$V273+20.691*'BMP P Tracking Table'!$AA273-216.711*'BMP P Tracking Table'!$Z273-83.853*'BMP P Tracking Table'!$Y273-42.834*'BMP P Tracking Table'!$X273)+SQRT((3630*'BMP P Tracking Table'!$V273+20.691*'BMP P Tracking Table'!$AA273-216.711*'BMP P Tracking Table'!$Z273-83.853*'BMP P Tracking Table'!$Y273-42.834*'BMP P Tracking Table'!$X273)^2-(4*(149.919*'BMP P Tracking Table'!$X273+236.676*'BMP P Tracking Table'!$Y273+726*'BMP P Tracking Table'!$Z273+996.798*'BMP P Tracking Table'!$AA273)*-'BMP P Tracking Table'!$AC273)))/(2*(149.919*'BMP P Tracking Table'!$X273+236.676*'BMP P Tracking Table'!$Y273+726*'BMP P Tracking Table'!$Z273+996.798*'BMP P Tracking Table'!$AA273))))),"")</f>
        <v/>
      </c>
      <c r="AG273" s="104" t="str">
        <f>IFERROR((VLOOKUP(CONCATENATE('BMP P Tracking Table'!$U273," ",'BMP P Tracking Table'!$AD273),'Performance Curves'!$C$1:$L$46,_xlfn.SINGLE(MATCH('BMP P Tracking Table'!$AF273,'Performance Curves'!$D$1:$L$1,1))+2,FALSE)-VLOOKUP(CONCATENATE('BMP P Tracking Table'!$U273," ",'BMP P Tracking Table'!$AD273),'Performance Curves'!$C$1:$L$46,_xlfn.SINGLE(MATCH('BMP P Tracking Table'!$AF273,'Performance Curves'!$D$1:$L$1,1))+1,FALSE)),"")</f>
        <v/>
      </c>
      <c r="AH273" s="104" t="str">
        <f>IFERROR(('BMP P Tracking Table'!$AF273-INDEX('Performance Curves'!$D$1:$L$1,1,MATCH('BMP P Tracking Table'!$AF273,'Performance Curves'!$D$1:$L$1,1)))/(INDEX('Performance Curves'!$D$1:$L$1,1,MATCH('BMP P Tracking Table'!$AF273,'Performance Curves'!$D$1:$L$1,1)+1)-INDEX('Performance Curves'!$D$1:$L$1,1,MATCH('BMP P Tracking Table'!$AF273,'Performance Curves'!$D$1:$L$1,1))),"")</f>
        <v/>
      </c>
      <c r="AI273" s="103" t="str">
        <f>IFERROR(IF('BMP P Tracking Table'!$AF273=2,VLOOKUP(CONCATENATE('BMP P Tracking Table'!$U273," ",'BMP P Tracking Table'!$AD273),'Performance Curves'!$C$1:$L$46,_xlfn.SINGLE(MATCH('BMP P Tracking Table'!$AF273,'Performance Curves'!$D$1:$L$1,1))+1,FALSE),'BMP P Tracking Table'!$AG273*'BMP P Tracking Table'!$AH273+VLOOKUP(CONCATENATE('BMP P Tracking Table'!$U273," ",'BMP P Tracking Table'!$AD273),'Performance Curves'!$C$1:$L$46,_xlfn.SINGLE(MATCH('BMP P Tracking Table'!$AF273,'Performance Curves'!$D$1:$L$1,1))+1,FALSE)),"")</f>
        <v/>
      </c>
      <c r="AJ273" s="104" t="str">
        <f>IFERROR('BMP P Tracking Table'!$AI273*'BMP P Tracking Table'!$AE273,"")</f>
        <v/>
      </c>
      <c r="AK273" s="65"/>
      <c r="AL273" s="98"/>
      <c r="AM273" s="98"/>
      <c r="AN273" s="64">
        <v>1</v>
      </c>
      <c r="AO273" s="102" t="str">
        <f t="shared" si="35"/>
        <v/>
      </c>
      <c r="AP273" s="98"/>
      <c r="AQ273" s="98"/>
      <c r="AR273" s="98"/>
      <c r="AS273" s="98"/>
      <c r="AT273" s="98"/>
      <c r="AU273" s="98"/>
      <c r="AV273" s="98"/>
      <c r="AW273" s="65"/>
      <c r="AX273" s="99"/>
      <c r="AY273" s="99"/>
      <c r="AZ273" s="104" t="str">
        <f>IF('BMP P Tracking Table'!$AL273="Yes",IF('BMP P Tracking Table'!$AM273="No",'BMP P Tracking Table'!$V273*VLOOKUP('BMP P Tracking Table'!$R273,'Loading Rates'!$B$1:$L$24,4,FALSE)+IF('BMP P Tracking Table'!$W273="By HSG",'BMP P Tracking Table'!$X273*VLOOKUP('BMP P Tracking Table'!$R273,'Loading Rates'!$B$1:$L$24,6,FALSE)+'BMP P Tracking Table'!$Y273*VLOOKUP('BMP P Tracking Table'!$R273,'Loading Rates'!$B$1:$L$24,7,FALSE)+'BMP P Tracking Table'!$Z273*VLOOKUP('BMP P Tracking Table'!$R273,'Loading Rates'!$B$1:$L$24,8,FALSE)+'BMP P Tracking Table'!$AA273*VLOOKUP('BMP P Tracking Table'!$R273,'Loading Rates'!$B$1:$L$24,9,FALSE),'BMP P Tracking Table'!$AB273*VLOOKUP('BMP P Tracking Table'!$R273,'Loading Rates'!$B$1:$L$24,10,FALSE)),'BMP P Tracking Table'!$AP273*VLOOKUP('BMP P Tracking Table'!$R273,'Loading Rates'!$B$1:$L$24,4,FALSE)+IF('BMP P Tracking Table'!$AQ273="By HSG",'BMP P Tracking Table'!$AR273*VLOOKUP('BMP P Tracking Table'!$R273,'Loading Rates'!$B$1:$L$24,6,FALSE)+'BMP P Tracking Table'!$AS273*VLOOKUP('BMP P Tracking Table'!$R273,'Loading Rates'!$B$1:$L$24,7,FALSE)+'BMP P Tracking Table'!$AT273*VLOOKUP('BMP P Tracking Table'!$R273,'Loading Rates'!$B$1:$L$24,8,FALSE)+'BMP P Tracking Table'!$AU273*VLOOKUP('BMP P Tracking Table'!$R273,'Loading Rates'!$B$1:$L$24,9,FALSE),'BMP P Tracking Table'!$AV273*VLOOKUP('BMP P Tracking Table'!$R273,'Loading Rates'!$B$1:$L$24,10,FALSE))),"")</f>
        <v/>
      </c>
      <c r="BA273" s="104" t="str">
        <f>IFERROR(IF('BMP P Tracking Table'!$AM273="Yes",MIN(2,IF('BMP P Tracking Table'!$AQ273="Total Pervious",(-(3630*'BMP P Tracking Table'!$AP273+20.691*'BMP P Tracking Table'!$AV273)+SQRT((3630*'BMP P Tracking Table'!$AP273+20.691*'BMP P Tracking Table'!$AV273)^2-(4*(996.798*'BMP P Tracking Table'!$AV273)*-'BMP P Tracking Table'!$AX273)))/(2*(996.798*'BMP P Tracking Table'!$AV273)),IF(SUM('BMP P Tracking Table'!$AR273:$AU273)=0,'BMP P Tracking Table'!$AV273/(-3630*'BMP P Tracking Table'!$AP273),(-(3630*'BMP P Tracking Table'!$AP273+20.691*'BMP P Tracking Table'!$AU273-216.711*'BMP P Tracking Table'!$AT273-83.853*'BMP P Tracking Table'!$AS273-42.834*'BMP P Tracking Table'!$AR273)+SQRT((3630*'BMP P Tracking Table'!$AP273+20.691*'BMP P Tracking Table'!$AU273-216.711*'BMP P Tracking Table'!$AT273-83.853*'BMP P Tracking Table'!$AS273-42.834*'BMP P Tracking Table'!$AR273)^2-(4*(149.919*'BMP P Tracking Table'!$AR273+236.676*'BMP P Tracking Table'!$AS273+726*'BMP P Tracking Table'!$AT273+996.798*'BMP P Tracking Table'!$AU273)*-'BMP P Tracking Table'!$AX273)))/(2*(149.919*'BMP P Tracking Table'!$AR273+236.676*'BMP P Tracking Table'!$AS273+726*'BMP P Tracking Table'!$AT273+996.798*'BMP P Tracking Table'!$AU273))))),MIN(2,IF('BMP P Tracking Table'!$AQ273="Total Pervious",(-(3630*'BMP P Tracking Table'!$V273+20.691*'BMP P Tracking Table'!$AB273)+SQRT((3630*'BMP P Tracking Table'!$V273+20.691*'BMP P Tracking Table'!$AB273)^2-(4*(996.798*'BMP P Tracking Table'!$AB273)*-'BMP P Tracking Table'!$AX273)))/(2*(996.798*'BMP P Tracking Table'!$AB273)),IF(SUM('BMP P Tracking Table'!$X273:$AA273)=0,'BMP P Tracking Table'!$AX273/(-3630*'BMP P Tracking Table'!$V273),(-(3630*'BMP P Tracking Table'!$V273+20.691*'BMP P Tracking Table'!$AA273-216.711*'BMP P Tracking Table'!$Z273-83.853*'BMP P Tracking Table'!$Y273-42.834*'BMP P Tracking Table'!$X273)+SQRT((3630*'BMP P Tracking Table'!$V273+20.691*'BMP P Tracking Table'!$AA273-216.711*'BMP P Tracking Table'!$Z273-83.853*'BMP P Tracking Table'!$Y273-42.834*'BMP P Tracking Table'!$X273)^2-(4*(149.919*'BMP P Tracking Table'!$X273+236.676*'BMP P Tracking Table'!$Y273+726*'BMP P Tracking Table'!$Z273+996.798*'BMP P Tracking Table'!$AA273)*-'BMP P Tracking Table'!$AX273)))/(2*(149.919*'BMP P Tracking Table'!$X273+236.676*'BMP P Tracking Table'!$Y273+726*'BMP P Tracking Table'!$Z273+996.798*'BMP P Tracking Table'!$AA273)))))),"")</f>
        <v/>
      </c>
      <c r="BB273" s="102" t="str">
        <f>IFERROR((VLOOKUP(CONCATENATE('BMP P Tracking Table'!$AW273," ",'BMP P Tracking Table'!$AY273),'Performance Curves'!$C$1:$L$46,_xlfn.SINGLE(MATCH('BMP P Tracking Table'!$BA273,'Performance Curves'!$D$1:$L$1,1))+2,FALSE)-VLOOKUP(CONCATENATE('BMP P Tracking Table'!$AW273," ",'BMP P Tracking Table'!$AY273),'Performance Curves'!$C$1:$L$46,_xlfn.SINGLE(MATCH('BMP P Tracking Table'!$BA273,'Performance Curves'!$D$1:$L$1,1))+1,FALSE)),"")</f>
        <v/>
      </c>
      <c r="BC273" s="102" t="str">
        <f>IFERROR(('BMP P Tracking Table'!$BA273-INDEX('Performance Curves'!$D$1:$L$1,1,MATCH('BMP P Tracking Table'!$BA273,'Performance Curves'!$D$1:$L$1,1)))/(INDEX('Performance Curves'!$D$1:$L$1,1,MATCH('BMP P Tracking Table'!$BA273,'Performance Curves'!$D$1:$L$1,1)+1)-INDEX('Performance Curves'!$D$1:$L$1,1,MATCH('BMP P Tracking Table'!$BA273,'Performance Curves'!$D$1:$L$1,1))),"")</f>
        <v/>
      </c>
      <c r="BD273" s="103" t="str" cm="1">
        <f t="array" ref="BD273">IFERROR(IF('BMP P Tracking Table'!$BA273=2,VLOOKUP(CONCATENATE('BMP P Tracking Table'!$AW273," ",'BMP P Tracking Table'!$AY273),'Performance Curves'!$C$1:$L$44,_xlfn.SINGLE(MATCH('BMP P Tracking Table'!$BA273,'Performance Curves'!$D$1:$L$1,1))+1,FALSE),'BMP P Tracking Table'!$BB273*'BMP P Tracking Table'!$BC273+VLOOKUP(CONCATENATE('BMP P Tracking Table'!$AW273," ",'BMP P Tracking Table'!$AY273),'Performance Curves'!$C$1:$L$44,_xlfn.SINGLE(MATCH('BMP P Tracking Table'!$BA273,'Performance Curves'!$D$1:$L$1,1))+1,FALSE)),"")</f>
        <v/>
      </c>
      <c r="BE273" s="104" t="str">
        <f>IFERROR('BMP P Tracking Table'!$BD273*'BMP P Tracking Table'!$AZ273,"")</f>
        <v/>
      </c>
      <c r="BF273" s="98"/>
      <c r="BG273" s="37">
        <f t="shared" si="36"/>
        <v>0</v>
      </c>
    </row>
    <row r="274" spans="2:59" s="36" customFormat="1">
      <c r="B274" s="65"/>
      <c r="C274" s="65"/>
      <c r="D274" s="65"/>
      <c r="E274" s="65"/>
      <c r="F274" s="94"/>
      <c r="G274" s="94"/>
      <c r="H274" s="65"/>
      <c r="I274" s="65"/>
      <c r="J274" s="65"/>
      <c r="K274" s="95"/>
      <c r="L274" s="65"/>
      <c r="M274" s="65"/>
      <c r="N274" s="65"/>
      <c r="O274" s="65"/>
      <c r="P274" s="65"/>
      <c r="Q274" s="65"/>
      <c r="R274" s="65" t="str">
        <f>IFERROR(VLOOKUP('BMP P Tracking Table'!$Q274,Dropdowns!$C$2:$E$15,3,FALSE),"")</f>
        <v/>
      </c>
      <c r="S274" s="65" t="str">
        <f>IFERROR(VLOOKUP('BMP P Tracking Table'!$R274,Dropdowns!$Q$3:$R$23,2,FALSE),"")</f>
        <v/>
      </c>
      <c r="T274" s="65"/>
      <c r="U274" s="65"/>
      <c r="V274" s="65"/>
      <c r="W274" s="65"/>
      <c r="X274" s="65"/>
      <c r="Y274" s="65"/>
      <c r="Z274" s="65"/>
      <c r="AA274" s="65"/>
      <c r="AB274" s="65"/>
      <c r="AC274" s="97"/>
      <c r="AD274" s="65"/>
      <c r="AE274" s="104" t="str">
        <f>IFERROR('BMP P Tracking Table'!$V274*VLOOKUP('BMP P Tracking Table'!$R274,'Loading Rates'!$B$1:$L$24,4,FALSE)+IF('BMP P Tracking Table'!$W274="By HSG",'BMP P Tracking Table'!$X274*VLOOKUP('BMP P Tracking Table'!$R274,'Loading Rates'!$B$1:$L$24,6,FALSE)+'BMP P Tracking Table'!$Y274*VLOOKUP('BMP P Tracking Table'!$R274,'Loading Rates'!$B$1:$L$24,7,FALSE)+'BMP P Tracking Table'!$Z274*VLOOKUP('BMP P Tracking Table'!$R274,'Loading Rates'!$B$1:$L$24,8,FALSE)+'BMP P Tracking Table'!$AA274*VLOOKUP('BMP P Tracking Table'!$R274,'Loading Rates'!$B$1:$L$24,9,FALSE),'BMP P Tracking Table'!$AB274*VLOOKUP('BMP P Tracking Table'!$R274,'Loading Rates'!$B$1:$L$24,10,FALSE)),"")</f>
        <v/>
      </c>
      <c r="AF274" s="104" t="str">
        <f>IFERROR(MIN(2,IF('BMP P Tracking Table'!$W274="Total Pervious",(-(3630*'BMP P Tracking Table'!$V274+20.691*'BMP P Tracking Table'!$AB274)+SQRT((3630*'BMP P Tracking Table'!$V274+20.691*'BMP P Tracking Table'!$AB274)^2-(4*(996.798*'BMP P Tracking Table'!$AB274)*-'BMP P Tracking Table'!$AC274)))/(2*(996.798*'BMP P Tracking Table'!$AB274)),IF(SUM('BMP P Tracking Table'!$X274:$AA274)=0,'BMP P Tracking Table'!$AC274/(-3630*'BMP P Tracking Table'!$V274),(-(3630*'BMP P Tracking Table'!$V274+20.691*'BMP P Tracking Table'!$AA274-216.711*'BMP P Tracking Table'!$Z274-83.853*'BMP P Tracking Table'!$Y274-42.834*'BMP P Tracking Table'!$X274)+SQRT((3630*'BMP P Tracking Table'!$V274+20.691*'BMP P Tracking Table'!$AA274-216.711*'BMP P Tracking Table'!$Z274-83.853*'BMP P Tracking Table'!$Y274-42.834*'BMP P Tracking Table'!$X274)^2-(4*(149.919*'BMP P Tracking Table'!$X274+236.676*'BMP P Tracking Table'!$Y274+726*'BMP P Tracking Table'!$Z274+996.798*'BMP P Tracking Table'!$AA274)*-'BMP P Tracking Table'!$AC274)))/(2*(149.919*'BMP P Tracking Table'!$X274+236.676*'BMP P Tracking Table'!$Y274+726*'BMP P Tracking Table'!$Z274+996.798*'BMP P Tracking Table'!$AA274))))),"")</f>
        <v/>
      </c>
      <c r="AG274" s="104" t="str">
        <f>IFERROR((VLOOKUP(CONCATENATE('BMP P Tracking Table'!$U274," ",'BMP P Tracking Table'!$AD274),'Performance Curves'!$C$1:$L$46,_xlfn.SINGLE(MATCH('BMP P Tracking Table'!$AF274,'Performance Curves'!$D$1:$L$1,1))+2,FALSE)-VLOOKUP(CONCATENATE('BMP P Tracking Table'!$U274," ",'BMP P Tracking Table'!$AD274),'Performance Curves'!$C$1:$L$46,_xlfn.SINGLE(MATCH('BMP P Tracking Table'!$AF274,'Performance Curves'!$D$1:$L$1,1))+1,FALSE)),"")</f>
        <v/>
      </c>
      <c r="AH274" s="104" t="str">
        <f>IFERROR(('BMP P Tracking Table'!$AF274-INDEX('Performance Curves'!$D$1:$L$1,1,MATCH('BMP P Tracking Table'!$AF274,'Performance Curves'!$D$1:$L$1,1)))/(INDEX('Performance Curves'!$D$1:$L$1,1,MATCH('BMP P Tracking Table'!$AF274,'Performance Curves'!$D$1:$L$1,1)+1)-INDEX('Performance Curves'!$D$1:$L$1,1,MATCH('BMP P Tracking Table'!$AF274,'Performance Curves'!$D$1:$L$1,1))),"")</f>
        <v/>
      </c>
      <c r="AI274" s="103" t="str">
        <f>IFERROR(IF('BMP P Tracking Table'!$AF274=2,VLOOKUP(CONCATENATE('BMP P Tracking Table'!$U274," ",'BMP P Tracking Table'!$AD274),'Performance Curves'!$C$1:$L$46,_xlfn.SINGLE(MATCH('BMP P Tracking Table'!$AF274,'Performance Curves'!$D$1:$L$1,1))+1,FALSE),'BMP P Tracking Table'!$AG274*'BMP P Tracking Table'!$AH274+VLOOKUP(CONCATENATE('BMP P Tracking Table'!$U274," ",'BMP P Tracking Table'!$AD274),'Performance Curves'!$C$1:$L$46,_xlfn.SINGLE(MATCH('BMP P Tracking Table'!$AF274,'Performance Curves'!$D$1:$L$1,1))+1,FALSE)),"")</f>
        <v/>
      </c>
      <c r="AJ274" s="104" t="str">
        <f>IFERROR('BMP P Tracking Table'!$AI274*'BMP P Tracking Table'!$AE274,"")</f>
        <v/>
      </c>
      <c r="AK274" s="65"/>
      <c r="AL274" s="98"/>
      <c r="AM274" s="98"/>
      <c r="AN274" s="64">
        <v>1</v>
      </c>
      <c r="AO274" s="102" t="str">
        <f t="shared" si="35"/>
        <v/>
      </c>
      <c r="AP274" s="98"/>
      <c r="AQ274" s="98"/>
      <c r="AR274" s="98"/>
      <c r="AS274" s="98"/>
      <c r="AT274" s="98"/>
      <c r="AU274" s="98"/>
      <c r="AV274" s="98"/>
      <c r="AW274" s="65"/>
      <c r="AX274" s="99"/>
      <c r="AY274" s="99"/>
      <c r="AZ274" s="104" t="str">
        <f>IF('BMP P Tracking Table'!$AL274="Yes",IF('BMP P Tracking Table'!$AM274="No",'BMP P Tracking Table'!$V274*VLOOKUP('BMP P Tracking Table'!$R274,'Loading Rates'!$B$1:$L$24,4,FALSE)+IF('BMP P Tracking Table'!$W274="By HSG",'BMP P Tracking Table'!$X274*VLOOKUP('BMP P Tracking Table'!$R274,'Loading Rates'!$B$1:$L$24,6,FALSE)+'BMP P Tracking Table'!$Y274*VLOOKUP('BMP P Tracking Table'!$R274,'Loading Rates'!$B$1:$L$24,7,FALSE)+'BMP P Tracking Table'!$Z274*VLOOKUP('BMP P Tracking Table'!$R274,'Loading Rates'!$B$1:$L$24,8,FALSE)+'BMP P Tracking Table'!$AA274*VLOOKUP('BMP P Tracking Table'!$R274,'Loading Rates'!$B$1:$L$24,9,FALSE),'BMP P Tracking Table'!$AB274*VLOOKUP('BMP P Tracking Table'!$R274,'Loading Rates'!$B$1:$L$24,10,FALSE)),'BMP P Tracking Table'!$AP274*VLOOKUP('BMP P Tracking Table'!$R274,'Loading Rates'!$B$1:$L$24,4,FALSE)+IF('BMP P Tracking Table'!$AQ274="By HSG",'BMP P Tracking Table'!$AR274*VLOOKUP('BMP P Tracking Table'!$R274,'Loading Rates'!$B$1:$L$24,6,FALSE)+'BMP P Tracking Table'!$AS274*VLOOKUP('BMP P Tracking Table'!$R274,'Loading Rates'!$B$1:$L$24,7,FALSE)+'BMP P Tracking Table'!$AT274*VLOOKUP('BMP P Tracking Table'!$R274,'Loading Rates'!$B$1:$L$24,8,FALSE)+'BMP P Tracking Table'!$AU274*VLOOKUP('BMP P Tracking Table'!$R274,'Loading Rates'!$B$1:$L$24,9,FALSE),'BMP P Tracking Table'!$AV274*VLOOKUP('BMP P Tracking Table'!$R274,'Loading Rates'!$B$1:$L$24,10,FALSE))),"")</f>
        <v/>
      </c>
      <c r="BA274" s="104" t="str">
        <f>IFERROR(IF('BMP P Tracking Table'!$AM274="Yes",MIN(2,IF('BMP P Tracking Table'!$AQ274="Total Pervious",(-(3630*'BMP P Tracking Table'!$AP274+20.691*'BMP P Tracking Table'!$AV274)+SQRT((3630*'BMP P Tracking Table'!$AP274+20.691*'BMP P Tracking Table'!$AV274)^2-(4*(996.798*'BMP P Tracking Table'!$AV274)*-'BMP P Tracking Table'!$AX274)))/(2*(996.798*'BMP P Tracking Table'!$AV274)),IF(SUM('BMP P Tracking Table'!$AR274:$AU274)=0,'BMP P Tracking Table'!$AV274/(-3630*'BMP P Tracking Table'!$AP274),(-(3630*'BMP P Tracking Table'!$AP274+20.691*'BMP P Tracking Table'!$AU274-216.711*'BMP P Tracking Table'!$AT274-83.853*'BMP P Tracking Table'!$AS274-42.834*'BMP P Tracking Table'!$AR274)+SQRT((3630*'BMP P Tracking Table'!$AP274+20.691*'BMP P Tracking Table'!$AU274-216.711*'BMP P Tracking Table'!$AT274-83.853*'BMP P Tracking Table'!$AS274-42.834*'BMP P Tracking Table'!$AR274)^2-(4*(149.919*'BMP P Tracking Table'!$AR274+236.676*'BMP P Tracking Table'!$AS274+726*'BMP P Tracking Table'!$AT274+996.798*'BMP P Tracking Table'!$AU274)*-'BMP P Tracking Table'!$AX274)))/(2*(149.919*'BMP P Tracking Table'!$AR274+236.676*'BMP P Tracking Table'!$AS274+726*'BMP P Tracking Table'!$AT274+996.798*'BMP P Tracking Table'!$AU274))))),MIN(2,IF('BMP P Tracking Table'!$AQ274="Total Pervious",(-(3630*'BMP P Tracking Table'!$V274+20.691*'BMP P Tracking Table'!$AB274)+SQRT((3630*'BMP P Tracking Table'!$V274+20.691*'BMP P Tracking Table'!$AB274)^2-(4*(996.798*'BMP P Tracking Table'!$AB274)*-'BMP P Tracking Table'!$AX274)))/(2*(996.798*'BMP P Tracking Table'!$AB274)),IF(SUM('BMP P Tracking Table'!$X274:$AA274)=0,'BMP P Tracking Table'!$AX274/(-3630*'BMP P Tracking Table'!$V274),(-(3630*'BMP P Tracking Table'!$V274+20.691*'BMP P Tracking Table'!$AA274-216.711*'BMP P Tracking Table'!$Z274-83.853*'BMP P Tracking Table'!$Y274-42.834*'BMP P Tracking Table'!$X274)+SQRT((3630*'BMP P Tracking Table'!$V274+20.691*'BMP P Tracking Table'!$AA274-216.711*'BMP P Tracking Table'!$Z274-83.853*'BMP P Tracking Table'!$Y274-42.834*'BMP P Tracking Table'!$X274)^2-(4*(149.919*'BMP P Tracking Table'!$X274+236.676*'BMP P Tracking Table'!$Y274+726*'BMP P Tracking Table'!$Z274+996.798*'BMP P Tracking Table'!$AA274)*-'BMP P Tracking Table'!$AX274)))/(2*(149.919*'BMP P Tracking Table'!$X274+236.676*'BMP P Tracking Table'!$Y274+726*'BMP P Tracking Table'!$Z274+996.798*'BMP P Tracking Table'!$AA274)))))),"")</f>
        <v/>
      </c>
      <c r="BB274" s="102" t="str">
        <f>IFERROR((VLOOKUP(CONCATENATE('BMP P Tracking Table'!$AW274," ",'BMP P Tracking Table'!$AY274),'Performance Curves'!$C$1:$L$46,_xlfn.SINGLE(MATCH('BMP P Tracking Table'!$BA274,'Performance Curves'!$D$1:$L$1,1))+2,FALSE)-VLOOKUP(CONCATENATE('BMP P Tracking Table'!$AW274," ",'BMP P Tracking Table'!$AY274),'Performance Curves'!$C$1:$L$46,_xlfn.SINGLE(MATCH('BMP P Tracking Table'!$BA274,'Performance Curves'!$D$1:$L$1,1))+1,FALSE)),"")</f>
        <v/>
      </c>
      <c r="BC274" s="102" t="str">
        <f>IFERROR(('BMP P Tracking Table'!$BA274-INDEX('Performance Curves'!$D$1:$L$1,1,MATCH('BMP P Tracking Table'!$BA274,'Performance Curves'!$D$1:$L$1,1)))/(INDEX('Performance Curves'!$D$1:$L$1,1,MATCH('BMP P Tracking Table'!$BA274,'Performance Curves'!$D$1:$L$1,1)+1)-INDEX('Performance Curves'!$D$1:$L$1,1,MATCH('BMP P Tracking Table'!$BA274,'Performance Curves'!$D$1:$L$1,1))),"")</f>
        <v/>
      </c>
      <c r="BD274" s="103" t="str" cm="1">
        <f t="array" ref="BD274">IFERROR(IF('BMP P Tracking Table'!$BA274=2,VLOOKUP(CONCATENATE('BMP P Tracking Table'!$AW274," ",'BMP P Tracking Table'!$AY274),'Performance Curves'!$C$1:$L$44,_xlfn.SINGLE(MATCH('BMP P Tracking Table'!$BA274,'Performance Curves'!$D$1:$L$1,1))+1,FALSE),'BMP P Tracking Table'!$BB274*'BMP P Tracking Table'!$BC274+VLOOKUP(CONCATENATE('BMP P Tracking Table'!$AW274," ",'BMP P Tracking Table'!$AY274),'Performance Curves'!$C$1:$L$44,_xlfn.SINGLE(MATCH('BMP P Tracking Table'!$BA274,'Performance Curves'!$D$1:$L$1,1))+1,FALSE)),"")</f>
        <v/>
      </c>
      <c r="BE274" s="104" t="str">
        <f>IFERROR('BMP P Tracking Table'!$BD274*'BMP P Tracking Table'!$AZ274,"")</f>
        <v/>
      </c>
      <c r="BF274" s="98"/>
      <c r="BG274" s="37">
        <f t="shared" si="36"/>
        <v>0</v>
      </c>
    </row>
    <row r="275" spans="2:59" s="36" customFormat="1">
      <c r="B275" s="65"/>
      <c r="C275" s="65"/>
      <c r="D275" s="65"/>
      <c r="E275" s="65"/>
      <c r="F275" s="94"/>
      <c r="G275" s="94"/>
      <c r="H275" s="65"/>
      <c r="I275" s="65"/>
      <c r="J275" s="65"/>
      <c r="K275" s="95"/>
      <c r="L275" s="65"/>
      <c r="M275" s="65"/>
      <c r="N275" s="65"/>
      <c r="O275" s="65"/>
      <c r="P275" s="65"/>
      <c r="Q275" s="65"/>
      <c r="R275" s="65" t="str">
        <f>IFERROR(VLOOKUP('BMP P Tracking Table'!$Q275,Dropdowns!$C$2:$E$15,3,FALSE),"")</f>
        <v/>
      </c>
      <c r="S275" s="65" t="str">
        <f>IFERROR(VLOOKUP('BMP P Tracking Table'!$R275,Dropdowns!$Q$3:$R$23,2,FALSE),"")</f>
        <v/>
      </c>
      <c r="T275" s="65"/>
      <c r="U275" s="65"/>
      <c r="V275" s="65"/>
      <c r="W275" s="65"/>
      <c r="X275" s="65"/>
      <c r="Y275" s="65"/>
      <c r="Z275" s="65"/>
      <c r="AA275" s="65"/>
      <c r="AB275" s="65"/>
      <c r="AC275" s="97"/>
      <c r="AD275" s="65"/>
      <c r="AE275" s="104" t="str">
        <f>IFERROR('BMP P Tracking Table'!$V275*VLOOKUP('BMP P Tracking Table'!$R275,'Loading Rates'!$B$1:$L$24,4,FALSE)+IF('BMP P Tracking Table'!$W275="By HSG",'BMP P Tracking Table'!$X275*VLOOKUP('BMP P Tracking Table'!$R275,'Loading Rates'!$B$1:$L$24,6,FALSE)+'BMP P Tracking Table'!$Y275*VLOOKUP('BMP P Tracking Table'!$R275,'Loading Rates'!$B$1:$L$24,7,FALSE)+'BMP P Tracking Table'!$Z275*VLOOKUP('BMP P Tracking Table'!$R275,'Loading Rates'!$B$1:$L$24,8,FALSE)+'BMP P Tracking Table'!$AA275*VLOOKUP('BMP P Tracking Table'!$R275,'Loading Rates'!$B$1:$L$24,9,FALSE),'BMP P Tracking Table'!$AB275*VLOOKUP('BMP P Tracking Table'!$R275,'Loading Rates'!$B$1:$L$24,10,FALSE)),"")</f>
        <v/>
      </c>
      <c r="AF275" s="104" t="str">
        <f>IFERROR(MIN(2,IF('BMP P Tracking Table'!$W275="Total Pervious",(-(3630*'BMP P Tracking Table'!$V275+20.691*'BMP P Tracking Table'!$AB275)+SQRT((3630*'BMP P Tracking Table'!$V275+20.691*'BMP P Tracking Table'!$AB275)^2-(4*(996.798*'BMP P Tracking Table'!$AB275)*-'BMP P Tracking Table'!$AC275)))/(2*(996.798*'BMP P Tracking Table'!$AB275)),IF(SUM('BMP P Tracking Table'!$X275:$AA275)=0,'BMP P Tracking Table'!$AC275/(-3630*'BMP P Tracking Table'!$V275),(-(3630*'BMP P Tracking Table'!$V275+20.691*'BMP P Tracking Table'!$AA275-216.711*'BMP P Tracking Table'!$Z275-83.853*'BMP P Tracking Table'!$Y275-42.834*'BMP P Tracking Table'!$X275)+SQRT((3630*'BMP P Tracking Table'!$V275+20.691*'BMP P Tracking Table'!$AA275-216.711*'BMP P Tracking Table'!$Z275-83.853*'BMP P Tracking Table'!$Y275-42.834*'BMP P Tracking Table'!$X275)^2-(4*(149.919*'BMP P Tracking Table'!$X275+236.676*'BMP P Tracking Table'!$Y275+726*'BMP P Tracking Table'!$Z275+996.798*'BMP P Tracking Table'!$AA275)*-'BMP P Tracking Table'!$AC275)))/(2*(149.919*'BMP P Tracking Table'!$X275+236.676*'BMP P Tracking Table'!$Y275+726*'BMP P Tracking Table'!$Z275+996.798*'BMP P Tracking Table'!$AA275))))),"")</f>
        <v/>
      </c>
      <c r="AG275" s="104" t="str">
        <f>IFERROR((VLOOKUP(CONCATENATE('BMP P Tracking Table'!$U275," ",'BMP P Tracking Table'!$AD275),'Performance Curves'!$C$1:$L$46,_xlfn.SINGLE(MATCH('BMP P Tracking Table'!$AF275,'Performance Curves'!$D$1:$L$1,1))+2,FALSE)-VLOOKUP(CONCATENATE('BMP P Tracking Table'!$U275," ",'BMP P Tracking Table'!$AD275),'Performance Curves'!$C$1:$L$46,_xlfn.SINGLE(MATCH('BMP P Tracking Table'!$AF275,'Performance Curves'!$D$1:$L$1,1))+1,FALSE)),"")</f>
        <v/>
      </c>
      <c r="AH275" s="104" t="str">
        <f>IFERROR(('BMP P Tracking Table'!$AF275-INDEX('Performance Curves'!$D$1:$L$1,1,MATCH('BMP P Tracking Table'!$AF275,'Performance Curves'!$D$1:$L$1,1)))/(INDEX('Performance Curves'!$D$1:$L$1,1,MATCH('BMP P Tracking Table'!$AF275,'Performance Curves'!$D$1:$L$1,1)+1)-INDEX('Performance Curves'!$D$1:$L$1,1,MATCH('BMP P Tracking Table'!$AF275,'Performance Curves'!$D$1:$L$1,1))),"")</f>
        <v/>
      </c>
      <c r="AI275" s="103" t="str">
        <f>IFERROR(IF('BMP P Tracking Table'!$AF275=2,VLOOKUP(CONCATENATE('BMP P Tracking Table'!$U275," ",'BMP P Tracking Table'!$AD275),'Performance Curves'!$C$1:$L$46,_xlfn.SINGLE(MATCH('BMP P Tracking Table'!$AF275,'Performance Curves'!$D$1:$L$1,1))+1,FALSE),'BMP P Tracking Table'!$AG275*'BMP P Tracking Table'!$AH275+VLOOKUP(CONCATENATE('BMP P Tracking Table'!$U275," ",'BMP P Tracking Table'!$AD275),'Performance Curves'!$C$1:$L$46,_xlfn.SINGLE(MATCH('BMP P Tracking Table'!$AF275,'Performance Curves'!$D$1:$L$1,1))+1,FALSE)),"")</f>
        <v/>
      </c>
      <c r="AJ275" s="104" t="str">
        <f>IFERROR('BMP P Tracking Table'!$AI275*'BMP P Tracking Table'!$AE275,"")</f>
        <v/>
      </c>
      <c r="AK275" s="65"/>
      <c r="AL275" s="98"/>
      <c r="AM275" s="98"/>
      <c r="AN275" s="64">
        <v>1</v>
      </c>
      <c r="AO275" s="102" t="str">
        <f t="shared" si="35"/>
        <v/>
      </c>
      <c r="AP275" s="98"/>
      <c r="AQ275" s="98"/>
      <c r="AR275" s="98"/>
      <c r="AS275" s="98"/>
      <c r="AT275" s="98"/>
      <c r="AU275" s="98"/>
      <c r="AV275" s="98"/>
      <c r="AW275" s="65"/>
      <c r="AX275" s="99"/>
      <c r="AY275" s="99"/>
      <c r="AZ275" s="104" t="str">
        <f>IF('BMP P Tracking Table'!$AL275="Yes",IF('BMP P Tracking Table'!$AM275="No",'BMP P Tracking Table'!$V275*VLOOKUP('BMP P Tracking Table'!$R275,'Loading Rates'!$B$1:$L$24,4,FALSE)+IF('BMP P Tracking Table'!$W275="By HSG",'BMP P Tracking Table'!$X275*VLOOKUP('BMP P Tracking Table'!$R275,'Loading Rates'!$B$1:$L$24,6,FALSE)+'BMP P Tracking Table'!$Y275*VLOOKUP('BMP P Tracking Table'!$R275,'Loading Rates'!$B$1:$L$24,7,FALSE)+'BMP P Tracking Table'!$Z275*VLOOKUP('BMP P Tracking Table'!$R275,'Loading Rates'!$B$1:$L$24,8,FALSE)+'BMP P Tracking Table'!$AA275*VLOOKUP('BMP P Tracking Table'!$R275,'Loading Rates'!$B$1:$L$24,9,FALSE),'BMP P Tracking Table'!$AB275*VLOOKUP('BMP P Tracking Table'!$R275,'Loading Rates'!$B$1:$L$24,10,FALSE)),'BMP P Tracking Table'!$AP275*VLOOKUP('BMP P Tracking Table'!$R275,'Loading Rates'!$B$1:$L$24,4,FALSE)+IF('BMP P Tracking Table'!$AQ275="By HSG",'BMP P Tracking Table'!$AR275*VLOOKUP('BMP P Tracking Table'!$R275,'Loading Rates'!$B$1:$L$24,6,FALSE)+'BMP P Tracking Table'!$AS275*VLOOKUP('BMP P Tracking Table'!$R275,'Loading Rates'!$B$1:$L$24,7,FALSE)+'BMP P Tracking Table'!$AT275*VLOOKUP('BMP P Tracking Table'!$R275,'Loading Rates'!$B$1:$L$24,8,FALSE)+'BMP P Tracking Table'!$AU275*VLOOKUP('BMP P Tracking Table'!$R275,'Loading Rates'!$B$1:$L$24,9,FALSE),'BMP P Tracking Table'!$AV275*VLOOKUP('BMP P Tracking Table'!$R275,'Loading Rates'!$B$1:$L$24,10,FALSE))),"")</f>
        <v/>
      </c>
      <c r="BA275" s="104" t="str">
        <f>IFERROR(IF('BMP P Tracking Table'!$AM275="Yes",MIN(2,IF('BMP P Tracking Table'!$AQ275="Total Pervious",(-(3630*'BMP P Tracking Table'!$AP275+20.691*'BMP P Tracking Table'!$AV275)+SQRT((3630*'BMP P Tracking Table'!$AP275+20.691*'BMP P Tracking Table'!$AV275)^2-(4*(996.798*'BMP P Tracking Table'!$AV275)*-'BMP P Tracking Table'!$AX275)))/(2*(996.798*'BMP P Tracking Table'!$AV275)),IF(SUM('BMP P Tracking Table'!$AR275:$AU275)=0,'BMP P Tracking Table'!$AV275/(-3630*'BMP P Tracking Table'!$AP275),(-(3630*'BMP P Tracking Table'!$AP275+20.691*'BMP P Tracking Table'!$AU275-216.711*'BMP P Tracking Table'!$AT275-83.853*'BMP P Tracking Table'!$AS275-42.834*'BMP P Tracking Table'!$AR275)+SQRT((3630*'BMP P Tracking Table'!$AP275+20.691*'BMP P Tracking Table'!$AU275-216.711*'BMP P Tracking Table'!$AT275-83.853*'BMP P Tracking Table'!$AS275-42.834*'BMP P Tracking Table'!$AR275)^2-(4*(149.919*'BMP P Tracking Table'!$AR275+236.676*'BMP P Tracking Table'!$AS275+726*'BMP P Tracking Table'!$AT275+996.798*'BMP P Tracking Table'!$AU275)*-'BMP P Tracking Table'!$AX275)))/(2*(149.919*'BMP P Tracking Table'!$AR275+236.676*'BMP P Tracking Table'!$AS275+726*'BMP P Tracking Table'!$AT275+996.798*'BMP P Tracking Table'!$AU275))))),MIN(2,IF('BMP P Tracking Table'!$AQ275="Total Pervious",(-(3630*'BMP P Tracking Table'!$V275+20.691*'BMP P Tracking Table'!$AB275)+SQRT((3630*'BMP P Tracking Table'!$V275+20.691*'BMP P Tracking Table'!$AB275)^2-(4*(996.798*'BMP P Tracking Table'!$AB275)*-'BMP P Tracking Table'!$AX275)))/(2*(996.798*'BMP P Tracking Table'!$AB275)),IF(SUM('BMP P Tracking Table'!$X275:$AA275)=0,'BMP P Tracking Table'!$AX275/(-3630*'BMP P Tracking Table'!$V275),(-(3630*'BMP P Tracking Table'!$V275+20.691*'BMP P Tracking Table'!$AA275-216.711*'BMP P Tracking Table'!$Z275-83.853*'BMP P Tracking Table'!$Y275-42.834*'BMP P Tracking Table'!$X275)+SQRT((3630*'BMP P Tracking Table'!$V275+20.691*'BMP P Tracking Table'!$AA275-216.711*'BMP P Tracking Table'!$Z275-83.853*'BMP P Tracking Table'!$Y275-42.834*'BMP P Tracking Table'!$X275)^2-(4*(149.919*'BMP P Tracking Table'!$X275+236.676*'BMP P Tracking Table'!$Y275+726*'BMP P Tracking Table'!$Z275+996.798*'BMP P Tracking Table'!$AA275)*-'BMP P Tracking Table'!$AX275)))/(2*(149.919*'BMP P Tracking Table'!$X275+236.676*'BMP P Tracking Table'!$Y275+726*'BMP P Tracking Table'!$Z275+996.798*'BMP P Tracking Table'!$AA275)))))),"")</f>
        <v/>
      </c>
      <c r="BB275" s="102" t="str">
        <f>IFERROR((VLOOKUP(CONCATENATE('BMP P Tracking Table'!$AW275," ",'BMP P Tracking Table'!$AY275),'Performance Curves'!$C$1:$L$46,_xlfn.SINGLE(MATCH('BMP P Tracking Table'!$BA275,'Performance Curves'!$D$1:$L$1,1))+2,FALSE)-VLOOKUP(CONCATENATE('BMP P Tracking Table'!$AW275," ",'BMP P Tracking Table'!$AY275),'Performance Curves'!$C$1:$L$46,_xlfn.SINGLE(MATCH('BMP P Tracking Table'!$BA275,'Performance Curves'!$D$1:$L$1,1))+1,FALSE)),"")</f>
        <v/>
      </c>
      <c r="BC275" s="102" t="str">
        <f>IFERROR(('BMP P Tracking Table'!$BA275-INDEX('Performance Curves'!$D$1:$L$1,1,MATCH('BMP P Tracking Table'!$BA275,'Performance Curves'!$D$1:$L$1,1)))/(INDEX('Performance Curves'!$D$1:$L$1,1,MATCH('BMP P Tracking Table'!$BA275,'Performance Curves'!$D$1:$L$1,1)+1)-INDEX('Performance Curves'!$D$1:$L$1,1,MATCH('BMP P Tracking Table'!$BA275,'Performance Curves'!$D$1:$L$1,1))),"")</f>
        <v/>
      </c>
      <c r="BD275" s="103" t="str" cm="1">
        <f t="array" ref="BD275">IFERROR(IF('BMP P Tracking Table'!$BA275=2,VLOOKUP(CONCATENATE('BMP P Tracking Table'!$AW275," ",'BMP P Tracking Table'!$AY275),'Performance Curves'!$C$1:$L$44,_xlfn.SINGLE(MATCH('BMP P Tracking Table'!$BA275,'Performance Curves'!$D$1:$L$1,1))+1,FALSE),'BMP P Tracking Table'!$BB275*'BMP P Tracking Table'!$BC275+VLOOKUP(CONCATENATE('BMP P Tracking Table'!$AW275," ",'BMP P Tracking Table'!$AY275),'Performance Curves'!$C$1:$L$44,_xlfn.SINGLE(MATCH('BMP P Tracking Table'!$BA275,'Performance Curves'!$D$1:$L$1,1))+1,FALSE)),"")</f>
        <v/>
      </c>
      <c r="BE275" s="104" t="str">
        <f>IFERROR('BMP P Tracking Table'!$BD275*'BMP P Tracking Table'!$AZ275,"")</f>
        <v/>
      </c>
      <c r="BF275" s="98"/>
      <c r="BG275" s="37">
        <f t="shared" si="36"/>
        <v>0</v>
      </c>
    </row>
    <row r="276" spans="2:59" s="36" customFormat="1">
      <c r="B276" s="65"/>
      <c r="C276" s="65"/>
      <c r="D276" s="65"/>
      <c r="E276" s="65"/>
      <c r="F276" s="94"/>
      <c r="G276" s="94"/>
      <c r="H276" s="65"/>
      <c r="I276" s="65"/>
      <c r="J276" s="65"/>
      <c r="K276" s="95"/>
      <c r="L276" s="65"/>
      <c r="M276" s="65"/>
      <c r="N276" s="65"/>
      <c r="O276" s="65"/>
      <c r="P276" s="65"/>
      <c r="Q276" s="65"/>
      <c r="R276" s="65" t="str">
        <f>IFERROR(VLOOKUP('BMP P Tracking Table'!$Q276,Dropdowns!$C$2:$E$15,3,FALSE),"")</f>
        <v/>
      </c>
      <c r="S276" s="65" t="str">
        <f>IFERROR(VLOOKUP('BMP P Tracking Table'!$R276,Dropdowns!$Q$3:$R$23,2,FALSE),"")</f>
        <v/>
      </c>
      <c r="T276" s="65"/>
      <c r="U276" s="65"/>
      <c r="V276" s="65"/>
      <c r="W276" s="65"/>
      <c r="X276" s="65"/>
      <c r="Y276" s="65"/>
      <c r="Z276" s="65"/>
      <c r="AA276" s="65"/>
      <c r="AB276" s="65"/>
      <c r="AC276" s="97"/>
      <c r="AD276" s="65"/>
      <c r="AE276" s="104" t="str">
        <f>IFERROR('BMP P Tracking Table'!$V276*VLOOKUP('BMP P Tracking Table'!$R276,'Loading Rates'!$B$1:$L$24,4,FALSE)+IF('BMP P Tracking Table'!$W276="By HSG",'BMP P Tracking Table'!$X276*VLOOKUP('BMP P Tracking Table'!$R276,'Loading Rates'!$B$1:$L$24,6,FALSE)+'BMP P Tracking Table'!$Y276*VLOOKUP('BMP P Tracking Table'!$R276,'Loading Rates'!$B$1:$L$24,7,FALSE)+'BMP P Tracking Table'!$Z276*VLOOKUP('BMP P Tracking Table'!$R276,'Loading Rates'!$B$1:$L$24,8,FALSE)+'BMP P Tracking Table'!$AA276*VLOOKUP('BMP P Tracking Table'!$R276,'Loading Rates'!$B$1:$L$24,9,FALSE),'BMP P Tracking Table'!$AB276*VLOOKUP('BMP P Tracking Table'!$R276,'Loading Rates'!$B$1:$L$24,10,FALSE)),"")</f>
        <v/>
      </c>
      <c r="AF276" s="104" t="str">
        <f>IFERROR(MIN(2,IF('BMP P Tracking Table'!$W276="Total Pervious",(-(3630*'BMP P Tracking Table'!$V276+20.691*'BMP P Tracking Table'!$AB276)+SQRT((3630*'BMP P Tracking Table'!$V276+20.691*'BMP P Tracking Table'!$AB276)^2-(4*(996.798*'BMP P Tracking Table'!$AB276)*-'BMP P Tracking Table'!$AC276)))/(2*(996.798*'BMP P Tracking Table'!$AB276)),IF(SUM('BMP P Tracking Table'!$X276:$AA276)=0,'BMP P Tracking Table'!$AC276/(-3630*'BMP P Tracking Table'!$V276),(-(3630*'BMP P Tracking Table'!$V276+20.691*'BMP P Tracking Table'!$AA276-216.711*'BMP P Tracking Table'!$Z276-83.853*'BMP P Tracking Table'!$Y276-42.834*'BMP P Tracking Table'!$X276)+SQRT((3630*'BMP P Tracking Table'!$V276+20.691*'BMP P Tracking Table'!$AA276-216.711*'BMP P Tracking Table'!$Z276-83.853*'BMP P Tracking Table'!$Y276-42.834*'BMP P Tracking Table'!$X276)^2-(4*(149.919*'BMP P Tracking Table'!$X276+236.676*'BMP P Tracking Table'!$Y276+726*'BMP P Tracking Table'!$Z276+996.798*'BMP P Tracking Table'!$AA276)*-'BMP P Tracking Table'!$AC276)))/(2*(149.919*'BMP P Tracking Table'!$X276+236.676*'BMP P Tracking Table'!$Y276+726*'BMP P Tracking Table'!$Z276+996.798*'BMP P Tracking Table'!$AA276))))),"")</f>
        <v/>
      </c>
      <c r="AG276" s="104" t="str">
        <f>IFERROR((VLOOKUP(CONCATENATE('BMP P Tracking Table'!$U276," ",'BMP P Tracking Table'!$AD276),'Performance Curves'!$C$1:$L$46,_xlfn.SINGLE(MATCH('BMP P Tracking Table'!$AF276,'Performance Curves'!$D$1:$L$1,1))+2,FALSE)-VLOOKUP(CONCATENATE('BMP P Tracking Table'!$U276," ",'BMP P Tracking Table'!$AD276),'Performance Curves'!$C$1:$L$46,_xlfn.SINGLE(MATCH('BMP P Tracking Table'!$AF276,'Performance Curves'!$D$1:$L$1,1))+1,FALSE)),"")</f>
        <v/>
      </c>
      <c r="AH276" s="104" t="str">
        <f>IFERROR(('BMP P Tracking Table'!$AF276-INDEX('Performance Curves'!$D$1:$L$1,1,MATCH('BMP P Tracking Table'!$AF276,'Performance Curves'!$D$1:$L$1,1)))/(INDEX('Performance Curves'!$D$1:$L$1,1,MATCH('BMP P Tracking Table'!$AF276,'Performance Curves'!$D$1:$L$1,1)+1)-INDEX('Performance Curves'!$D$1:$L$1,1,MATCH('BMP P Tracking Table'!$AF276,'Performance Curves'!$D$1:$L$1,1))),"")</f>
        <v/>
      </c>
      <c r="AI276" s="103" t="str">
        <f>IFERROR(IF('BMP P Tracking Table'!$AF276=2,VLOOKUP(CONCATENATE('BMP P Tracking Table'!$U276," ",'BMP P Tracking Table'!$AD276),'Performance Curves'!$C$1:$L$46,_xlfn.SINGLE(MATCH('BMP P Tracking Table'!$AF276,'Performance Curves'!$D$1:$L$1,1))+1,FALSE),'BMP P Tracking Table'!$AG276*'BMP P Tracking Table'!$AH276+VLOOKUP(CONCATENATE('BMP P Tracking Table'!$U276," ",'BMP P Tracking Table'!$AD276),'Performance Curves'!$C$1:$L$46,_xlfn.SINGLE(MATCH('BMP P Tracking Table'!$AF276,'Performance Curves'!$D$1:$L$1,1))+1,FALSE)),"")</f>
        <v/>
      </c>
      <c r="AJ276" s="104" t="str">
        <f>IFERROR('BMP P Tracking Table'!$AI276*'BMP P Tracking Table'!$AE276,"")</f>
        <v/>
      </c>
      <c r="AK276" s="65"/>
      <c r="AL276" s="98"/>
      <c r="AM276" s="98"/>
      <c r="AN276" s="64">
        <v>1</v>
      </c>
      <c r="AO276" s="102" t="str">
        <f t="shared" si="35"/>
        <v/>
      </c>
      <c r="AP276" s="98"/>
      <c r="AQ276" s="98"/>
      <c r="AR276" s="98"/>
      <c r="AS276" s="98"/>
      <c r="AT276" s="98"/>
      <c r="AU276" s="98"/>
      <c r="AV276" s="98"/>
      <c r="AW276" s="65"/>
      <c r="AX276" s="99"/>
      <c r="AY276" s="99"/>
      <c r="AZ276" s="104" t="str">
        <f>IF('BMP P Tracking Table'!$AL276="Yes",IF('BMP P Tracking Table'!$AM276="No",'BMP P Tracking Table'!$V276*VLOOKUP('BMP P Tracking Table'!$R276,'Loading Rates'!$B$1:$L$24,4,FALSE)+IF('BMP P Tracking Table'!$W276="By HSG",'BMP P Tracking Table'!$X276*VLOOKUP('BMP P Tracking Table'!$R276,'Loading Rates'!$B$1:$L$24,6,FALSE)+'BMP P Tracking Table'!$Y276*VLOOKUP('BMP P Tracking Table'!$R276,'Loading Rates'!$B$1:$L$24,7,FALSE)+'BMP P Tracking Table'!$Z276*VLOOKUP('BMP P Tracking Table'!$R276,'Loading Rates'!$B$1:$L$24,8,FALSE)+'BMP P Tracking Table'!$AA276*VLOOKUP('BMP P Tracking Table'!$R276,'Loading Rates'!$B$1:$L$24,9,FALSE),'BMP P Tracking Table'!$AB276*VLOOKUP('BMP P Tracking Table'!$R276,'Loading Rates'!$B$1:$L$24,10,FALSE)),'BMP P Tracking Table'!$AP276*VLOOKUP('BMP P Tracking Table'!$R276,'Loading Rates'!$B$1:$L$24,4,FALSE)+IF('BMP P Tracking Table'!$AQ276="By HSG",'BMP P Tracking Table'!$AR276*VLOOKUP('BMP P Tracking Table'!$R276,'Loading Rates'!$B$1:$L$24,6,FALSE)+'BMP P Tracking Table'!$AS276*VLOOKUP('BMP P Tracking Table'!$R276,'Loading Rates'!$B$1:$L$24,7,FALSE)+'BMP P Tracking Table'!$AT276*VLOOKUP('BMP P Tracking Table'!$R276,'Loading Rates'!$B$1:$L$24,8,FALSE)+'BMP P Tracking Table'!$AU276*VLOOKUP('BMP P Tracking Table'!$R276,'Loading Rates'!$B$1:$L$24,9,FALSE),'BMP P Tracking Table'!$AV276*VLOOKUP('BMP P Tracking Table'!$R276,'Loading Rates'!$B$1:$L$24,10,FALSE))),"")</f>
        <v/>
      </c>
      <c r="BA276" s="104" t="str">
        <f>IFERROR(IF('BMP P Tracking Table'!$AM276="Yes",MIN(2,IF('BMP P Tracking Table'!$AQ276="Total Pervious",(-(3630*'BMP P Tracking Table'!$AP276+20.691*'BMP P Tracking Table'!$AV276)+SQRT((3630*'BMP P Tracking Table'!$AP276+20.691*'BMP P Tracking Table'!$AV276)^2-(4*(996.798*'BMP P Tracking Table'!$AV276)*-'BMP P Tracking Table'!$AX276)))/(2*(996.798*'BMP P Tracking Table'!$AV276)),IF(SUM('BMP P Tracking Table'!$AR276:$AU276)=0,'BMP P Tracking Table'!$AV276/(-3630*'BMP P Tracking Table'!$AP276),(-(3630*'BMP P Tracking Table'!$AP276+20.691*'BMP P Tracking Table'!$AU276-216.711*'BMP P Tracking Table'!$AT276-83.853*'BMP P Tracking Table'!$AS276-42.834*'BMP P Tracking Table'!$AR276)+SQRT((3630*'BMP P Tracking Table'!$AP276+20.691*'BMP P Tracking Table'!$AU276-216.711*'BMP P Tracking Table'!$AT276-83.853*'BMP P Tracking Table'!$AS276-42.834*'BMP P Tracking Table'!$AR276)^2-(4*(149.919*'BMP P Tracking Table'!$AR276+236.676*'BMP P Tracking Table'!$AS276+726*'BMP P Tracking Table'!$AT276+996.798*'BMP P Tracking Table'!$AU276)*-'BMP P Tracking Table'!$AX276)))/(2*(149.919*'BMP P Tracking Table'!$AR276+236.676*'BMP P Tracking Table'!$AS276+726*'BMP P Tracking Table'!$AT276+996.798*'BMP P Tracking Table'!$AU276))))),MIN(2,IF('BMP P Tracking Table'!$AQ276="Total Pervious",(-(3630*'BMP P Tracking Table'!$V276+20.691*'BMP P Tracking Table'!$AB276)+SQRT((3630*'BMP P Tracking Table'!$V276+20.691*'BMP P Tracking Table'!$AB276)^2-(4*(996.798*'BMP P Tracking Table'!$AB276)*-'BMP P Tracking Table'!$AX276)))/(2*(996.798*'BMP P Tracking Table'!$AB276)),IF(SUM('BMP P Tracking Table'!$X276:$AA276)=0,'BMP P Tracking Table'!$AX276/(-3630*'BMP P Tracking Table'!$V276),(-(3630*'BMP P Tracking Table'!$V276+20.691*'BMP P Tracking Table'!$AA276-216.711*'BMP P Tracking Table'!$Z276-83.853*'BMP P Tracking Table'!$Y276-42.834*'BMP P Tracking Table'!$X276)+SQRT((3630*'BMP P Tracking Table'!$V276+20.691*'BMP P Tracking Table'!$AA276-216.711*'BMP P Tracking Table'!$Z276-83.853*'BMP P Tracking Table'!$Y276-42.834*'BMP P Tracking Table'!$X276)^2-(4*(149.919*'BMP P Tracking Table'!$X276+236.676*'BMP P Tracking Table'!$Y276+726*'BMP P Tracking Table'!$Z276+996.798*'BMP P Tracking Table'!$AA276)*-'BMP P Tracking Table'!$AX276)))/(2*(149.919*'BMP P Tracking Table'!$X276+236.676*'BMP P Tracking Table'!$Y276+726*'BMP P Tracking Table'!$Z276+996.798*'BMP P Tracking Table'!$AA276)))))),"")</f>
        <v/>
      </c>
      <c r="BB276" s="102" t="str">
        <f>IFERROR((VLOOKUP(CONCATENATE('BMP P Tracking Table'!$AW276," ",'BMP P Tracking Table'!$AY276),'Performance Curves'!$C$1:$L$46,_xlfn.SINGLE(MATCH('BMP P Tracking Table'!$BA276,'Performance Curves'!$D$1:$L$1,1))+2,FALSE)-VLOOKUP(CONCATENATE('BMP P Tracking Table'!$AW276," ",'BMP P Tracking Table'!$AY276),'Performance Curves'!$C$1:$L$46,_xlfn.SINGLE(MATCH('BMP P Tracking Table'!$BA276,'Performance Curves'!$D$1:$L$1,1))+1,FALSE)),"")</f>
        <v/>
      </c>
      <c r="BC276" s="102" t="str">
        <f>IFERROR(('BMP P Tracking Table'!$BA276-INDEX('Performance Curves'!$D$1:$L$1,1,MATCH('BMP P Tracking Table'!$BA276,'Performance Curves'!$D$1:$L$1,1)))/(INDEX('Performance Curves'!$D$1:$L$1,1,MATCH('BMP P Tracking Table'!$BA276,'Performance Curves'!$D$1:$L$1,1)+1)-INDEX('Performance Curves'!$D$1:$L$1,1,MATCH('BMP P Tracking Table'!$BA276,'Performance Curves'!$D$1:$L$1,1))),"")</f>
        <v/>
      </c>
      <c r="BD276" s="103" t="str" cm="1">
        <f t="array" ref="BD276">IFERROR(IF('BMP P Tracking Table'!$BA276=2,VLOOKUP(CONCATENATE('BMP P Tracking Table'!$AW276," ",'BMP P Tracking Table'!$AY276),'Performance Curves'!$C$1:$L$44,_xlfn.SINGLE(MATCH('BMP P Tracking Table'!$BA276,'Performance Curves'!$D$1:$L$1,1))+1,FALSE),'BMP P Tracking Table'!$BB276*'BMP P Tracking Table'!$BC276+VLOOKUP(CONCATENATE('BMP P Tracking Table'!$AW276," ",'BMP P Tracking Table'!$AY276),'Performance Curves'!$C$1:$L$44,_xlfn.SINGLE(MATCH('BMP P Tracking Table'!$BA276,'Performance Curves'!$D$1:$L$1,1))+1,FALSE)),"")</f>
        <v/>
      </c>
      <c r="BE276" s="104" t="str">
        <f>IFERROR('BMP P Tracking Table'!$BD276*'BMP P Tracking Table'!$AZ276,"")</f>
        <v/>
      </c>
      <c r="BF276" s="98"/>
      <c r="BG276" s="37">
        <f t="shared" si="36"/>
        <v>0</v>
      </c>
    </row>
    <row r="277" spans="2:59" s="36" customFormat="1">
      <c r="B277" s="65"/>
      <c r="C277" s="65"/>
      <c r="D277" s="65"/>
      <c r="E277" s="65"/>
      <c r="F277" s="94"/>
      <c r="G277" s="94"/>
      <c r="H277" s="65"/>
      <c r="I277" s="65"/>
      <c r="J277" s="65"/>
      <c r="K277" s="95"/>
      <c r="L277" s="65"/>
      <c r="M277" s="65"/>
      <c r="N277" s="65"/>
      <c r="O277" s="65"/>
      <c r="P277" s="65"/>
      <c r="Q277" s="65"/>
      <c r="R277" s="65" t="str">
        <f>IFERROR(VLOOKUP('BMP P Tracking Table'!$Q277,Dropdowns!$C$2:$E$15,3,FALSE),"")</f>
        <v/>
      </c>
      <c r="S277" s="65" t="str">
        <f>IFERROR(VLOOKUP('BMP P Tracking Table'!$R277,Dropdowns!$Q$3:$R$23,2,FALSE),"")</f>
        <v/>
      </c>
      <c r="T277" s="65"/>
      <c r="U277" s="65"/>
      <c r="V277" s="65"/>
      <c r="W277" s="65"/>
      <c r="X277" s="65"/>
      <c r="Y277" s="65"/>
      <c r="Z277" s="65"/>
      <c r="AA277" s="65"/>
      <c r="AB277" s="65"/>
      <c r="AC277" s="97"/>
      <c r="AD277" s="65"/>
      <c r="AE277" s="104" t="str">
        <f>IFERROR('BMP P Tracking Table'!$V277*VLOOKUP('BMP P Tracking Table'!$R277,'Loading Rates'!$B$1:$L$24,4,FALSE)+IF('BMP P Tracking Table'!$W277="By HSG",'BMP P Tracking Table'!$X277*VLOOKUP('BMP P Tracking Table'!$R277,'Loading Rates'!$B$1:$L$24,6,FALSE)+'BMP P Tracking Table'!$Y277*VLOOKUP('BMP P Tracking Table'!$R277,'Loading Rates'!$B$1:$L$24,7,FALSE)+'BMP P Tracking Table'!$Z277*VLOOKUP('BMP P Tracking Table'!$R277,'Loading Rates'!$B$1:$L$24,8,FALSE)+'BMP P Tracking Table'!$AA277*VLOOKUP('BMP P Tracking Table'!$R277,'Loading Rates'!$B$1:$L$24,9,FALSE),'BMP P Tracking Table'!$AB277*VLOOKUP('BMP P Tracking Table'!$R277,'Loading Rates'!$B$1:$L$24,10,FALSE)),"")</f>
        <v/>
      </c>
      <c r="AF277" s="104" t="str">
        <f>IFERROR(MIN(2,IF('BMP P Tracking Table'!$W277="Total Pervious",(-(3630*'BMP P Tracking Table'!$V277+20.691*'BMP P Tracking Table'!$AB277)+SQRT((3630*'BMP P Tracking Table'!$V277+20.691*'BMP P Tracking Table'!$AB277)^2-(4*(996.798*'BMP P Tracking Table'!$AB277)*-'BMP P Tracking Table'!$AC277)))/(2*(996.798*'BMP P Tracking Table'!$AB277)),IF(SUM('BMP P Tracking Table'!$X277:$AA277)=0,'BMP P Tracking Table'!$AC277/(-3630*'BMP P Tracking Table'!$V277),(-(3630*'BMP P Tracking Table'!$V277+20.691*'BMP P Tracking Table'!$AA277-216.711*'BMP P Tracking Table'!$Z277-83.853*'BMP P Tracking Table'!$Y277-42.834*'BMP P Tracking Table'!$X277)+SQRT((3630*'BMP P Tracking Table'!$V277+20.691*'BMP P Tracking Table'!$AA277-216.711*'BMP P Tracking Table'!$Z277-83.853*'BMP P Tracking Table'!$Y277-42.834*'BMP P Tracking Table'!$X277)^2-(4*(149.919*'BMP P Tracking Table'!$X277+236.676*'BMP P Tracking Table'!$Y277+726*'BMP P Tracking Table'!$Z277+996.798*'BMP P Tracking Table'!$AA277)*-'BMP P Tracking Table'!$AC277)))/(2*(149.919*'BMP P Tracking Table'!$X277+236.676*'BMP P Tracking Table'!$Y277+726*'BMP P Tracking Table'!$Z277+996.798*'BMP P Tracking Table'!$AA277))))),"")</f>
        <v/>
      </c>
      <c r="AG277" s="104" t="str">
        <f>IFERROR((VLOOKUP(CONCATENATE('BMP P Tracking Table'!$U277," ",'BMP P Tracking Table'!$AD277),'Performance Curves'!$C$1:$L$46,_xlfn.SINGLE(MATCH('BMP P Tracking Table'!$AF277,'Performance Curves'!$D$1:$L$1,1))+2,FALSE)-VLOOKUP(CONCATENATE('BMP P Tracking Table'!$U277," ",'BMP P Tracking Table'!$AD277),'Performance Curves'!$C$1:$L$46,_xlfn.SINGLE(MATCH('BMP P Tracking Table'!$AF277,'Performance Curves'!$D$1:$L$1,1))+1,FALSE)),"")</f>
        <v/>
      </c>
      <c r="AH277" s="104" t="str">
        <f>IFERROR(('BMP P Tracking Table'!$AF277-INDEX('Performance Curves'!$D$1:$L$1,1,MATCH('BMP P Tracking Table'!$AF277,'Performance Curves'!$D$1:$L$1,1)))/(INDEX('Performance Curves'!$D$1:$L$1,1,MATCH('BMP P Tracking Table'!$AF277,'Performance Curves'!$D$1:$L$1,1)+1)-INDEX('Performance Curves'!$D$1:$L$1,1,MATCH('BMP P Tracking Table'!$AF277,'Performance Curves'!$D$1:$L$1,1))),"")</f>
        <v/>
      </c>
      <c r="AI277" s="103" t="str">
        <f>IFERROR(IF('BMP P Tracking Table'!$AF277=2,VLOOKUP(CONCATENATE('BMP P Tracking Table'!$U277," ",'BMP P Tracking Table'!$AD277),'Performance Curves'!$C$1:$L$46,_xlfn.SINGLE(MATCH('BMP P Tracking Table'!$AF277,'Performance Curves'!$D$1:$L$1,1))+1,FALSE),'BMP P Tracking Table'!$AG277*'BMP P Tracking Table'!$AH277+VLOOKUP(CONCATENATE('BMP P Tracking Table'!$U277," ",'BMP P Tracking Table'!$AD277),'Performance Curves'!$C$1:$L$46,_xlfn.SINGLE(MATCH('BMP P Tracking Table'!$AF277,'Performance Curves'!$D$1:$L$1,1))+1,FALSE)),"")</f>
        <v/>
      </c>
      <c r="AJ277" s="104" t="str">
        <f>IFERROR('BMP P Tracking Table'!$AI277*'BMP P Tracking Table'!$AE277,"")</f>
        <v/>
      </c>
      <c r="AK277" s="65"/>
      <c r="AL277" s="98"/>
      <c r="AM277" s="98"/>
      <c r="AN277" s="64">
        <v>1</v>
      </c>
      <c r="AO277" s="102" t="str">
        <f t="shared" si="35"/>
        <v/>
      </c>
      <c r="AP277" s="98"/>
      <c r="AQ277" s="98"/>
      <c r="AR277" s="98"/>
      <c r="AS277" s="98"/>
      <c r="AT277" s="98"/>
      <c r="AU277" s="98"/>
      <c r="AV277" s="98"/>
      <c r="AW277" s="65"/>
      <c r="AX277" s="99"/>
      <c r="AY277" s="99"/>
      <c r="AZ277" s="104" t="str">
        <f>IF('BMP P Tracking Table'!$AL277="Yes",IF('BMP P Tracking Table'!$AM277="No",'BMP P Tracking Table'!$V277*VLOOKUP('BMP P Tracking Table'!$R277,'Loading Rates'!$B$1:$L$24,4,FALSE)+IF('BMP P Tracking Table'!$W277="By HSG",'BMP P Tracking Table'!$X277*VLOOKUP('BMP P Tracking Table'!$R277,'Loading Rates'!$B$1:$L$24,6,FALSE)+'BMP P Tracking Table'!$Y277*VLOOKUP('BMP P Tracking Table'!$R277,'Loading Rates'!$B$1:$L$24,7,FALSE)+'BMP P Tracking Table'!$Z277*VLOOKUP('BMP P Tracking Table'!$R277,'Loading Rates'!$B$1:$L$24,8,FALSE)+'BMP P Tracking Table'!$AA277*VLOOKUP('BMP P Tracking Table'!$R277,'Loading Rates'!$B$1:$L$24,9,FALSE),'BMP P Tracking Table'!$AB277*VLOOKUP('BMP P Tracking Table'!$R277,'Loading Rates'!$B$1:$L$24,10,FALSE)),'BMP P Tracking Table'!$AP277*VLOOKUP('BMP P Tracking Table'!$R277,'Loading Rates'!$B$1:$L$24,4,FALSE)+IF('BMP P Tracking Table'!$AQ277="By HSG",'BMP P Tracking Table'!$AR277*VLOOKUP('BMP P Tracking Table'!$R277,'Loading Rates'!$B$1:$L$24,6,FALSE)+'BMP P Tracking Table'!$AS277*VLOOKUP('BMP P Tracking Table'!$R277,'Loading Rates'!$B$1:$L$24,7,FALSE)+'BMP P Tracking Table'!$AT277*VLOOKUP('BMP P Tracking Table'!$R277,'Loading Rates'!$B$1:$L$24,8,FALSE)+'BMP P Tracking Table'!$AU277*VLOOKUP('BMP P Tracking Table'!$R277,'Loading Rates'!$B$1:$L$24,9,FALSE),'BMP P Tracking Table'!$AV277*VLOOKUP('BMP P Tracking Table'!$R277,'Loading Rates'!$B$1:$L$24,10,FALSE))),"")</f>
        <v/>
      </c>
      <c r="BA277" s="104" t="str">
        <f>IFERROR(IF('BMP P Tracking Table'!$AM277="Yes",MIN(2,IF('BMP P Tracking Table'!$AQ277="Total Pervious",(-(3630*'BMP P Tracking Table'!$AP277+20.691*'BMP P Tracking Table'!$AV277)+SQRT((3630*'BMP P Tracking Table'!$AP277+20.691*'BMP P Tracking Table'!$AV277)^2-(4*(996.798*'BMP P Tracking Table'!$AV277)*-'BMP P Tracking Table'!$AX277)))/(2*(996.798*'BMP P Tracking Table'!$AV277)),IF(SUM('BMP P Tracking Table'!$AR277:$AU277)=0,'BMP P Tracking Table'!$AV277/(-3630*'BMP P Tracking Table'!$AP277),(-(3630*'BMP P Tracking Table'!$AP277+20.691*'BMP P Tracking Table'!$AU277-216.711*'BMP P Tracking Table'!$AT277-83.853*'BMP P Tracking Table'!$AS277-42.834*'BMP P Tracking Table'!$AR277)+SQRT((3630*'BMP P Tracking Table'!$AP277+20.691*'BMP P Tracking Table'!$AU277-216.711*'BMP P Tracking Table'!$AT277-83.853*'BMP P Tracking Table'!$AS277-42.834*'BMP P Tracking Table'!$AR277)^2-(4*(149.919*'BMP P Tracking Table'!$AR277+236.676*'BMP P Tracking Table'!$AS277+726*'BMP P Tracking Table'!$AT277+996.798*'BMP P Tracking Table'!$AU277)*-'BMP P Tracking Table'!$AX277)))/(2*(149.919*'BMP P Tracking Table'!$AR277+236.676*'BMP P Tracking Table'!$AS277+726*'BMP P Tracking Table'!$AT277+996.798*'BMP P Tracking Table'!$AU277))))),MIN(2,IF('BMP P Tracking Table'!$AQ277="Total Pervious",(-(3630*'BMP P Tracking Table'!$V277+20.691*'BMP P Tracking Table'!$AB277)+SQRT((3630*'BMP P Tracking Table'!$V277+20.691*'BMP P Tracking Table'!$AB277)^2-(4*(996.798*'BMP P Tracking Table'!$AB277)*-'BMP P Tracking Table'!$AX277)))/(2*(996.798*'BMP P Tracking Table'!$AB277)),IF(SUM('BMP P Tracking Table'!$X277:$AA277)=0,'BMP P Tracking Table'!$AX277/(-3630*'BMP P Tracking Table'!$V277),(-(3630*'BMP P Tracking Table'!$V277+20.691*'BMP P Tracking Table'!$AA277-216.711*'BMP P Tracking Table'!$Z277-83.853*'BMP P Tracking Table'!$Y277-42.834*'BMP P Tracking Table'!$X277)+SQRT((3630*'BMP P Tracking Table'!$V277+20.691*'BMP P Tracking Table'!$AA277-216.711*'BMP P Tracking Table'!$Z277-83.853*'BMP P Tracking Table'!$Y277-42.834*'BMP P Tracking Table'!$X277)^2-(4*(149.919*'BMP P Tracking Table'!$X277+236.676*'BMP P Tracking Table'!$Y277+726*'BMP P Tracking Table'!$Z277+996.798*'BMP P Tracking Table'!$AA277)*-'BMP P Tracking Table'!$AX277)))/(2*(149.919*'BMP P Tracking Table'!$X277+236.676*'BMP P Tracking Table'!$Y277+726*'BMP P Tracking Table'!$Z277+996.798*'BMP P Tracking Table'!$AA277)))))),"")</f>
        <v/>
      </c>
      <c r="BB277" s="102" t="str">
        <f>IFERROR((VLOOKUP(CONCATENATE('BMP P Tracking Table'!$AW277," ",'BMP P Tracking Table'!$AY277),'Performance Curves'!$C$1:$L$46,_xlfn.SINGLE(MATCH('BMP P Tracking Table'!$BA277,'Performance Curves'!$D$1:$L$1,1))+2,FALSE)-VLOOKUP(CONCATENATE('BMP P Tracking Table'!$AW277," ",'BMP P Tracking Table'!$AY277),'Performance Curves'!$C$1:$L$46,_xlfn.SINGLE(MATCH('BMP P Tracking Table'!$BA277,'Performance Curves'!$D$1:$L$1,1))+1,FALSE)),"")</f>
        <v/>
      </c>
      <c r="BC277" s="102" t="str">
        <f>IFERROR(('BMP P Tracking Table'!$BA277-INDEX('Performance Curves'!$D$1:$L$1,1,MATCH('BMP P Tracking Table'!$BA277,'Performance Curves'!$D$1:$L$1,1)))/(INDEX('Performance Curves'!$D$1:$L$1,1,MATCH('BMP P Tracking Table'!$BA277,'Performance Curves'!$D$1:$L$1,1)+1)-INDEX('Performance Curves'!$D$1:$L$1,1,MATCH('BMP P Tracking Table'!$BA277,'Performance Curves'!$D$1:$L$1,1))),"")</f>
        <v/>
      </c>
      <c r="BD277" s="103" t="str" cm="1">
        <f t="array" ref="BD277">IFERROR(IF('BMP P Tracking Table'!$BA277=2,VLOOKUP(CONCATENATE('BMP P Tracking Table'!$AW277," ",'BMP P Tracking Table'!$AY277),'Performance Curves'!$C$1:$L$44,_xlfn.SINGLE(MATCH('BMP P Tracking Table'!$BA277,'Performance Curves'!$D$1:$L$1,1))+1,FALSE),'BMP P Tracking Table'!$BB277*'BMP P Tracking Table'!$BC277+VLOOKUP(CONCATENATE('BMP P Tracking Table'!$AW277," ",'BMP P Tracking Table'!$AY277),'Performance Curves'!$C$1:$L$44,_xlfn.SINGLE(MATCH('BMP P Tracking Table'!$BA277,'Performance Curves'!$D$1:$L$1,1))+1,FALSE)),"")</f>
        <v/>
      </c>
      <c r="BE277" s="104" t="str">
        <f>IFERROR('BMP P Tracking Table'!$BD277*'BMP P Tracking Table'!$AZ277,"")</f>
        <v/>
      </c>
      <c r="BF277" s="98"/>
      <c r="BG277" s="37">
        <f t="shared" si="36"/>
        <v>0</v>
      </c>
    </row>
    <row r="278" spans="2:59" s="36" customFormat="1">
      <c r="B278" s="65"/>
      <c r="C278" s="65"/>
      <c r="D278" s="65"/>
      <c r="E278" s="65"/>
      <c r="F278" s="94"/>
      <c r="G278" s="94"/>
      <c r="H278" s="65"/>
      <c r="I278" s="65"/>
      <c r="J278" s="65"/>
      <c r="K278" s="95"/>
      <c r="L278" s="65"/>
      <c r="M278" s="65"/>
      <c r="N278" s="65"/>
      <c r="O278" s="65"/>
      <c r="P278" s="65"/>
      <c r="Q278" s="65"/>
      <c r="R278" s="65" t="str">
        <f>IFERROR(VLOOKUP('BMP P Tracking Table'!$Q278,Dropdowns!$C$2:$E$15,3,FALSE),"")</f>
        <v/>
      </c>
      <c r="S278" s="65" t="str">
        <f>IFERROR(VLOOKUP('BMP P Tracking Table'!$R278,Dropdowns!$Q$3:$R$23,2,FALSE),"")</f>
        <v/>
      </c>
      <c r="T278" s="65"/>
      <c r="U278" s="65"/>
      <c r="V278" s="65"/>
      <c r="W278" s="65"/>
      <c r="X278" s="65"/>
      <c r="Y278" s="65"/>
      <c r="Z278" s="65"/>
      <c r="AA278" s="65"/>
      <c r="AB278" s="65"/>
      <c r="AC278" s="97"/>
      <c r="AD278" s="65"/>
      <c r="AE278" s="104" t="str">
        <f>IFERROR('BMP P Tracking Table'!$V278*VLOOKUP('BMP P Tracking Table'!$R278,'Loading Rates'!$B$1:$L$24,4,FALSE)+IF('BMP P Tracking Table'!$W278="By HSG",'BMP P Tracking Table'!$X278*VLOOKUP('BMP P Tracking Table'!$R278,'Loading Rates'!$B$1:$L$24,6,FALSE)+'BMP P Tracking Table'!$Y278*VLOOKUP('BMP P Tracking Table'!$R278,'Loading Rates'!$B$1:$L$24,7,FALSE)+'BMP P Tracking Table'!$Z278*VLOOKUP('BMP P Tracking Table'!$R278,'Loading Rates'!$B$1:$L$24,8,FALSE)+'BMP P Tracking Table'!$AA278*VLOOKUP('BMP P Tracking Table'!$R278,'Loading Rates'!$B$1:$L$24,9,FALSE),'BMP P Tracking Table'!$AB278*VLOOKUP('BMP P Tracking Table'!$R278,'Loading Rates'!$B$1:$L$24,10,FALSE)),"")</f>
        <v/>
      </c>
      <c r="AF278" s="104" t="str">
        <f>IFERROR(MIN(2,IF('BMP P Tracking Table'!$W278="Total Pervious",(-(3630*'BMP P Tracking Table'!$V278+20.691*'BMP P Tracking Table'!$AB278)+SQRT((3630*'BMP P Tracking Table'!$V278+20.691*'BMP P Tracking Table'!$AB278)^2-(4*(996.798*'BMP P Tracking Table'!$AB278)*-'BMP P Tracking Table'!$AC278)))/(2*(996.798*'BMP P Tracking Table'!$AB278)),IF(SUM('BMP P Tracking Table'!$X278:$AA278)=0,'BMP P Tracking Table'!$AC278/(-3630*'BMP P Tracking Table'!$V278),(-(3630*'BMP P Tracking Table'!$V278+20.691*'BMP P Tracking Table'!$AA278-216.711*'BMP P Tracking Table'!$Z278-83.853*'BMP P Tracking Table'!$Y278-42.834*'BMP P Tracking Table'!$X278)+SQRT((3630*'BMP P Tracking Table'!$V278+20.691*'BMP P Tracking Table'!$AA278-216.711*'BMP P Tracking Table'!$Z278-83.853*'BMP P Tracking Table'!$Y278-42.834*'BMP P Tracking Table'!$X278)^2-(4*(149.919*'BMP P Tracking Table'!$X278+236.676*'BMP P Tracking Table'!$Y278+726*'BMP P Tracking Table'!$Z278+996.798*'BMP P Tracking Table'!$AA278)*-'BMP P Tracking Table'!$AC278)))/(2*(149.919*'BMP P Tracking Table'!$X278+236.676*'BMP P Tracking Table'!$Y278+726*'BMP P Tracking Table'!$Z278+996.798*'BMP P Tracking Table'!$AA278))))),"")</f>
        <v/>
      </c>
      <c r="AG278" s="104" t="str">
        <f>IFERROR((VLOOKUP(CONCATENATE('BMP P Tracking Table'!$U278," ",'BMP P Tracking Table'!$AD278),'Performance Curves'!$C$1:$L$46,_xlfn.SINGLE(MATCH('BMP P Tracking Table'!$AF278,'Performance Curves'!$D$1:$L$1,1))+2,FALSE)-VLOOKUP(CONCATENATE('BMP P Tracking Table'!$U278," ",'BMP P Tracking Table'!$AD278),'Performance Curves'!$C$1:$L$46,_xlfn.SINGLE(MATCH('BMP P Tracking Table'!$AF278,'Performance Curves'!$D$1:$L$1,1))+1,FALSE)),"")</f>
        <v/>
      </c>
      <c r="AH278" s="104" t="str">
        <f>IFERROR(('BMP P Tracking Table'!$AF278-INDEX('Performance Curves'!$D$1:$L$1,1,MATCH('BMP P Tracking Table'!$AF278,'Performance Curves'!$D$1:$L$1,1)))/(INDEX('Performance Curves'!$D$1:$L$1,1,MATCH('BMP P Tracking Table'!$AF278,'Performance Curves'!$D$1:$L$1,1)+1)-INDEX('Performance Curves'!$D$1:$L$1,1,MATCH('BMP P Tracking Table'!$AF278,'Performance Curves'!$D$1:$L$1,1))),"")</f>
        <v/>
      </c>
      <c r="AI278" s="103" t="str">
        <f>IFERROR(IF('BMP P Tracking Table'!$AF278=2,VLOOKUP(CONCATENATE('BMP P Tracking Table'!$U278," ",'BMP P Tracking Table'!$AD278),'Performance Curves'!$C$1:$L$46,_xlfn.SINGLE(MATCH('BMP P Tracking Table'!$AF278,'Performance Curves'!$D$1:$L$1,1))+1,FALSE),'BMP P Tracking Table'!$AG278*'BMP P Tracking Table'!$AH278+VLOOKUP(CONCATENATE('BMP P Tracking Table'!$U278," ",'BMP P Tracking Table'!$AD278),'Performance Curves'!$C$1:$L$46,_xlfn.SINGLE(MATCH('BMP P Tracking Table'!$AF278,'Performance Curves'!$D$1:$L$1,1))+1,FALSE)),"")</f>
        <v/>
      </c>
      <c r="AJ278" s="104" t="str">
        <f>IFERROR('BMP P Tracking Table'!$AI278*'BMP P Tracking Table'!$AE278,"")</f>
        <v/>
      </c>
      <c r="AK278" s="65"/>
      <c r="AL278" s="98"/>
      <c r="AM278" s="98"/>
      <c r="AN278" s="64">
        <v>1</v>
      </c>
      <c r="AO278" s="102" t="str">
        <f t="shared" si="35"/>
        <v/>
      </c>
      <c r="AP278" s="98"/>
      <c r="AQ278" s="98"/>
      <c r="AR278" s="98"/>
      <c r="AS278" s="98"/>
      <c r="AT278" s="98"/>
      <c r="AU278" s="98"/>
      <c r="AV278" s="98"/>
      <c r="AW278" s="65"/>
      <c r="AX278" s="99"/>
      <c r="AY278" s="99"/>
      <c r="AZ278" s="104" t="str">
        <f>IF('BMP P Tracking Table'!$AL278="Yes",IF('BMP P Tracking Table'!$AM278="No",'BMP P Tracking Table'!$V278*VLOOKUP('BMP P Tracking Table'!$R278,'Loading Rates'!$B$1:$L$24,4,FALSE)+IF('BMP P Tracking Table'!$W278="By HSG",'BMP P Tracking Table'!$X278*VLOOKUP('BMP P Tracking Table'!$R278,'Loading Rates'!$B$1:$L$24,6,FALSE)+'BMP P Tracking Table'!$Y278*VLOOKUP('BMP P Tracking Table'!$R278,'Loading Rates'!$B$1:$L$24,7,FALSE)+'BMP P Tracking Table'!$Z278*VLOOKUP('BMP P Tracking Table'!$R278,'Loading Rates'!$B$1:$L$24,8,FALSE)+'BMP P Tracking Table'!$AA278*VLOOKUP('BMP P Tracking Table'!$R278,'Loading Rates'!$B$1:$L$24,9,FALSE),'BMP P Tracking Table'!$AB278*VLOOKUP('BMP P Tracking Table'!$R278,'Loading Rates'!$B$1:$L$24,10,FALSE)),'BMP P Tracking Table'!$AP278*VLOOKUP('BMP P Tracking Table'!$R278,'Loading Rates'!$B$1:$L$24,4,FALSE)+IF('BMP P Tracking Table'!$AQ278="By HSG",'BMP P Tracking Table'!$AR278*VLOOKUP('BMP P Tracking Table'!$R278,'Loading Rates'!$B$1:$L$24,6,FALSE)+'BMP P Tracking Table'!$AS278*VLOOKUP('BMP P Tracking Table'!$R278,'Loading Rates'!$B$1:$L$24,7,FALSE)+'BMP P Tracking Table'!$AT278*VLOOKUP('BMP P Tracking Table'!$R278,'Loading Rates'!$B$1:$L$24,8,FALSE)+'BMP P Tracking Table'!$AU278*VLOOKUP('BMP P Tracking Table'!$R278,'Loading Rates'!$B$1:$L$24,9,FALSE),'BMP P Tracking Table'!$AV278*VLOOKUP('BMP P Tracking Table'!$R278,'Loading Rates'!$B$1:$L$24,10,FALSE))),"")</f>
        <v/>
      </c>
      <c r="BA278" s="104" t="str">
        <f>IFERROR(IF('BMP P Tracking Table'!$AM278="Yes",MIN(2,IF('BMP P Tracking Table'!$AQ278="Total Pervious",(-(3630*'BMP P Tracking Table'!$AP278+20.691*'BMP P Tracking Table'!$AV278)+SQRT((3630*'BMP P Tracking Table'!$AP278+20.691*'BMP P Tracking Table'!$AV278)^2-(4*(996.798*'BMP P Tracking Table'!$AV278)*-'BMP P Tracking Table'!$AX278)))/(2*(996.798*'BMP P Tracking Table'!$AV278)),IF(SUM('BMP P Tracking Table'!$AR278:$AU278)=0,'BMP P Tracking Table'!$AV278/(-3630*'BMP P Tracking Table'!$AP278),(-(3630*'BMP P Tracking Table'!$AP278+20.691*'BMP P Tracking Table'!$AU278-216.711*'BMP P Tracking Table'!$AT278-83.853*'BMP P Tracking Table'!$AS278-42.834*'BMP P Tracking Table'!$AR278)+SQRT((3630*'BMP P Tracking Table'!$AP278+20.691*'BMP P Tracking Table'!$AU278-216.711*'BMP P Tracking Table'!$AT278-83.853*'BMP P Tracking Table'!$AS278-42.834*'BMP P Tracking Table'!$AR278)^2-(4*(149.919*'BMP P Tracking Table'!$AR278+236.676*'BMP P Tracking Table'!$AS278+726*'BMP P Tracking Table'!$AT278+996.798*'BMP P Tracking Table'!$AU278)*-'BMP P Tracking Table'!$AX278)))/(2*(149.919*'BMP P Tracking Table'!$AR278+236.676*'BMP P Tracking Table'!$AS278+726*'BMP P Tracking Table'!$AT278+996.798*'BMP P Tracking Table'!$AU278))))),MIN(2,IF('BMP P Tracking Table'!$AQ278="Total Pervious",(-(3630*'BMP P Tracking Table'!$V278+20.691*'BMP P Tracking Table'!$AB278)+SQRT((3630*'BMP P Tracking Table'!$V278+20.691*'BMP P Tracking Table'!$AB278)^2-(4*(996.798*'BMP P Tracking Table'!$AB278)*-'BMP P Tracking Table'!$AX278)))/(2*(996.798*'BMP P Tracking Table'!$AB278)),IF(SUM('BMP P Tracking Table'!$X278:$AA278)=0,'BMP P Tracking Table'!$AX278/(-3630*'BMP P Tracking Table'!$V278),(-(3630*'BMP P Tracking Table'!$V278+20.691*'BMP P Tracking Table'!$AA278-216.711*'BMP P Tracking Table'!$Z278-83.853*'BMP P Tracking Table'!$Y278-42.834*'BMP P Tracking Table'!$X278)+SQRT((3630*'BMP P Tracking Table'!$V278+20.691*'BMP P Tracking Table'!$AA278-216.711*'BMP P Tracking Table'!$Z278-83.853*'BMP P Tracking Table'!$Y278-42.834*'BMP P Tracking Table'!$X278)^2-(4*(149.919*'BMP P Tracking Table'!$X278+236.676*'BMP P Tracking Table'!$Y278+726*'BMP P Tracking Table'!$Z278+996.798*'BMP P Tracking Table'!$AA278)*-'BMP P Tracking Table'!$AX278)))/(2*(149.919*'BMP P Tracking Table'!$X278+236.676*'BMP P Tracking Table'!$Y278+726*'BMP P Tracking Table'!$Z278+996.798*'BMP P Tracking Table'!$AA278)))))),"")</f>
        <v/>
      </c>
      <c r="BB278" s="102" t="str">
        <f>IFERROR((VLOOKUP(CONCATENATE('BMP P Tracking Table'!$AW278," ",'BMP P Tracking Table'!$AY278),'Performance Curves'!$C$1:$L$46,_xlfn.SINGLE(MATCH('BMP P Tracking Table'!$BA278,'Performance Curves'!$D$1:$L$1,1))+2,FALSE)-VLOOKUP(CONCATENATE('BMP P Tracking Table'!$AW278," ",'BMP P Tracking Table'!$AY278),'Performance Curves'!$C$1:$L$46,_xlfn.SINGLE(MATCH('BMP P Tracking Table'!$BA278,'Performance Curves'!$D$1:$L$1,1))+1,FALSE)),"")</f>
        <v/>
      </c>
      <c r="BC278" s="102" t="str">
        <f>IFERROR(('BMP P Tracking Table'!$BA278-INDEX('Performance Curves'!$D$1:$L$1,1,MATCH('BMP P Tracking Table'!$BA278,'Performance Curves'!$D$1:$L$1,1)))/(INDEX('Performance Curves'!$D$1:$L$1,1,MATCH('BMP P Tracking Table'!$BA278,'Performance Curves'!$D$1:$L$1,1)+1)-INDEX('Performance Curves'!$D$1:$L$1,1,MATCH('BMP P Tracking Table'!$BA278,'Performance Curves'!$D$1:$L$1,1))),"")</f>
        <v/>
      </c>
      <c r="BD278" s="103" t="str" cm="1">
        <f t="array" ref="BD278">IFERROR(IF('BMP P Tracking Table'!$BA278=2,VLOOKUP(CONCATENATE('BMP P Tracking Table'!$AW278," ",'BMP P Tracking Table'!$AY278),'Performance Curves'!$C$1:$L$44,_xlfn.SINGLE(MATCH('BMP P Tracking Table'!$BA278,'Performance Curves'!$D$1:$L$1,1))+1,FALSE),'BMP P Tracking Table'!$BB278*'BMP P Tracking Table'!$BC278+VLOOKUP(CONCATENATE('BMP P Tracking Table'!$AW278," ",'BMP P Tracking Table'!$AY278),'Performance Curves'!$C$1:$L$44,_xlfn.SINGLE(MATCH('BMP P Tracking Table'!$BA278,'Performance Curves'!$D$1:$L$1,1))+1,FALSE)),"")</f>
        <v/>
      </c>
      <c r="BE278" s="104" t="str">
        <f>IFERROR('BMP P Tracking Table'!$BD278*'BMP P Tracking Table'!$AZ278,"")</f>
        <v/>
      </c>
      <c r="BF278" s="92"/>
      <c r="BG278" s="37">
        <f t="shared" si="36"/>
        <v>0</v>
      </c>
    </row>
    <row r="279" spans="2:59" s="36" customFormat="1">
      <c r="B279" s="65"/>
      <c r="C279" s="65"/>
      <c r="D279" s="65"/>
      <c r="E279" s="65"/>
      <c r="F279" s="94"/>
      <c r="G279" s="94"/>
      <c r="H279" s="65"/>
      <c r="I279" s="65"/>
      <c r="J279" s="65"/>
      <c r="K279" s="95"/>
      <c r="L279" s="65"/>
      <c r="M279" s="65"/>
      <c r="N279" s="65"/>
      <c r="O279" s="65"/>
      <c r="P279" s="65"/>
      <c r="Q279" s="65"/>
      <c r="R279" s="65" t="str">
        <f>IFERROR(VLOOKUP('BMP P Tracking Table'!$Q279,Dropdowns!$C$2:$E$15,3,FALSE),"")</f>
        <v/>
      </c>
      <c r="S279" s="65" t="str">
        <f>IFERROR(VLOOKUP('BMP P Tracking Table'!$R279,Dropdowns!$Q$3:$R$23,2,FALSE),"")</f>
        <v/>
      </c>
      <c r="T279" s="65"/>
      <c r="U279" s="65"/>
      <c r="V279" s="65"/>
      <c r="W279" s="65"/>
      <c r="X279" s="65"/>
      <c r="Y279" s="65"/>
      <c r="Z279" s="65"/>
      <c r="AA279" s="65"/>
      <c r="AB279" s="65"/>
      <c r="AC279" s="97"/>
      <c r="AD279" s="65"/>
      <c r="AE279" s="104" t="str">
        <f>IFERROR('BMP P Tracking Table'!$V279*VLOOKUP('BMP P Tracking Table'!$R279,'Loading Rates'!$B$1:$L$24,4,FALSE)+IF('BMP P Tracking Table'!$W279="By HSG",'BMP P Tracking Table'!$X279*VLOOKUP('BMP P Tracking Table'!$R279,'Loading Rates'!$B$1:$L$24,6,FALSE)+'BMP P Tracking Table'!$Y279*VLOOKUP('BMP P Tracking Table'!$R279,'Loading Rates'!$B$1:$L$24,7,FALSE)+'BMP P Tracking Table'!$Z279*VLOOKUP('BMP P Tracking Table'!$R279,'Loading Rates'!$B$1:$L$24,8,FALSE)+'BMP P Tracking Table'!$AA279*VLOOKUP('BMP P Tracking Table'!$R279,'Loading Rates'!$B$1:$L$24,9,FALSE),'BMP P Tracking Table'!$AB279*VLOOKUP('BMP P Tracking Table'!$R279,'Loading Rates'!$B$1:$L$24,10,FALSE)),"")</f>
        <v/>
      </c>
      <c r="AF279" s="104" t="str">
        <f>IFERROR(MIN(2,IF('BMP P Tracking Table'!$W279="Total Pervious",(-(3630*'BMP P Tracking Table'!$V279+20.691*'BMP P Tracking Table'!$AB279)+SQRT((3630*'BMP P Tracking Table'!$V279+20.691*'BMP P Tracking Table'!$AB279)^2-(4*(996.798*'BMP P Tracking Table'!$AB279)*-'BMP P Tracking Table'!$AC279)))/(2*(996.798*'BMP P Tracking Table'!$AB279)),IF(SUM('BMP P Tracking Table'!$X279:$AA279)=0,'BMP P Tracking Table'!$AC279/(-3630*'BMP P Tracking Table'!$V279),(-(3630*'BMP P Tracking Table'!$V279+20.691*'BMP P Tracking Table'!$AA279-216.711*'BMP P Tracking Table'!$Z279-83.853*'BMP P Tracking Table'!$Y279-42.834*'BMP P Tracking Table'!$X279)+SQRT((3630*'BMP P Tracking Table'!$V279+20.691*'BMP P Tracking Table'!$AA279-216.711*'BMP P Tracking Table'!$Z279-83.853*'BMP P Tracking Table'!$Y279-42.834*'BMP P Tracking Table'!$X279)^2-(4*(149.919*'BMP P Tracking Table'!$X279+236.676*'BMP P Tracking Table'!$Y279+726*'BMP P Tracking Table'!$Z279+996.798*'BMP P Tracking Table'!$AA279)*-'BMP P Tracking Table'!$AC279)))/(2*(149.919*'BMP P Tracking Table'!$X279+236.676*'BMP P Tracking Table'!$Y279+726*'BMP P Tracking Table'!$Z279+996.798*'BMP P Tracking Table'!$AA279))))),"")</f>
        <v/>
      </c>
      <c r="AG279" s="104" t="str">
        <f>IFERROR((VLOOKUP(CONCATENATE('BMP P Tracking Table'!$U279," ",'BMP P Tracking Table'!$AD279),'Performance Curves'!$C$1:$L$46,_xlfn.SINGLE(MATCH('BMP P Tracking Table'!$AF279,'Performance Curves'!$D$1:$L$1,1))+2,FALSE)-VLOOKUP(CONCATENATE('BMP P Tracking Table'!$U279," ",'BMP P Tracking Table'!$AD279),'Performance Curves'!$C$1:$L$46,_xlfn.SINGLE(MATCH('BMP P Tracking Table'!$AF279,'Performance Curves'!$D$1:$L$1,1))+1,FALSE)),"")</f>
        <v/>
      </c>
      <c r="AH279" s="104" t="str">
        <f>IFERROR(('BMP P Tracking Table'!$AF279-INDEX('Performance Curves'!$D$1:$L$1,1,MATCH('BMP P Tracking Table'!$AF279,'Performance Curves'!$D$1:$L$1,1)))/(INDEX('Performance Curves'!$D$1:$L$1,1,MATCH('BMP P Tracking Table'!$AF279,'Performance Curves'!$D$1:$L$1,1)+1)-INDEX('Performance Curves'!$D$1:$L$1,1,MATCH('BMP P Tracking Table'!$AF279,'Performance Curves'!$D$1:$L$1,1))),"")</f>
        <v/>
      </c>
      <c r="AI279" s="103" t="str">
        <f>IFERROR(IF('BMP P Tracking Table'!$AF279=2,VLOOKUP(CONCATENATE('BMP P Tracking Table'!$U279," ",'BMP P Tracking Table'!$AD279),'Performance Curves'!$C$1:$L$46,_xlfn.SINGLE(MATCH('BMP P Tracking Table'!$AF279,'Performance Curves'!$D$1:$L$1,1))+1,FALSE),'BMP P Tracking Table'!$AG279*'BMP P Tracking Table'!$AH279+VLOOKUP(CONCATENATE('BMP P Tracking Table'!$U279," ",'BMP P Tracking Table'!$AD279),'Performance Curves'!$C$1:$L$46,_xlfn.SINGLE(MATCH('BMP P Tracking Table'!$AF279,'Performance Curves'!$D$1:$L$1,1))+1,FALSE)),"")</f>
        <v/>
      </c>
      <c r="AJ279" s="104" t="str">
        <f>IFERROR('BMP P Tracking Table'!$AI279*'BMP P Tracking Table'!$AE279,"")</f>
        <v/>
      </c>
      <c r="AK279" s="65"/>
      <c r="AL279" s="98"/>
      <c r="AM279" s="98"/>
      <c r="AN279" s="64">
        <v>1</v>
      </c>
      <c r="AO279" s="102" t="str">
        <f t="shared" si="35"/>
        <v/>
      </c>
      <c r="AP279" s="98"/>
      <c r="AQ279" s="98"/>
      <c r="AR279" s="98"/>
      <c r="AS279" s="98"/>
      <c r="AT279" s="98"/>
      <c r="AU279" s="98"/>
      <c r="AV279" s="98"/>
      <c r="AW279" s="65"/>
      <c r="AX279" s="99"/>
      <c r="AY279" s="99"/>
      <c r="AZ279" s="104" t="str">
        <f>IF('BMP P Tracking Table'!$AL279="Yes",IF('BMP P Tracking Table'!$AM279="No",'BMP P Tracking Table'!$V279*VLOOKUP('BMP P Tracking Table'!$R279,'Loading Rates'!$B$1:$L$24,4,FALSE)+IF('BMP P Tracking Table'!$W279="By HSG",'BMP P Tracking Table'!$X279*VLOOKUP('BMP P Tracking Table'!$R279,'Loading Rates'!$B$1:$L$24,6,FALSE)+'BMP P Tracking Table'!$Y279*VLOOKUP('BMP P Tracking Table'!$R279,'Loading Rates'!$B$1:$L$24,7,FALSE)+'BMP P Tracking Table'!$Z279*VLOOKUP('BMP P Tracking Table'!$R279,'Loading Rates'!$B$1:$L$24,8,FALSE)+'BMP P Tracking Table'!$AA279*VLOOKUP('BMP P Tracking Table'!$R279,'Loading Rates'!$B$1:$L$24,9,FALSE),'BMP P Tracking Table'!$AB279*VLOOKUP('BMP P Tracking Table'!$R279,'Loading Rates'!$B$1:$L$24,10,FALSE)),'BMP P Tracking Table'!$AP279*VLOOKUP('BMP P Tracking Table'!$R279,'Loading Rates'!$B$1:$L$24,4,FALSE)+IF('BMP P Tracking Table'!$AQ279="By HSG",'BMP P Tracking Table'!$AR279*VLOOKUP('BMP P Tracking Table'!$R279,'Loading Rates'!$B$1:$L$24,6,FALSE)+'BMP P Tracking Table'!$AS279*VLOOKUP('BMP P Tracking Table'!$R279,'Loading Rates'!$B$1:$L$24,7,FALSE)+'BMP P Tracking Table'!$AT279*VLOOKUP('BMP P Tracking Table'!$R279,'Loading Rates'!$B$1:$L$24,8,FALSE)+'BMP P Tracking Table'!$AU279*VLOOKUP('BMP P Tracking Table'!$R279,'Loading Rates'!$B$1:$L$24,9,FALSE),'BMP P Tracking Table'!$AV279*VLOOKUP('BMP P Tracking Table'!$R279,'Loading Rates'!$B$1:$L$24,10,FALSE))),"")</f>
        <v/>
      </c>
      <c r="BA279" s="104" t="str">
        <f>IFERROR(IF('BMP P Tracking Table'!$AM279="Yes",MIN(2,IF('BMP P Tracking Table'!$AQ279="Total Pervious",(-(3630*'BMP P Tracking Table'!$AP279+20.691*'BMP P Tracking Table'!$AV279)+SQRT((3630*'BMP P Tracking Table'!$AP279+20.691*'BMP P Tracking Table'!$AV279)^2-(4*(996.798*'BMP P Tracking Table'!$AV279)*-'BMP P Tracking Table'!$AX279)))/(2*(996.798*'BMP P Tracking Table'!$AV279)),IF(SUM('BMP P Tracking Table'!$AR279:$AU279)=0,'BMP P Tracking Table'!$AV279/(-3630*'BMP P Tracking Table'!$AP279),(-(3630*'BMP P Tracking Table'!$AP279+20.691*'BMP P Tracking Table'!$AU279-216.711*'BMP P Tracking Table'!$AT279-83.853*'BMP P Tracking Table'!$AS279-42.834*'BMP P Tracking Table'!$AR279)+SQRT((3630*'BMP P Tracking Table'!$AP279+20.691*'BMP P Tracking Table'!$AU279-216.711*'BMP P Tracking Table'!$AT279-83.853*'BMP P Tracking Table'!$AS279-42.834*'BMP P Tracking Table'!$AR279)^2-(4*(149.919*'BMP P Tracking Table'!$AR279+236.676*'BMP P Tracking Table'!$AS279+726*'BMP P Tracking Table'!$AT279+996.798*'BMP P Tracking Table'!$AU279)*-'BMP P Tracking Table'!$AX279)))/(2*(149.919*'BMP P Tracking Table'!$AR279+236.676*'BMP P Tracking Table'!$AS279+726*'BMP P Tracking Table'!$AT279+996.798*'BMP P Tracking Table'!$AU279))))),MIN(2,IF('BMP P Tracking Table'!$AQ279="Total Pervious",(-(3630*'BMP P Tracking Table'!$V279+20.691*'BMP P Tracking Table'!$AB279)+SQRT((3630*'BMP P Tracking Table'!$V279+20.691*'BMP P Tracking Table'!$AB279)^2-(4*(996.798*'BMP P Tracking Table'!$AB279)*-'BMP P Tracking Table'!$AX279)))/(2*(996.798*'BMP P Tracking Table'!$AB279)),IF(SUM('BMP P Tracking Table'!$X279:$AA279)=0,'BMP P Tracking Table'!$AX279/(-3630*'BMP P Tracking Table'!$V279),(-(3630*'BMP P Tracking Table'!$V279+20.691*'BMP P Tracking Table'!$AA279-216.711*'BMP P Tracking Table'!$Z279-83.853*'BMP P Tracking Table'!$Y279-42.834*'BMP P Tracking Table'!$X279)+SQRT((3630*'BMP P Tracking Table'!$V279+20.691*'BMP P Tracking Table'!$AA279-216.711*'BMP P Tracking Table'!$Z279-83.853*'BMP P Tracking Table'!$Y279-42.834*'BMP P Tracking Table'!$X279)^2-(4*(149.919*'BMP P Tracking Table'!$X279+236.676*'BMP P Tracking Table'!$Y279+726*'BMP P Tracking Table'!$Z279+996.798*'BMP P Tracking Table'!$AA279)*-'BMP P Tracking Table'!$AX279)))/(2*(149.919*'BMP P Tracking Table'!$X279+236.676*'BMP P Tracking Table'!$Y279+726*'BMP P Tracking Table'!$Z279+996.798*'BMP P Tracking Table'!$AA279)))))),"")</f>
        <v/>
      </c>
      <c r="BB279" s="102" t="str">
        <f>IFERROR((VLOOKUP(CONCATENATE('BMP P Tracking Table'!$AW279," ",'BMP P Tracking Table'!$AY279),'Performance Curves'!$C$1:$L$46,_xlfn.SINGLE(MATCH('BMP P Tracking Table'!$BA279,'Performance Curves'!$D$1:$L$1,1))+2,FALSE)-VLOOKUP(CONCATENATE('BMP P Tracking Table'!$AW279," ",'BMP P Tracking Table'!$AY279),'Performance Curves'!$C$1:$L$46,_xlfn.SINGLE(MATCH('BMP P Tracking Table'!$BA279,'Performance Curves'!$D$1:$L$1,1))+1,FALSE)),"")</f>
        <v/>
      </c>
      <c r="BC279" s="102" t="str">
        <f>IFERROR(('BMP P Tracking Table'!$BA279-INDEX('Performance Curves'!$D$1:$L$1,1,MATCH('BMP P Tracking Table'!$BA279,'Performance Curves'!$D$1:$L$1,1)))/(INDEX('Performance Curves'!$D$1:$L$1,1,MATCH('BMP P Tracking Table'!$BA279,'Performance Curves'!$D$1:$L$1,1)+1)-INDEX('Performance Curves'!$D$1:$L$1,1,MATCH('BMP P Tracking Table'!$BA279,'Performance Curves'!$D$1:$L$1,1))),"")</f>
        <v/>
      </c>
      <c r="BD279" s="103" t="str" cm="1">
        <f t="array" ref="BD279">IFERROR(IF('BMP P Tracking Table'!$BA279=2,VLOOKUP(CONCATENATE('BMP P Tracking Table'!$AW279," ",'BMP P Tracking Table'!$AY279),'Performance Curves'!$C$1:$L$44,_xlfn.SINGLE(MATCH('BMP P Tracking Table'!$BA279,'Performance Curves'!$D$1:$L$1,1))+1,FALSE),'BMP P Tracking Table'!$BB279*'BMP P Tracking Table'!$BC279+VLOOKUP(CONCATENATE('BMP P Tracking Table'!$AW279," ",'BMP P Tracking Table'!$AY279),'Performance Curves'!$C$1:$L$44,_xlfn.SINGLE(MATCH('BMP P Tracking Table'!$BA279,'Performance Curves'!$D$1:$L$1,1))+1,FALSE)),"")</f>
        <v/>
      </c>
      <c r="BE279" s="104" t="str">
        <f>IFERROR('BMP P Tracking Table'!$BD279*'BMP P Tracking Table'!$AZ279,"")</f>
        <v/>
      </c>
      <c r="BF279" s="98"/>
      <c r="BG279" s="37">
        <f t="shared" si="36"/>
        <v>0</v>
      </c>
    </row>
    <row r="280" spans="2:59" s="36" customFormat="1">
      <c r="B280" s="65"/>
      <c r="C280" s="65"/>
      <c r="D280" s="65"/>
      <c r="E280" s="65"/>
      <c r="F280" s="94"/>
      <c r="G280" s="94"/>
      <c r="H280" s="65"/>
      <c r="I280" s="65"/>
      <c r="J280" s="65"/>
      <c r="K280" s="95"/>
      <c r="L280" s="65"/>
      <c r="M280" s="65"/>
      <c r="N280" s="65"/>
      <c r="O280" s="65"/>
      <c r="P280" s="65"/>
      <c r="Q280" s="65"/>
      <c r="R280" s="65" t="str">
        <f>IFERROR(VLOOKUP('BMP P Tracking Table'!$Q280,Dropdowns!$C$2:$E$15,3,FALSE),"")</f>
        <v/>
      </c>
      <c r="S280" s="65" t="str">
        <f>IFERROR(VLOOKUP('BMP P Tracking Table'!$R280,Dropdowns!$Q$3:$R$23,2,FALSE),"")</f>
        <v/>
      </c>
      <c r="T280" s="65"/>
      <c r="U280" s="65"/>
      <c r="V280" s="65"/>
      <c r="W280" s="65"/>
      <c r="X280" s="65"/>
      <c r="Y280" s="65"/>
      <c r="Z280" s="65"/>
      <c r="AA280" s="65"/>
      <c r="AB280" s="65"/>
      <c r="AC280" s="97"/>
      <c r="AD280" s="65"/>
      <c r="AE280" s="104" t="str">
        <f>IFERROR('BMP P Tracking Table'!$V280*VLOOKUP('BMP P Tracking Table'!$R280,'Loading Rates'!$B$1:$L$24,4,FALSE)+IF('BMP P Tracking Table'!$W280="By HSG",'BMP P Tracking Table'!$X280*VLOOKUP('BMP P Tracking Table'!$R280,'Loading Rates'!$B$1:$L$24,6,FALSE)+'BMP P Tracking Table'!$Y280*VLOOKUP('BMP P Tracking Table'!$R280,'Loading Rates'!$B$1:$L$24,7,FALSE)+'BMP P Tracking Table'!$Z280*VLOOKUP('BMP P Tracking Table'!$R280,'Loading Rates'!$B$1:$L$24,8,FALSE)+'BMP P Tracking Table'!$AA280*VLOOKUP('BMP P Tracking Table'!$R280,'Loading Rates'!$B$1:$L$24,9,FALSE),'BMP P Tracking Table'!$AB280*VLOOKUP('BMP P Tracking Table'!$R280,'Loading Rates'!$B$1:$L$24,10,FALSE)),"")</f>
        <v/>
      </c>
      <c r="AF280" s="104" t="str">
        <f>IFERROR(MIN(2,IF('BMP P Tracking Table'!$W280="Total Pervious",(-(3630*'BMP P Tracking Table'!$V280+20.691*'BMP P Tracking Table'!$AB280)+SQRT((3630*'BMP P Tracking Table'!$V280+20.691*'BMP P Tracking Table'!$AB280)^2-(4*(996.798*'BMP P Tracking Table'!$AB280)*-'BMP P Tracking Table'!$AC280)))/(2*(996.798*'BMP P Tracking Table'!$AB280)),IF(SUM('BMP P Tracking Table'!$X280:$AA280)=0,'BMP P Tracking Table'!$AC280/(-3630*'BMP P Tracking Table'!$V280),(-(3630*'BMP P Tracking Table'!$V280+20.691*'BMP P Tracking Table'!$AA280-216.711*'BMP P Tracking Table'!$Z280-83.853*'BMP P Tracking Table'!$Y280-42.834*'BMP P Tracking Table'!$X280)+SQRT((3630*'BMP P Tracking Table'!$V280+20.691*'BMP P Tracking Table'!$AA280-216.711*'BMP P Tracking Table'!$Z280-83.853*'BMP P Tracking Table'!$Y280-42.834*'BMP P Tracking Table'!$X280)^2-(4*(149.919*'BMP P Tracking Table'!$X280+236.676*'BMP P Tracking Table'!$Y280+726*'BMP P Tracking Table'!$Z280+996.798*'BMP P Tracking Table'!$AA280)*-'BMP P Tracking Table'!$AC280)))/(2*(149.919*'BMP P Tracking Table'!$X280+236.676*'BMP P Tracking Table'!$Y280+726*'BMP P Tracking Table'!$Z280+996.798*'BMP P Tracking Table'!$AA280))))),"")</f>
        <v/>
      </c>
      <c r="AG280" s="104" t="str">
        <f>IFERROR((VLOOKUP(CONCATENATE('BMP P Tracking Table'!$U280," ",'BMP P Tracking Table'!$AD280),'Performance Curves'!$C$1:$L$46,_xlfn.SINGLE(MATCH('BMP P Tracking Table'!$AF280,'Performance Curves'!$D$1:$L$1,1))+2,FALSE)-VLOOKUP(CONCATENATE('BMP P Tracking Table'!$U280," ",'BMP P Tracking Table'!$AD280),'Performance Curves'!$C$1:$L$46,_xlfn.SINGLE(MATCH('BMP P Tracking Table'!$AF280,'Performance Curves'!$D$1:$L$1,1))+1,FALSE)),"")</f>
        <v/>
      </c>
      <c r="AH280" s="104" t="str">
        <f>IFERROR(('BMP P Tracking Table'!$AF280-INDEX('Performance Curves'!$D$1:$L$1,1,MATCH('BMP P Tracking Table'!$AF280,'Performance Curves'!$D$1:$L$1,1)))/(INDEX('Performance Curves'!$D$1:$L$1,1,MATCH('BMP P Tracking Table'!$AF280,'Performance Curves'!$D$1:$L$1,1)+1)-INDEX('Performance Curves'!$D$1:$L$1,1,MATCH('BMP P Tracking Table'!$AF280,'Performance Curves'!$D$1:$L$1,1))),"")</f>
        <v/>
      </c>
      <c r="AI280" s="103" t="str">
        <f>IFERROR(IF('BMP P Tracking Table'!$AF280=2,VLOOKUP(CONCATENATE('BMP P Tracking Table'!$U280," ",'BMP P Tracking Table'!$AD280),'Performance Curves'!$C$1:$L$46,_xlfn.SINGLE(MATCH('BMP P Tracking Table'!$AF280,'Performance Curves'!$D$1:$L$1,1))+1,FALSE),'BMP P Tracking Table'!$AG280*'BMP P Tracking Table'!$AH280+VLOOKUP(CONCATENATE('BMP P Tracking Table'!$U280," ",'BMP P Tracking Table'!$AD280),'Performance Curves'!$C$1:$L$46,_xlfn.SINGLE(MATCH('BMP P Tracking Table'!$AF280,'Performance Curves'!$D$1:$L$1,1))+1,FALSE)),"")</f>
        <v/>
      </c>
      <c r="AJ280" s="104" t="str">
        <f>IFERROR('BMP P Tracking Table'!$AI280*'BMP P Tracking Table'!$AE280,"")</f>
        <v/>
      </c>
      <c r="AK280" s="65"/>
      <c r="AL280" s="98"/>
      <c r="AM280" s="98"/>
      <c r="AN280" s="64">
        <v>1</v>
      </c>
      <c r="AO280" s="102" t="str">
        <f t="shared" si="35"/>
        <v/>
      </c>
      <c r="AP280" s="98"/>
      <c r="AQ280" s="98"/>
      <c r="AR280" s="98"/>
      <c r="AS280" s="98"/>
      <c r="AT280" s="98"/>
      <c r="AU280" s="98"/>
      <c r="AV280" s="98"/>
      <c r="AW280" s="65"/>
      <c r="AX280" s="99"/>
      <c r="AY280" s="99"/>
      <c r="AZ280" s="104" t="str">
        <f>IF('BMP P Tracking Table'!$AL280="Yes",IF('BMP P Tracking Table'!$AM280="No",'BMP P Tracking Table'!$V280*VLOOKUP('BMP P Tracking Table'!$R280,'Loading Rates'!$B$1:$L$24,4,FALSE)+IF('BMP P Tracking Table'!$W280="By HSG",'BMP P Tracking Table'!$X280*VLOOKUP('BMP P Tracking Table'!$R280,'Loading Rates'!$B$1:$L$24,6,FALSE)+'BMP P Tracking Table'!$Y280*VLOOKUP('BMP P Tracking Table'!$R280,'Loading Rates'!$B$1:$L$24,7,FALSE)+'BMP P Tracking Table'!$Z280*VLOOKUP('BMP P Tracking Table'!$R280,'Loading Rates'!$B$1:$L$24,8,FALSE)+'BMP P Tracking Table'!$AA280*VLOOKUP('BMP P Tracking Table'!$R280,'Loading Rates'!$B$1:$L$24,9,FALSE),'BMP P Tracking Table'!$AB280*VLOOKUP('BMP P Tracking Table'!$R280,'Loading Rates'!$B$1:$L$24,10,FALSE)),'BMP P Tracking Table'!$AP280*VLOOKUP('BMP P Tracking Table'!$R280,'Loading Rates'!$B$1:$L$24,4,FALSE)+IF('BMP P Tracking Table'!$AQ280="By HSG",'BMP P Tracking Table'!$AR280*VLOOKUP('BMP P Tracking Table'!$R280,'Loading Rates'!$B$1:$L$24,6,FALSE)+'BMP P Tracking Table'!$AS280*VLOOKUP('BMP P Tracking Table'!$R280,'Loading Rates'!$B$1:$L$24,7,FALSE)+'BMP P Tracking Table'!$AT280*VLOOKUP('BMP P Tracking Table'!$R280,'Loading Rates'!$B$1:$L$24,8,FALSE)+'BMP P Tracking Table'!$AU280*VLOOKUP('BMP P Tracking Table'!$R280,'Loading Rates'!$B$1:$L$24,9,FALSE),'BMP P Tracking Table'!$AV280*VLOOKUP('BMP P Tracking Table'!$R280,'Loading Rates'!$B$1:$L$24,10,FALSE))),"")</f>
        <v/>
      </c>
      <c r="BA280" s="104" t="str">
        <f>IFERROR(IF('BMP P Tracking Table'!$AM280="Yes",MIN(2,IF('BMP P Tracking Table'!$AQ280="Total Pervious",(-(3630*'BMP P Tracking Table'!$AP280+20.691*'BMP P Tracking Table'!$AV280)+SQRT((3630*'BMP P Tracking Table'!$AP280+20.691*'BMP P Tracking Table'!$AV280)^2-(4*(996.798*'BMP P Tracking Table'!$AV280)*-'BMP P Tracking Table'!$AX280)))/(2*(996.798*'BMP P Tracking Table'!$AV280)),IF(SUM('BMP P Tracking Table'!$AR280:$AU280)=0,'BMP P Tracking Table'!$AV280/(-3630*'BMP P Tracking Table'!$AP280),(-(3630*'BMP P Tracking Table'!$AP280+20.691*'BMP P Tracking Table'!$AU280-216.711*'BMP P Tracking Table'!$AT280-83.853*'BMP P Tracking Table'!$AS280-42.834*'BMP P Tracking Table'!$AR280)+SQRT((3630*'BMP P Tracking Table'!$AP280+20.691*'BMP P Tracking Table'!$AU280-216.711*'BMP P Tracking Table'!$AT280-83.853*'BMP P Tracking Table'!$AS280-42.834*'BMP P Tracking Table'!$AR280)^2-(4*(149.919*'BMP P Tracking Table'!$AR280+236.676*'BMP P Tracking Table'!$AS280+726*'BMP P Tracking Table'!$AT280+996.798*'BMP P Tracking Table'!$AU280)*-'BMP P Tracking Table'!$AX280)))/(2*(149.919*'BMP P Tracking Table'!$AR280+236.676*'BMP P Tracking Table'!$AS280+726*'BMP P Tracking Table'!$AT280+996.798*'BMP P Tracking Table'!$AU280))))),MIN(2,IF('BMP P Tracking Table'!$AQ280="Total Pervious",(-(3630*'BMP P Tracking Table'!$V280+20.691*'BMP P Tracking Table'!$AB280)+SQRT((3630*'BMP P Tracking Table'!$V280+20.691*'BMP P Tracking Table'!$AB280)^2-(4*(996.798*'BMP P Tracking Table'!$AB280)*-'BMP P Tracking Table'!$AX280)))/(2*(996.798*'BMP P Tracking Table'!$AB280)),IF(SUM('BMP P Tracking Table'!$X280:$AA280)=0,'BMP P Tracking Table'!$AX280/(-3630*'BMP P Tracking Table'!$V280),(-(3630*'BMP P Tracking Table'!$V280+20.691*'BMP P Tracking Table'!$AA280-216.711*'BMP P Tracking Table'!$Z280-83.853*'BMP P Tracking Table'!$Y280-42.834*'BMP P Tracking Table'!$X280)+SQRT((3630*'BMP P Tracking Table'!$V280+20.691*'BMP P Tracking Table'!$AA280-216.711*'BMP P Tracking Table'!$Z280-83.853*'BMP P Tracking Table'!$Y280-42.834*'BMP P Tracking Table'!$X280)^2-(4*(149.919*'BMP P Tracking Table'!$X280+236.676*'BMP P Tracking Table'!$Y280+726*'BMP P Tracking Table'!$Z280+996.798*'BMP P Tracking Table'!$AA280)*-'BMP P Tracking Table'!$AX280)))/(2*(149.919*'BMP P Tracking Table'!$X280+236.676*'BMP P Tracking Table'!$Y280+726*'BMP P Tracking Table'!$Z280+996.798*'BMP P Tracking Table'!$AA280)))))),"")</f>
        <v/>
      </c>
      <c r="BB280" s="102" t="str">
        <f>IFERROR((VLOOKUP(CONCATENATE('BMP P Tracking Table'!$AW280," ",'BMP P Tracking Table'!$AY280),'Performance Curves'!$C$1:$L$46,_xlfn.SINGLE(MATCH('BMP P Tracking Table'!$BA280,'Performance Curves'!$D$1:$L$1,1))+2,FALSE)-VLOOKUP(CONCATENATE('BMP P Tracking Table'!$AW280," ",'BMP P Tracking Table'!$AY280),'Performance Curves'!$C$1:$L$46,_xlfn.SINGLE(MATCH('BMP P Tracking Table'!$BA280,'Performance Curves'!$D$1:$L$1,1))+1,FALSE)),"")</f>
        <v/>
      </c>
      <c r="BC280" s="102" t="str">
        <f>IFERROR(('BMP P Tracking Table'!$BA280-INDEX('Performance Curves'!$D$1:$L$1,1,MATCH('BMP P Tracking Table'!$BA280,'Performance Curves'!$D$1:$L$1,1)))/(INDEX('Performance Curves'!$D$1:$L$1,1,MATCH('BMP P Tracking Table'!$BA280,'Performance Curves'!$D$1:$L$1,1)+1)-INDEX('Performance Curves'!$D$1:$L$1,1,MATCH('BMP P Tracking Table'!$BA280,'Performance Curves'!$D$1:$L$1,1))),"")</f>
        <v/>
      </c>
      <c r="BD280" s="103" t="str" cm="1">
        <f t="array" ref="BD280">IFERROR(IF('BMP P Tracking Table'!$BA280=2,VLOOKUP(CONCATENATE('BMP P Tracking Table'!$AW280," ",'BMP P Tracking Table'!$AY280),'Performance Curves'!$C$1:$L$44,_xlfn.SINGLE(MATCH('BMP P Tracking Table'!$BA280,'Performance Curves'!$D$1:$L$1,1))+1,FALSE),'BMP P Tracking Table'!$BB280*'BMP P Tracking Table'!$BC280+VLOOKUP(CONCATENATE('BMP P Tracking Table'!$AW280," ",'BMP P Tracking Table'!$AY280),'Performance Curves'!$C$1:$L$44,_xlfn.SINGLE(MATCH('BMP P Tracking Table'!$BA280,'Performance Curves'!$D$1:$L$1,1))+1,FALSE)),"")</f>
        <v/>
      </c>
      <c r="BE280" s="104" t="str">
        <f>IFERROR('BMP P Tracking Table'!$BD280*'BMP P Tracking Table'!$AZ280,"")</f>
        <v/>
      </c>
      <c r="BF280" s="98"/>
      <c r="BG280" s="37">
        <f t="shared" si="36"/>
        <v>0</v>
      </c>
    </row>
    <row r="281" spans="2:59" s="36" customFormat="1">
      <c r="B281" s="65"/>
      <c r="C281" s="65"/>
      <c r="D281" s="65"/>
      <c r="E281" s="65"/>
      <c r="F281" s="94"/>
      <c r="G281" s="94"/>
      <c r="H281" s="65"/>
      <c r="I281" s="65"/>
      <c r="J281" s="65"/>
      <c r="K281" s="95"/>
      <c r="L281" s="65"/>
      <c r="M281" s="65"/>
      <c r="N281" s="65"/>
      <c r="O281" s="65"/>
      <c r="P281" s="65"/>
      <c r="Q281" s="65"/>
      <c r="R281" s="65" t="str">
        <f>IFERROR(VLOOKUP('BMP P Tracking Table'!$Q281,Dropdowns!$C$2:$E$15,3,FALSE),"")</f>
        <v/>
      </c>
      <c r="S281" s="65" t="str">
        <f>IFERROR(VLOOKUP('BMP P Tracking Table'!$R281,Dropdowns!$Q$3:$R$23,2,FALSE),"")</f>
        <v/>
      </c>
      <c r="T281" s="65"/>
      <c r="U281" s="65"/>
      <c r="V281" s="65"/>
      <c r="W281" s="65"/>
      <c r="X281" s="65"/>
      <c r="Y281" s="65"/>
      <c r="Z281" s="65"/>
      <c r="AA281" s="65"/>
      <c r="AB281" s="65"/>
      <c r="AC281" s="97"/>
      <c r="AD281" s="65"/>
      <c r="AE281" s="104" t="str">
        <f>IFERROR('BMP P Tracking Table'!$V281*VLOOKUP('BMP P Tracking Table'!$R281,'Loading Rates'!$B$1:$L$24,4,FALSE)+IF('BMP P Tracking Table'!$W281="By HSG",'BMP P Tracking Table'!$X281*VLOOKUP('BMP P Tracking Table'!$R281,'Loading Rates'!$B$1:$L$24,6,FALSE)+'BMP P Tracking Table'!$Y281*VLOOKUP('BMP P Tracking Table'!$R281,'Loading Rates'!$B$1:$L$24,7,FALSE)+'BMP P Tracking Table'!$Z281*VLOOKUP('BMP P Tracking Table'!$R281,'Loading Rates'!$B$1:$L$24,8,FALSE)+'BMP P Tracking Table'!$AA281*VLOOKUP('BMP P Tracking Table'!$R281,'Loading Rates'!$B$1:$L$24,9,FALSE),'BMP P Tracking Table'!$AB281*VLOOKUP('BMP P Tracking Table'!$R281,'Loading Rates'!$B$1:$L$24,10,FALSE)),"")</f>
        <v/>
      </c>
      <c r="AF281" s="104" t="str">
        <f>IFERROR(MIN(2,IF('BMP P Tracking Table'!$W281="Total Pervious",(-(3630*'BMP P Tracking Table'!$V281+20.691*'BMP P Tracking Table'!$AB281)+SQRT((3630*'BMP P Tracking Table'!$V281+20.691*'BMP P Tracking Table'!$AB281)^2-(4*(996.798*'BMP P Tracking Table'!$AB281)*-'BMP P Tracking Table'!$AC281)))/(2*(996.798*'BMP P Tracking Table'!$AB281)),IF(SUM('BMP P Tracking Table'!$X281:$AA281)=0,'BMP P Tracking Table'!$AC281/(-3630*'BMP P Tracking Table'!$V281),(-(3630*'BMP P Tracking Table'!$V281+20.691*'BMP P Tracking Table'!$AA281-216.711*'BMP P Tracking Table'!$Z281-83.853*'BMP P Tracking Table'!$Y281-42.834*'BMP P Tracking Table'!$X281)+SQRT((3630*'BMP P Tracking Table'!$V281+20.691*'BMP P Tracking Table'!$AA281-216.711*'BMP P Tracking Table'!$Z281-83.853*'BMP P Tracking Table'!$Y281-42.834*'BMP P Tracking Table'!$X281)^2-(4*(149.919*'BMP P Tracking Table'!$X281+236.676*'BMP P Tracking Table'!$Y281+726*'BMP P Tracking Table'!$Z281+996.798*'BMP P Tracking Table'!$AA281)*-'BMP P Tracking Table'!$AC281)))/(2*(149.919*'BMP P Tracking Table'!$X281+236.676*'BMP P Tracking Table'!$Y281+726*'BMP P Tracking Table'!$Z281+996.798*'BMP P Tracking Table'!$AA281))))),"")</f>
        <v/>
      </c>
      <c r="AG281" s="104" t="str">
        <f>IFERROR((VLOOKUP(CONCATENATE('BMP P Tracking Table'!$U281," ",'BMP P Tracking Table'!$AD281),'Performance Curves'!$C$1:$L$46,_xlfn.SINGLE(MATCH('BMP P Tracking Table'!$AF281,'Performance Curves'!$D$1:$L$1,1))+2,FALSE)-VLOOKUP(CONCATENATE('BMP P Tracking Table'!$U281," ",'BMP P Tracking Table'!$AD281),'Performance Curves'!$C$1:$L$46,_xlfn.SINGLE(MATCH('BMP P Tracking Table'!$AF281,'Performance Curves'!$D$1:$L$1,1))+1,FALSE)),"")</f>
        <v/>
      </c>
      <c r="AH281" s="104" t="str">
        <f>IFERROR(('BMP P Tracking Table'!$AF281-INDEX('Performance Curves'!$D$1:$L$1,1,MATCH('BMP P Tracking Table'!$AF281,'Performance Curves'!$D$1:$L$1,1)))/(INDEX('Performance Curves'!$D$1:$L$1,1,MATCH('BMP P Tracking Table'!$AF281,'Performance Curves'!$D$1:$L$1,1)+1)-INDEX('Performance Curves'!$D$1:$L$1,1,MATCH('BMP P Tracking Table'!$AF281,'Performance Curves'!$D$1:$L$1,1))),"")</f>
        <v/>
      </c>
      <c r="AI281" s="103" t="str">
        <f>IFERROR(IF('BMP P Tracking Table'!$AF281=2,VLOOKUP(CONCATENATE('BMP P Tracking Table'!$U281," ",'BMP P Tracking Table'!$AD281),'Performance Curves'!$C$1:$L$46,_xlfn.SINGLE(MATCH('BMP P Tracking Table'!$AF281,'Performance Curves'!$D$1:$L$1,1))+1,FALSE),'BMP P Tracking Table'!$AG281*'BMP P Tracking Table'!$AH281+VLOOKUP(CONCATENATE('BMP P Tracking Table'!$U281," ",'BMP P Tracking Table'!$AD281),'Performance Curves'!$C$1:$L$46,_xlfn.SINGLE(MATCH('BMP P Tracking Table'!$AF281,'Performance Curves'!$D$1:$L$1,1))+1,FALSE)),"")</f>
        <v/>
      </c>
      <c r="AJ281" s="104" t="str">
        <f>IFERROR('BMP P Tracking Table'!$AI281*'BMP P Tracking Table'!$AE281,"")</f>
        <v/>
      </c>
      <c r="AK281" s="65"/>
      <c r="AL281" s="98"/>
      <c r="AM281" s="98"/>
      <c r="AN281" s="64">
        <v>1</v>
      </c>
      <c r="AO281" s="102" t="str">
        <f t="shared" si="35"/>
        <v/>
      </c>
      <c r="AP281" s="98"/>
      <c r="AQ281" s="98"/>
      <c r="AR281" s="98"/>
      <c r="AS281" s="98"/>
      <c r="AT281" s="98"/>
      <c r="AU281" s="98"/>
      <c r="AV281" s="98"/>
      <c r="AW281" s="65"/>
      <c r="AX281" s="99"/>
      <c r="AY281" s="99"/>
      <c r="AZ281" s="104" t="str">
        <f>IF('BMP P Tracking Table'!$AL281="Yes",IF('BMP P Tracking Table'!$AM281="No",'BMP P Tracking Table'!$V281*VLOOKUP('BMP P Tracking Table'!$R281,'Loading Rates'!$B$1:$L$24,4,FALSE)+IF('BMP P Tracking Table'!$W281="By HSG",'BMP P Tracking Table'!$X281*VLOOKUP('BMP P Tracking Table'!$R281,'Loading Rates'!$B$1:$L$24,6,FALSE)+'BMP P Tracking Table'!$Y281*VLOOKUP('BMP P Tracking Table'!$R281,'Loading Rates'!$B$1:$L$24,7,FALSE)+'BMP P Tracking Table'!$Z281*VLOOKUP('BMP P Tracking Table'!$R281,'Loading Rates'!$B$1:$L$24,8,FALSE)+'BMP P Tracking Table'!$AA281*VLOOKUP('BMP P Tracking Table'!$R281,'Loading Rates'!$B$1:$L$24,9,FALSE),'BMP P Tracking Table'!$AB281*VLOOKUP('BMP P Tracking Table'!$R281,'Loading Rates'!$B$1:$L$24,10,FALSE)),'BMP P Tracking Table'!$AP281*VLOOKUP('BMP P Tracking Table'!$R281,'Loading Rates'!$B$1:$L$24,4,FALSE)+IF('BMP P Tracking Table'!$AQ281="By HSG",'BMP P Tracking Table'!$AR281*VLOOKUP('BMP P Tracking Table'!$R281,'Loading Rates'!$B$1:$L$24,6,FALSE)+'BMP P Tracking Table'!$AS281*VLOOKUP('BMP P Tracking Table'!$R281,'Loading Rates'!$B$1:$L$24,7,FALSE)+'BMP P Tracking Table'!$AT281*VLOOKUP('BMP P Tracking Table'!$R281,'Loading Rates'!$B$1:$L$24,8,FALSE)+'BMP P Tracking Table'!$AU281*VLOOKUP('BMP P Tracking Table'!$R281,'Loading Rates'!$B$1:$L$24,9,FALSE),'BMP P Tracking Table'!$AV281*VLOOKUP('BMP P Tracking Table'!$R281,'Loading Rates'!$B$1:$L$24,10,FALSE))),"")</f>
        <v/>
      </c>
      <c r="BA281" s="104" t="str">
        <f>IFERROR(IF('BMP P Tracking Table'!$AM281="Yes",MIN(2,IF('BMP P Tracking Table'!$AQ281="Total Pervious",(-(3630*'BMP P Tracking Table'!$AP281+20.691*'BMP P Tracking Table'!$AV281)+SQRT((3630*'BMP P Tracking Table'!$AP281+20.691*'BMP P Tracking Table'!$AV281)^2-(4*(996.798*'BMP P Tracking Table'!$AV281)*-'BMP P Tracking Table'!$AX281)))/(2*(996.798*'BMP P Tracking Table'!$AV281)),IF(SUM('BMP P Tracking Table'!$AR281:$AU281)=0,'BMP P Tracking Table'!$AV281/(-3630*'BMP P Tracking Table'!$AP281),(-(3630*'BMP P Tracking Table'!$AP281+20.691*'BMP P Tracking Table'!$AU281-216.711*'BMP P Tracking Table'!$AT281-83.853*'BMP P Tracking Table'!$AS281-42.834*'BMP P Tracking Table'!$AR281)+SQRT((3630*'BMP P Tracking Table'!$AP281+20.691*'BMP P Tracking Table'!$AU281-216.711*'BMP P Tracking Table'!$AT281-83.853*'BMP P Tracking Table'!$AS281-42.834*'BMP P Tracking Table'!$AR281)^2-(4*(149.919*'BMP P Tracking Table'!$AR281+236.676*'BMP P Tracking Table'!$AS281+726*'BMP P Tracking Table'!$AT281+996.798*'BMP P Tracking Table'!$AU281)*-'BMP P Tracking Table'!$AX281)))/(2*(149.919*'BMP P Tracking Table'!$AR281+236.676*'BMP P Tracking Table'!$AS281+726*'BMP P Tracking Table'!$AT281+996.798*'BMP P Tracking Table'!$AU281))))),MIN(2,IF('BMP P Tracking Table'!$AQ281="Total Pervious",(-(3630*'BMP P Tracking Table'!$V281+20.691*'BMP P Tracking Table'!$AB281)+SQRT((3630*'BMP P Tracking Table'!$V281+20.691*'BMP P Tracking Table'!$AB281)^2-(4*(996.798*'BMP P Tracking Table'!$AB281)*-'BMP P Tracking Table'!$AX281)))/(2*(996.798*'BMP P Tracking Table'!$AB281)),IF(SUM('BMP P Tracking Table'!$X281:$AA281)=0,'BMP P Tracking Table'!$AX281/(-3630*'BMP P Tracking Table'!$V281),(-(3630*'BMP P Tracking Table'!$V281+20.691*'BMP P Tracking Table'!$AA281-216.711*'BMP P Tracking Table'!$Z281-83.853*'BMP P Tracking Table'!$Y281-42.834*'BMP P Tracking Table'!$X281)+SQRT((3630*'BMP P Tracking Table'!$V281+20.691*'BMP P Tracking Table'!$AA281-216.711*'BMP P Tracking Table'!$Z281-83.853*'BMP P Tracking Table'!$Y281-42.834*'BMP P Tracking Table'!$X281)^2-(4*(149.919*'BMP P Tracking Table'!$X281+236.676*'BMP P Tracking Table'!$Y281+726*'BMP P Tracking Table'!$Z281+996.798*'BMP P Tracking Table'!$AA281)*-'BMP P Tracking Table'!$AX281)))/(2*(149.919*'BMP P Tracking Table'!$X281+236.676*'BMP P Tracking Table'!$Y281+726*'BMP P Tracking Table'!$Z281+996.798*'BMP P Tracking Table'!$AA281)))))),"")</f>
        <v/>
      </c>
      <c r="BB281" s="102" t="str">
        <f>IFERROR((VLOOKUP(CONCATENATE('BMP P Tracking Table'!$AW281," ",'BMP P Tracking Table'!$AY281),'Performance Curves'!$C$1:$L$46,_xlfn.SINGLE(MATCH('BMP P Tracking Table'!$BA281,'Performance Curves'!$D$1:$L$1,1))+2,FALSE)-VLOOKUP(CONCATENATE('BMP P Tracking Table'!$AW281," ",'BMP P Tracking Table'!$AY281),'Performance Curves'!$C$1:$L$46,_xlfn.SINGLE(MATCH('BMP P Tracking Table'!$BA281,'Performance Curves'!$D$1:$L$1,1))+1,FALSE)),"")</f>
        <v/>
      </c>
      <c r="BC281" s="102" t="str">
        <f>IFERROR(('BMP P Tracking Table'!$BA281-INDEX('Performance Curves'!$D$1:$L$1,1,MATCH('BMP P Tracking Table'!$BA281,'Performance Curves'!$D$1:$L$1,1)))/(INDEX('Performance Curves'!$D$1:$L$1,1,MATCH('BMP P Tracking Table'!$BA281,'Performance Curves'!$D$1:$L$1,1)+1)-INDEX('Performance Curves'!$D$1:$L$1,1,MATCH('BMP P Tracking Table'!$BA281,'Performance Curves'!$D$1:$L$1,1))),"")</f>
        <v/>
      </c>
      <c r="BD281" s="103" t="str" cm="1">
        <f t="array" ref="BD281">IFERROR(IF('BMP P Tracking Table'!$BA281=2,VLOOKUP(CONCATENATE('BMP P Tracking Table'!$AW281," ",'BMP P Tracking Table'!$AY281),'Performance Curves'!$C$1:$L$44,_xlfn.SINGLE(MATCH('BMP P Tracking Table'!$BA281,'Performance Curves'!$D$1:$L$1,1))+1,FALSE),'BMP P Tracking Table'!$BB281*'BMP P Tracking Table'!$BC281+VLOOKUP(CONCATENATE('BMP P Tracking Table'!$AW281," ",'BMP P Tracking Table'!$AY281),'Performance Curves'!$C$1:$L$44,_xlfn.SINGLE(MATCH('BMP P Tracking Table'!$BA281,'Performance Curves'!$D$1:$L$1,1))+1,FALSE)),"")</f>
        <v/>
      </c>
      <c r="BE281" s="104" t="str">
        <f>IFERROR('BMP P Tracking Table'!$BD281*'BMP P Tracking Table'!$AZ281,"")</f>
        <v/>
      </c>
      <c r="BF281" s="98"/>
      <c r="BG281" s="37">
        <f t="shared" si="36"/>
        <v>0</v>
      </c>
    </row>
    <row r="282" spans="2:59" s="36" customFormat="1">
      <c r="B282" s="65"/>
      <c r="C282" s="65"/>
      <c r="D282" s="65"/>
      <c r="E282" s="65"/>
      <c r="F282" s="94"/>
      <c r="G282" s="94"/>
      <c r="H282" s="65"/>
      <c r="I282" s="65"/>
      <c r="J282" s="65"/>
      <c r="K282" s="95"/>
      <c r="L282" s="65"/>
      <c r="M282" s="65"/>
      <c r="N282" s="65"/>
      <c r="O282" s="65"/>
      <c r="P282" s="65"/>
      <c r="Q282" s="65"/>
      <c r="R282" s="65" t="str">
        <f>IFERROR(VLOOKUP('BMP P Tracking Table'!$Q282,Dropdowns!$C$2:$E$15,3,FALSE),"")</f>
        <v/>
      </c>
      <c r="S282" s="65" t="str">
        <f>IFERROR(VLOOKUP('BMP P Tracking Table'!$R282,Dropdowns!$Q$3:$R$23,2,FALSE),"")</f>
        <v/>
      </c>
      <c r="T282" s="65"/>
      <c r="U282" s="65"/>
      <c r="V282" s="65"/>
      <c r="W282" s="65"/>
      <c r="X282" s="65"/>
      <c r="Y282" s="65"/>
      <c r="Z282" s="65"/>
      <c r="AA282" s="65"/>
      <c r="AB282" s="65"/>
      <c r="AC282" s="97"/>
      <c r="AD282" s="65"/>
      <c r="AE282" s="104" t="str">
        <f>IFERROR('BMP P Tracking Table'!$V282*VLOOKUP('BMP P Tracking Table'!$R282,'Loading Rates'!$B$1:$L$24,4,FALSE)+IF('BMP P Tracking Table'!$W282="By HSG",'BMP P Tracking Table'!$X282*VLOOKUP('BMP P Tracking Table'!$R282,'Loading Rates'!$B$1:$L$24,6,FALSE)+'BMP P Tracking Table'!$Y282*VLOOKUP('BMP P Tracking Table'!$R282,'Loading Rates'!$B$1:$L$24,7,FALSE)+'BMP P Tracking Table'!$Z282*VLOOKUP('BMP P Tracking Table'!$R282,'Loading Rates'!$B$1:$L$24,8,FALSE)+'BMP P Tracking Table'!$AA282*VLOOKUP('BMP P Tracking Table'!$R282,'Loading Rates'!$B$1:$L$24,9,FALSE),'BMP P Tracking Table'!$AB282*VLOOKUP('BMP P Tracking Table'!$R282,'Loading Rates'!$B$1:$L$24,10,FALSE)),"")</f>
        <v/>
      </c>
      <c r="AF282" s="104" t="str">
        <f>IFERROR(MIN(2,IF('BMP P Tracking Table'!$W282="Total Pervious",(-(3630*'BMP P Tracking Table'!$V282+20.691*'BMP P Tracking Table'!$AB282)+SQRT((3630*'BMP P Tracking Table'!$V282+20.691*'BMP P Tracking Table'!$AB282)^2-(4*(996.798*'BMP P Tracking Table'!$AB282)*-'BMP P Tracking Table'!$AC282)))/(2*(996.798*'BMP P Tracking Table'!$AB282)),IF(SUM('BMP P Tracking Table'!$X282:$AA282)=0,'BMP P Tracking Table'!$AC282/(-3630*'BMP P Tracking Table'!$V282),(-(3630*'BMP P Tracking Table'!$V282+20.691*'BMP P Tracking Table'!$AA282-216.711*'BMP P Tracking Table'!$Z282-83.853*'BMP P Tracking Table'!$Y282-42.834*'BMP P Tracking Table'!$X282)+SQRT((3630*'BMP P Tracking Table'!$V282+20.691*'BMP P Tracking Table'!$AA282-216.711*'BMP P Tracking Table'!$Z282-83.853*'BMP P Tracking Table'!$Y282-42.834*'BMP P Tracking Table'!$X282)^2-(4*(149.919*'BMP P Tracking Table'!$X282+236.676*'BMP P Tracking Table'!$Y282+726*'BMP P Tracking Table'!$Z282+996.798*'BMP P Tracking Table'!$AA282)*-'BMP P Tracking Table'!$AC282)))/(2*(149.919*'BMP P Tracking Table'!$X282+236.676*'BMP P Tracking Table'!$Y282+726*'BMP P Tracking Table'!$Z282+996.798*'BMP P Tracking Table'!$AA282))))),"")</f>
        <v/>
      </c>
      <c r="AG282" s="104" t="str">
        <f>IFERROR((VLOOKUP(CONCATENATE('BMP P Tracking Table'!$U282," ",'BMP P Tracking Table'!$AD282),'Performance Curves'!$C$1:$L$46,_xlfn.SINGLE(MATCH('BMP P Tracking Table'!$AF282,'Performance Curves'!$D$1:$L$1,1))+2,FALSE)-VLOOKUP(CONCATENATE('BMP P Tracking Table'!$U282," ",'BMP P Tracking Table'!$AD282),'Performance Curves'!$C$1:$L$46,_xlfn.SINGLE(MATCH('BMP P Tracking Table'!$AF282,'Performance Curves'!$D$1:$L$1,1))+1,FALSE)),"")</f>
        <v/>
      </c>
      <c r="AH282" s="104" t="str">
        <f>IFERROR(('BMP P Tracking Table'!$AF282-INDEX('Performance Curves'!$D$1:$L$1,1,MATCH('BMP P Tracking Table'!$AF282,'Performance Curves'!$D$1:$L$1,1)))/(INDEX('Performance Curves'!$D$1:$L$1,1,MATCH('BMP P Tracking Table'!$AF282,'Performance Curves'!$D$1:$L$1,1)+1)-INDEX('Performance Curves'!$D$1:$L$1,1,MATCH('BMP P Tracking Table'!$AF282,'Performance Curves'!$D$1:$L$1,1))),"")</f>
        <v/>
      </c>
      <c r="AI282" s="103" t="str">
        <f>IFERROR(IF('BMP P Tracking Table'!$AF282=2,VLOOKUP(CONCATENATE('BMP P Tracking Table'!$U282," ",'BMP P Tracking Table'!$AD282),'Performance Curves'!$C$1:$L$46,_xlfn.SINGLE(MATCH('BMP P Tracking Table'!$AF282,'Performance Curves'!$D$1:$L$1,1))+1,FALSE),'BMP P Tracking Table'!$AG282*'BMP P Tracking Table'!$AH282+VLOOKUP(CONCATENATE('BMP P Tracking Table'!$U282," ",'BMP P Tracking Table'!$AD282),'Performance Curves'!$C$1:$L$46,_xlfn.SINGLE(MATCH('BMP P Tracking Table'!$AF282,'Performance Curves'!$D$1:$L$1,1))+1,FALSE)),"")</f>
        <v/>
      </c>
      <c r="AJ282" s="104" t="str">
        <f>IFERROR('BMP P Tracking Table'!$AI282*'BMP P Tracking Table'!$AE282,"")</f>
        <v/>
      </c>
      <c r="AK282" s="65"/>
      <c r="AL282" s="98"/>
      <c r="AM282" s="98"/>
      <c r="AN282" s="64">
        <v>1</v>
      </c>
      <c r="AO282" s="102" t="str">
        <f t="shared" si="35"/>
        <v/>
      </c>
      <c r="AP282" s="98"/>
      <c r="AQ282" s="98"/>
      <c r="AR282" s="98"/>
      <c r="AS282" s="98"/>
      <c r="AT282" s="98"/>
      <c r="AU282" s="98"/>
      <c r="AV282" s="98"/>
      <c r="AW282" s="65"/>
      <c r="AX282" s="99"/>
      <c r="AY282" s="99"/>
      <c r="AZ282" s="104" t="str">
        <f>IF('BMP P Tracking Table'!$AL282="Yes",IF('BMP P Tracking Table'!$AM282="No",'BMP P Tracking Table'!$V282*VLOOKUP('BMP P Tracking Table'!$R282,'Loading Rates'!$B$1:$L$24,4,FALSE)+IF('BMP P Tracking Table'!$W282="By HSG",'BMP P Tracking Table'!$X282*VLOOKUP('BMP P Tracking Table'!$R282,'Loading Rates'!$B$1:$L$24,6,FALSE)+'BMP P Tracking Table'!$Y282*VLOOKUP('BMP P Tracking Table'!$R282,'Loading Rates'!$B$1:$L$24,7,FALSE)+'BMP P Tracking Table'!$Z282*VLOOKUP('BMP P Tracking Table'!$R282,'Loading Rates'!$B$1:$L$24,8,FALSE)+'BMP P Tracking Table'!$AA282*VLOOKUP('BMP P Tracking Table'!$R282,'Loading Rates'!$B$1:$L$24,9,FALSE),'BMP P Tracking Table'!$AB282*VLOOKUP('BMP P Tracking Table'!$R282,'Loading Rates'!$B$1:$L$24,10,FALSE)),'BMP P Tracking Table'!$AP282*VLOOKUP('BMP P Tracking Table'!$R282,'Loading Rates'!$B$1:$L$24,4,FALSE)+IF('BMP P Tracking Table'!$AQ282="By HSG",'BMP P Tracking Table'!$AR282*VLOOKUP('BMP P Tracking Table'!$R282,'Loading Rates'!$B$1:$L$24,6,FALSE)+'BMP P Tracking Table'!$AS282*VLOOKUP('BMP P Tracking Table'!$R282,'Loading Rates'!$B$1:$L$24,7,FALSE)+'BMP P Tracking Table'!$AT282*VLOOKUP('BMP P Tracking Table'!$R282,'Loading Rates'!$B$1:$L$24,8,FALSE)+'BMP P Tracking Table'!$AU282*VLOOKUP('BMP P Tracking Table'!$R282,'Loading Rates'!$B$1:$L$24,9,FALSE),'BMP P Tracking Table'!$AV282*VLOOKUP('BMP P Tracking Table'!$R282,'Loading Rates'!$B$1:$L$24,10,FALSE))),"")</f>
        <v/>
      </c>
      <c r="BA282" s="104" t="str">
        <f>IFERROR(IF('BMP P Tracking Table'!$AM282="Yes",MIN(2,IF('BMP P Tracking Table'!$AQ282="Total Pervious",(-(3630*'BMP P Tracking Table'!$AP282+20.691*'BMP P Tracking Table'!$AV282)+SQRT((3630*'BMP P Tracking Table'!$AP282+20.691*'BMP P Tracking Table'!$AV282)^2-(4*(996.798*'BMP P Tracking Table'!$AV282)*-'BMP P Tracking Table'!$AX282)))/(2*(996.798*'BMP P Tracking Table'!$AV282)),IF(SUM('BMP P Tracking Table'!$AR282:$AU282)=0,'BMP P Tracking Table'!$AV282/(-3630*'BMP P Tracking Table'!$AP282),(-(3630*'BMP P Tracking Table'!$AP282+20.691*'BMP P Tracking Table'!$AU282-216.711*'BMP P Tracking Table'!$AT282-83.853*'BMP P Tracking Table'!$AS282-42.834*'BMP P Tracking Table'!$AR282)+SQRT((3630*'BMP P Tracking Table'!$AP282+20.691*'BMP P Tracking Table'!$AU282-216.711*'BMP P Tracking Table'!$AT282-83.853*'BMP P Tracking Table'!$AS282-42.834*'BMP P Tracking Table'!$AR282)^2-(4*(149.919*'BMP P Tracking Table'!$AR282+236.676*'BMP P Tracking Table'!$AS282+726*'BMP P Tracking Table'!$AT282+996.798*'BMP P Tracking Table'!$AU282)*-'BMP P Tracking Table'!$AX282)))/(2*(149.919*'BMP P Tracking Table'!$AR282+236.676*'BMP P Tracking Table'!$AS282+726*'BMP P Tracking Table'!$AT282+996.798*'BMP P Tracking Table'!$AU282))))),MIN(2,IF('BMP P Tracking Table'!$AQ282="Total Pervious",(-(3630*'BMP P Tracking Table'!$V282+20.691*'BMP P Tracking Table'!$AB282)+SQRT((3630*'BMP P Tracking Table'!$V282+20.691*'BMP P Tracking Table'!$AB282)^2-(4*(996.798*'BMP P Tracking Table'!$AB282)*-'BMP P Tracking Table'!$AX282)))/(2*(996.798*'BMP P Tracking Table'!$AB282)),IF(SUM('BMP P Tracking Table'!$X282:$AA282)=0,'BMP P Tracking Table'!$AX282/(-3630*'BMP P Tracking Table'!$V282),(-(3630*'BMP P Tracking Table'!$V282+20.691*'BMP P Tracking Table'!$AA282-216.711*'BMP P Tracking Table'!$Z282-83.853*'BMP P Tracking Table'!$Y282-42.834*'BMP P Tracking Table'!$X282)+SQRT((3630*'BMP P Tracking Table'!$V282+20.691*'BMP P Tracking Table'!$AA282-216.711*'BMP P Tracking Table'!$Z282-83.853*'BMP P Tracking Table'!$Y282-42.834*'BMP P Tracking Table'!$X282)^2-(4*(149.919*'BMP P Tracking Table'!$X282+236.676*'BMP P Tracking Table'!$Y282+726*'BMP P Tracking Table'!$Z282+996.798*'BMP P Tracking Table'!$AA282)*-'BMP P Tracking Table'!$AX282)))/(2*(149.919*'BMP P Tracking Table'!$X282+236.676*'BMP P Tracking Table'!$Y282+726*'BMP P Tracking Table'!$Z282+996.798*'BMP P Tracking Table'!$AA282)))))),"")</f>
        <v/>
      </c>
      <c r="BB282" s="102" t="str">
        <f>IFERROR((VLOOKUP(CONCATENATE('BMP P Tracking Table'!$AW282," ",'BMP P Tracking Table'!$AY282),'Performance Curves'!$C$1:$L$46,_xlfn.SINGLE(MATCH('BMP P Tracking Table'!$BA282,'Performance Curves'!$D$1:$L$1,1))+2,FALSE)-VLOOKUP(CONCATENATE('BMP P Tracking Table'!$AW282," ",'BMP P Tracking Table'!$AY282),'Performance Curves'!$C$1:$L$46,_xlfn.SINGLE(MATCH('BMP P Tracking Table'!$BA282,'Performance Curves'!$D$1:$L$1,1))+1,FALSE)),"")</f>
        <v/>
      </c>
      <c r="BC282" s="102" t="str">
        <f>IFERROR(('BMP P Tracking Table'!$BA282-INDEX('Performance Curves'!$D$1:$L$1,1,MATCH('BMP P Tracking Table'!$BA282,'Performance Curves'!$D$1:$L$1,1)))/(INDEX('Performance Curves'!$D$1:$L$1,1,MATCH('BMP P Tracking Table'!$BA282,'Performance Curves'!$D$1:$L$1,1)+1)-INDEX('Performance Curves'!$D$1:$L$1,1,MATCH('BMP P Tracking Table'!$BA282,'Performance Curves'!$D$1:$L$1,1))),"")</f>
        <v/>
      </c>
      <c r="BD282" s="103" t="str" cm="1">
        <f t="array" ref="BD282">IFERROR(IF('BMP P Tracking Table'!$BA282=2,VLOOKUP(CONCATENATE('BMP P Tracking Table'!$AW282," ",'BMP P Tracking Table'!$AY282),'Performance Curves'!$C$1:$L$44,_xlfn.SINGLE(MATCH('BMP P Tracking Table'!$BA282,'Performance Curves'!$D$1:$L$1,1))+1,FALSE),'BMP P Tracking Table'!$BB282*'BMP P Tracking Table'!$BC282+VLOOKUP(CONCATENATE('BMP P Tracking Table'!$AW282," ",'BMP P Tracking Table'!$AY282),'Performance Curves'!$C$1:$L$44,_xlfn.SINGLE(MATCH('BMP P Tracking Table'!$BA282,'Performance Curves'!$D$1:$L$1,1))+1,FALSE)),"")</f>
        <v/>
      </c>
      <c r="BE282" s="104" t="str">
        <f>IFERROR('BMP P Tracking Table'!$BD282*'BMP P Tracking Table'!$AZ282,"")</f>
        <v/>
      </c>
      <c r="BF282" s="98"/>
      <c r="BG282" s="37">
        <f t="shared" si="36"/>
        <v>0</v>
      </c>
    </row>
    <row r="283" spans="2:59" s="36" customFormat="1">
      <c r="B283" s="65"/>
      <c r="C283" s="65"/>
      <c r="D283" s="65"/>
      <c r="E283" s="65"/>
      <c r="F283" s="94"/>
      <c r="G283" s="94"/>
      <c r="H283" s="65"/>
      <c r="I283" s="65"/>
      <c r="J283" s="65"/>
      <c r="K283" s="95"/>
      <c r="L283" s="65"/>
      <c r="M283" s="65"/>
      <c r="N283" s="65"/>
      <c r="O283" s="65"/>
      <c r="P283" s="65"/>
      <c r="Q283" s="65"/>
      <c r="R283" s="65" t="str">
        <f>IFERROR(VLOOKUP('BMP P Tracking Table'!$Q283,Dropdowns!$C$2:$E$15,3,FALSE),"")</f>
        <v/>
      </c>
      <c r="S283" s="65" t="str">
        <f>IFERROR(VLOOKUP('BMP P Tracking Table'!$R283,Dropdowns!$Q$3:$R$23,2,FALSE),"")</f>
        <v/>
      </c>
      <c r="T283" s="65"/>
      <c r="U283" s="65"/>
      <c r="V283" s="65"/>
      <c r="W283" s="65"/>
      <c r="X283" s="65"/>
      <c r="Y283" s="65"/>
      <c r="Z283" s="65"/>
      <c r="AA283" s="65"/>
      <c r="AB283" s="65"/>
      <c r="AC283" s="97"/>
      <c r="AD283" s="65"/>
      <c r="AE283" s="104" t="str">
        <f>IFERROR('BMP P Tracking Table'!$V283*VLOOKUP('BMP P Tracking Table'!$R283,'Loading Rates'!$B$1:$L$24,4,FALSE)+IF('BMP P Tracking Table'!$W283="By HSG",'BMP P Tracking Table'!$X283*VLOOKUP('BMP P Tracking Table'!$R283,'Loading Rates'!$B$1:$L$24,6,FALSE)+'BMP P Tracking Table'!$Y283*VLOOKUP('BMP P Tracking Table'!$R283,'Loading Rates'!$B$1:$L$24,7,FALSE)+'BMP P Tracking Table'!$Z283*VLOOKUP('BMP P Tracking Table'!$R283,'Loading Rates'!$B$1:$L$24,8,FALSE)+'BMP P Tracking Table'!$AA283*VLOOKUP('BMP P Tracking Table'!$R283,'Loading Rates'!$B$1:$L$24,9,FALSE),'BMP P Tracking Table'!$AB283*VLOOKUP('BMP P Tracking Table'!$R283,'Loading Rates'!$B$1:$L$24,10,FALSE)),"")</f>
        <v/>
      </c>
      <c r="AF283" s="104" t="str">
        <f>IFERROR(MIN(2,IF('BMP P Tracking Table'!$W283="Total Pervious",(-(3630*'BMP P Tracking Table'!$V283+20.691*'BMP P Tracking Table'!$AB283)+SQRT((3630*'BMP P Tracking Table'!$V283+20.691*'BMP P Tracking Table'!$AB283)^2-(4*(996.798*'BMP P Tracking Table'!$AB283)*-'BMP P Tracking Table'!$AC283)))/(2*(996.798*'BMP P Tracking Table'!$AB283)),IF(SUM('BMP P Tracking Table'!$X283:$AA283)=0,'BMP P Tracking Table'!$AC283/(-3630*'BMP P Tracking Table'!$V283),(-(3630*'BMP P Tracking Table'!$V283+20.691*'BMP P Tracking Table'!$AA283-216.711*'BMP P Tracking Table'!$Z283-83.853*'BMP P Tracking Table'!$Y283-42.834*'BMP P Tracking Table'!$X283)+SQRT((3630*'BMP P Tracking Table'!$V283+20.691*'BMP P Tracking Table'!$AA283-216.711*'BMP P Tracking Table'!$Z283-83.853*'BMP P Tracking Table'!$Y283-42.834*'BMP P Tracking Table'!$X283)^2-(4*(149.919*'BMP P Tracking Table'!$X283+236.676*'BMP P Tracking Table'!$Y283+726*'BMP P Tracking Table'!$Z283+996.798*'BMP P Tracking Table'!$AA283)*-'BMP P Tracking Table'!$AC283)))/(2*(149.919*'BMP P Tracking Table'!$X283+236.676*'BMP P Tracking Table'!$Y283+726*'BMP P Tracking Table'!$Z283+996.798*'BMP P Tracking Table'!$AA283))))),"")</f>
        <v/>
      </c>
      <c r="AG283" s="104" t="str">
        <f>IFERROR((VLOOKUP(CONCATENATE('BMP P Tracking Table'!$U283," ",'BMP P Tracking Table'!$AD283),'Performance Curves'!$C$1:$L$46,_xlfn.SINGLE(MATCH('BMP P Tracking Table'!$AF283,'Performance Curves'!$D$1:$L$1,1))+2,FALSE)-VLOOKUP(CONCATENATE('BMP P Tracking Table'!$U283," ",'BMP P Tracking Table'!$AD283),'Performance Curves'!$C$1:$L$46,_xlfn.SINGLE(MATCH('BMP P Tracking Table'!$AF283,'Performance Curves'!$D$1:$L$1,1))+1,FALSE)),"")</f>
        <v/>
      </c>
      <c r="AH283" s="104" t="str">
        <f>IFERROR(('BMP P Tracking Table'!$AF283-INDEX('Performance Curves'!$D$1:$L$1,1,MATCH('BMP P Tracking Table'!$AF283,'Performance Curves'!$D$1:$L$1,1)))/(INDEX('Performance Curves'!$D$1:$L$1,1,MATCH('BMP P Tracking Table'!$AF283,'Performance Curves'!$D$1:$L$1,1)+1)-INDEX('Performance Curves'!$D$1:$L$1,1,MATCH('BMP P Tracking Table'!$AF283,'Performance Curves'!$D$1:$L$1,1))),"")</f>
        <v/>
      </c>
      <c r="AI283" s="103" t="str">
        <f>IFERROR(IF('BMP P Tracking Table'!$AF283=2,VLOOKUP(CONCATENATE('BMP P Tracking Table'!$U283," ",'BMP P Tracking Table'!$AD283),'Performance Curves'!$C$1:$L$46,_xlfn.SINGLE(MATCH('BMP P Tracking Table'!$AF283,'Performance Curves'!$D$1:$L$1,1))+1,FALSE),'BMP P Tracking Table'!$AG283*'BMP P Tracking Table'!$AH283+VLOOKUP(CONCATENATE('BMP P Tracking Table'!$U283," ",'BMP P Tracking Table'!$AD283),'Performance Curves'!$C$1:$L$46,_xlfn.SINGLE(MATCH('BMP P Tracking Table'!$AF283,'Performance Curves'!$D$1:$L$1,1))+1,FALSE)),"")</f>
        <v/>
      </c>
      <c r="AJ283" s="104" t="str">
        <f>IFERROR('BMP P Tracking Table'!$AI283*'BMP P Tracking Table'!$AE283,"")</f>
        <v/>
      </c>
      <c r="AK283" s="65"/>
      <c r="AL283" s="98"/>
      <c r="AM283" s="98"/>
      <c r="AN283" s="64">
        <v>1</v>
      </c>
      <c r="AO283" s="102" t="str">
        <f t="shared" ref="AO283:AO346" si="37">IF(AL283="Yes",IF(BG283&gt;0,IF(ISBLANK(AK283),AJ283,AK283)-IF(ISBLANK(BF283),BE283,BF283),"Enter Info --&gt;"),IF(ISBLANK(AK283),AJ283,AK283))</f>
        <v/>
      </c>
      <c r="AP283" s="98"/>
      <c r="AQ283" s="98"/>
      <c r="AR283" s="98"/>
      <c r="AS283" s="98"/>
      <c r="AT283" s="98"/>
      <c r="AU283" s="98"/>
      <c r="AV283" s="98"/>
      <c r="AW283" s="65"/>
      <c r="AX283" s="99"/>
      <c r="AY283" s="99"/>
      <c r="AZ283" s="104" t="str">
        <f>IF('BMP P Tracking Table'!$AL283="Yes",IF('BMP P Tracking Table'!$AM283="No",'BMP P Tracking Table'!$V283*VLOOKUP('BMP P Tracking Table'!$R283,'Loading Rates'!$B$1:$L$24,4,FALSE)+IF('BMP P Tracking Table'!$W283="By HSG",'BMP P Tracking Table'!$X283*VLOOKUP('BMP P Tracking Table'!$R283,'Loading Rates'!$B$1:$L$24,6,FALSE)+'BMP P Tracking Table'!$Y283*VLOOKUP('BMP P Tracking Table'!$R283,'Loading Rates'!$B$1:$L$24,7,FALSE)+'BMP P Tracking Table'!$Z283*VLOOKUP('BMP P Tracking Table'!$R283,'Loading Rates'!$B$1:$L$24,8,FALSE)+'BMP P Tracking Table'!$AA283*VLOOKUP('BMP P Tracking Table'!$R283,'Loading Rates'!$B$1:$L$24,9,FALSE),'BMP P Tracking Table'!$AB283*VLOOKUP('BMP P Tracking Table'!$R283,'Loading Rates'!$B$1:$L$24,10,FALSE)),'BMP P Tracking Table'!$AP283*VLOOKUP('BMP P Tracking Table'!$R283,'Loading Rates'!$B$1:$L$24,4,FALSE)+IF('BMP P Tracking Table'!$AQ283="By HSG",'BMP P Tracking Table'!$AR283*VLOOKUP('BMP P Tracking Table'!$R283,'Loading Rates'!$B$1:$L$24,6,FALSE)+'BMP P Tracking Table'!$AS283*VLOOKUP('BMP P Tracking Table'!$R283,'Loading Rates'!$B$1:$L$24,7,FALSE)+'BMP P Tracking Table'!$AT283*VLOOKUP('BMP P Tracking Table'!$R283,'Loading Rates'!$B$1:$L$24,8,FALSE)+'BMP P Tracking Table'!$AU283*VLOOKUP('BMP P Tracking Table'!$R283,'Loading Rates'!$B$1:$L$24,9,FALSE),'BMP P Tracking Table'!$AV283*VLOOKUP('BMP P Tracking Table'!$R283,'Loading Rates'!$B$1:$L$24,10,FALSE))),"")</f>
        <v/>
      </c>
      <c r="BA283" s="104" t="str">
        <f>IFERROR(IF('BMP P Tracking Table'!$AM283="Yes",MIN(2,IF('BMP P Tracking Table'!$AQ283="Total Pervious",(-(3630*'BMP P Tracking Table'!$AP283+20.691*'BMP P Tracking Table'!$AV283)+SQRT((3630*'BMP P Tracking Table'!$AP283+20.691*'BMP P Tracking Table'!$AV283)^2-(4*(996.798*'BMP P Tracking Table'!$AV283)*-'BMP P Tracking Table'!$AX283)))/(2*(996.798*'BMP P Tracking Table'!$AV283)),IF(SUM('BMP P Tracking Table'!$AR283:$AU283)=0,'BMP P Tracking Table'!$AV283/(-3630*'BMP P Tracking Table'!$AP283),(-(3630*'BMP P Tracking Table'!$AP283+20.691*'BMP P Tracking Table'!$AU283-216.711*'BMP P Tracking Table'!$AT283-83.853*'BMP P Tracking Table'!$AS283-42.834*'BMP P Tracking Table'!$AR283)+SQRT((3630*'BMP P Tracking Table'!$AP283+20.691*'BMP P Tracking Table'!$AU283-216.711*'BMP P Tracking Table'!$AT283-83.853*'BMP P Tracking Table'!$AS283-42.834*'BMP P Tracking Table'!$AR283)^2-(4*(149.919*'BMP P Tracking Table'!$AR283+236.676*'BMP P Tracking Table'!$AS283+726*'BMP P Tracking Table'!$AT283+996.798*'BMP P Tracking Table'!$AU283)*-'BMP P Tracking Table'!$AX283)))/(2*(149.919*'BMP P Tracking Table'!$AR283+236.676*'BMP P Tracking Table'!$AS283+726*'BMP P Tracking Table'!$AT283+996.798*'BMP P Tracking Table'!$AU283))))),MIN(2,IF('BMP P Tracking Table'!$AQ283="Total Pervious",(-(3630*'BMP P Tracking Table'!$V283+20.691*'BMP P Tracking Table'!$AB283)+SQRT((3630*'BMP P Tracking Table'!$V283+20.691*'BMP P Tracking Table'!$AB283)^2-(4*(996.798*'BMP P Tracking Table'!$AB283)*-'BMP P Tracking Table'!$AX283)))/(2*(996.798*'BMP P Tracking Table'!$AB283)),IF(SUM('BMP P Tracking Table'!$X283:$AA283)=0,'BMP P Tracking Table'!$AX283/(-3630*'BMP P Tracking Table'!$V283),(-(3630*'BMP P Tracking Table'!$V283+20.691*'BMP P Tracking Table'!$AA283-216.711*'BMP P Tracking Table'!$Z283-83.853*'BMP P Tracking Table'!$Y283-42.834*'BMP P Tracking Table'!$X283)+SQRT((3630*'BMP P Tracking Table'!$V283+20.691*'BMP P Tracking Table'!$AA283-216.711*'BMP P Tracking Table'!$Z283-83.853*'BMP P Tracking Table'!$Y283-42.834*'BMP P Tracking Table'!$X283)^2-(4*(149.919*'BMP P Tracking Table'!$X283+236.676*'BMP P Tracking Table'!$Y283+726*'BMP P Tracking Table'!$Z283+996.798*'BMP P Tracking Table'!$AA283)*-'BMP P Tracking Table'!$AX283)))/(2*(149.919*'BMP P Tracking Table'!$X283+236.676*'BMP P Tracking Table'!$Y283+726*'BMP P Tracking Table'!$Z283+996.798*'BMP P Tracking Table'!$AA283)))))),"")</f>
        <v/>
      </c>
      <c r="BB283" s="102" t="str">
        <f>IFERROR((VLOOKUP(CONCATENATE('BMP P Tracking Table'!$AW283," ",'BMP P Tracking Table'!$AY283),'Performance Curves'!$C$1:$L$46,_xlfn.SINGLE(MATCH('BMP P Tracking Table'!$BA283,'Performance Curves'!$D$1:$L$1,1))+2,FALSE)-VLOOKUP(CONCATENATE('BMP P Tracking Table'!$AW283," ",'BMP P Tracking Table'!$AY283),'Performance Curves'!$C$1:$L$46,_xlfn.SINGLE(MATCH('BMP P Tracking Table'!$BA283,'Performance Curves'!$D$1:$L$1,1))+1,FALSE)),"")</f>
        <v/>
      </c>
      <c r="BC283" s="102" t="str">
        <f>IFERROR(('BMP P Tracking Table'!$BA283-INDEX('Performance Curves'!$D$1:$L$1,1,MATCH('BMP P Tracking Table'!$BA283,'Performance Curves'!$D$1:$L$1,1)))/(INDEX('Performance Curves'!$D$1:$L$1,1,MATCH('BMP P Tracking Table'!$BA283,'Performance Curves'!$D$1:$L$1,1)+1)-INDEX('Performance Curves'!$D$1:$L$1,1,MATCH('BMP P Tracking Table'!$BA283,'Performance Curves'!$D$1:$L$1,1))),"")</f>
        <v/>
      </c>
      <c r="BD283" s="103" t="str" cm="1">
        <f t="array" ref="BD283">IFERROR(IF('BMP P Tracking Table'!$BA283=2,VLOOKUP(CONCATENATE('BMP P Tracking Table'!$AW283," ",'BMP P Tracking Table'!$AY283),'Performance Curves'!$C$1:$L$44,_xlfn.SINGLE(MATCH('BMP P Tracking Table'!$BA283,'Performance Curves'!$D$1:$L$1,1))+1,FALSE),'BMP P Tracking Table'!$BB283*'BMP P Tracking Table'!$BC283+VLOOKUP(CONCATENATE('BMP P Tracking Table'!$AW283," ",'BMP P Tracking Table'!$AY283),'Performance Curves'!$C$1:$L$44,_xlfn.SINGLE(MATCH('BMP P Tracking Table'!$BA283,'Performance Curves'!$D$1:$L$1,1))+1,FALSE)),"")</f>
        <v/>
      </c>
      <c r="BE283" s="104" t="str">
        <f>IFERROR('BMP P Tracking Table'!$BD283*'BMP P Tracking Table'!$AZ283,"")</f>
        <v/>
      </c>
      <c r="BF283" s="98"/>
      <c r="BG283" s="37">
        <f t="shared" si="36"/>
        <v>0</v>
      </c>
    </row>
    <row r="284" spans="2:59" s="36" customFormat="1">
      <c r="B284" s="65"/>
      <c r="C284" s="65"/>
      <c r="D284" s="65"/>
      <c r="E284" s="65"/>
      <c r="F284" s="94"/>
      <c r="G284" s="94"/>
      <c r="H284" s="65"/>
      <c r="I284" s="65"/>
      <c r="J284" s="65"/>
      <c r="K284" s="95"/>
      <c r="L284" s="65"/>
      <c r="M284" s="65"/>
      <c r="N284" s="65"/>
      <c r="O284" s="65"/>
      <c r="P284" s="65"/>
      <c r="Q284" s="65"/>
      <c r="R284" s="65" t="str">
        <f>IFERROR(VLOOKUP('BMP P Tracking Table'!$Q284,Dropdowns!$C$2:$E$15,3,FALSE),"")</f>
        <v/>
      </c>
      <c r="S284" s="65" t="str">
        <f>IFERROR(VLOOKUP('BMP P Tracking Table'!$R284,Dropdowns!$Q$3:$R$23,2,FALSE),"")</f>
        <v/>
      </c>
      <c r="T284" s="65"/>
      <c r="U284" s="65"/>
      <c r="V284" s="65"/>
      <c r="W284" s="65"/>
      <c r="X284" s="65"/>
      <c r="Y284" s="65"/>
      <c r="Z284" s="65"/>
      <c r="AA284" s="65"/>
      <c r="AB284" s="65"/>
      <c r="AC284" s="97"/>
      <c r="AD284" s="65"/>
      <c r="AE284" s="104" t="str">
        <f>IFERROR('BMP P Tracking Table'!$V284*VLOOKUP('BMP P Tracking Table'!$R284,'Loading Rates'!$B$1:$L$24,4,FALSE)+IF('BMP P Tracking Table'!$W284="By HSG",'BMP P Tracking Table'!$X284*VLOOKUP('BMP P Tracking Table'!$R284,'Loading Rates'!$B$1:$L$24,6,FALSE)+'BMP P Tracking Table'!$Y284*VLOOKUP('BMP P Tracking Table'!$R284,'Loading Rates'!$B$1:$L$24,7,FALSE)+'BMP P Tracking Table'!$Z284*VLOOKUP('BMP P Tracking Table'!$R284,'Loading Rates'!$B$1:$L$24,8,FALSE)+'BMP P Tracking Table'!$AA284*VLOOKUP('BMP P Tracking Table'!$R284,'Loading Rates'!$B$1:$L$24,9,FALSE),'BMP P Tracking Table'!$AB284*VLOOKUP('BMP P Tracking Table'!$R284,'Loading Rates'!$B$1:$L$24,10,FALSE)),"")</f>
        <v/>
      </c>
      <c r="AF284" s="104" t="str">
        <f>IFERROR(MIN(2,IF('BMP P Tracking Table'!$W284="Total Pervious",(-(3630*'BMP P Tracking Table'!$V284+20.691*'BMP P Tracking Table'!$AB284)+SQRT((3630*'BMP P Tracking Table'!$V284+20.691*'BMP P Tracking Table'!$AB284)^2-(4*(996.798*'BMP P Tracking Table'!$AB284)*-'BMP P Tracking Table'!$AC284)))/(2*(996.798*'BMP P Tracking Table'!$AB284)),IF(SUM('BMP P Tracking Table'!$X284:$AA284)=0,'BMP P Tracking Table'!$AC284/(-3630*'BMP P Tracking Table'!$V284),(-(3630*'BMP P Tracking Table'!$V284+20.691*'BMP P Tracking Table'!$AA284-216.711*'BMP P Tracking Table'!$Z284-83.853*'BMP P Tracking Table'!$Y284-42.834*'BMP P Tracking Table'!$X284)+SQRT((3630*'BMP P Tracking Table'!$V284+20.691*'BMP P Tracking Table'!$AA284-216.711*'BMP P Tracking Table'!$Z284-83.853*'BMP P Tracking Table'!$Y284-42.834*'BMP P Tracking Table'!$X284)^2-(4*(149.919*'BMP P Tracking Table'!$X284+236.676*'BMP P Tracking Table'!$Y284+726*'BMP P Tracking Table'!$Z284+996.798*'BMP P Tracking Table'!$AA284)*-'BMP P Tracking Table'!$AC284)))/(2*(149.919*'BMP P Tracking Table'!$X284+236.676*'BMP P Tracking Table'!$Y284+726*'BMP P Tracking Table'!$Z284+996.798*'BMP P Tracking Table'!$AA284))))),"")</f>
        <v/>
      </c>
      <c r="AG284" s="104" t="str">
        <f>IFERROR((VLOOKUP(CONCATENATE('BMP P Tracking Table'!$U284," ",'BMP P Tracking Table'!$AD284),'Performance Curves'!$C$1:$L$46,_xlfn.SINGLE(MATCH('BMP P Tracking Table'!$AF284,'Performance Curves'!$D$1:$L$1,1))+2,FALSE)-VLOOKUP(CONCATENATE('BMP P Tracking Table'!$U284," ",'BMP P Tracking Table'!$AD284),'Performance Curves'!$C$1:$L$46,_xlfn.SINGLE(MATCH('BMP P Tracking Table'!$AF284,'Performance Curves'!$D$1:$L$1,1))+1,FALSE)),"")</f>
        <v/>
      </c>
      <c r="AH284" s="104" t="str">
        <f>IFERROR(('BMP P Tracking Table'!$AF284-INDEX('Performance Curves'!$D$1:$L$1,1,MATCH('BMP P Tracking Table'!$AF284,'Performance Curves'!$D$1:$L$1,1)))/(INDEX('Performance Curves'!$D$1:$L$1,1,MATCH('BMP P Tracking Table'!$AF284,'Performance Curves'!$D$1:$L$1,1)+1)-INDEX('Performance Curves'!$D$1:$L$1,1,MATCH('BMP P Tracking Table'!$AF284,'Performance Curves'!$D$1:$L$1,1))),"")</f>
        <v/>
      </c>
      <c r="AI284" s="103" t="str">
        <f>IFERROR(IF('BMP P Tracking Table'!$AF284=2,VLOOKUP(CONCATENATE('BMP P Tracking Table'!$U284," ",'BMP P Tracking Table'!$AD284),'Performance Curves'!$C$1:$L$46,_xlfn.SINGLE(MATCH('BMP P Tracking Table'!$AF284,'Performance Curves'!$D$1:$L$1,1))+1,FALSE),'BMP P Tracking Table'!$AG284*'BMP P Tracking Table'!$AH284+VLOOKUP(CONCATENATE('BMP P Tracking Table'!$U284," ",'BMP P Tracking Table'!$AD284),'Performance Curves'!$C$1:$L$46,_xlfn.SINGLE(MATCH('BMP P Tracking Table'!$AF284,'Performance Curves'!$D$1:$L$1,1))+1,FALSE)),"")</f>
        <v/>
      </c>
      <c r="AJ284" s="104" t="str">
        <f>IFERROR('BMP P Tracking Table'!$AI284*'BMP P Tracking Table'!$AE284,"")</f>
        <v/>
      </c>
      <c r="AK284" s="65"/>
      <c r="AL284" s="98"/>
      <c r="AM284" s="98"/>
      <c r="AN284" s="64">
        <v>1</v>
      </c>
      <c r="AO284" s="102" t="str">
        <f t="shared" si="37"/>
        <v/>
      </c>
      <c r="AP284" s="98"/>
      <c r="AQ284" s="98"/>
      <c r="AR284" s="98"/>
      <c r="AS284" s="98"/>
      <c r="AT284" s="98"/>
      <c r="AU284" s="98"/>
      <c r="AV284" s="98"/>
      <c r="AW284" s="65"/>
      <c r="AX284" s="99"/>
      <c r="AY284" s="99"/>
      <c r="AZ284" s="104" t="str">
        <f>IF('BMP P Tracking Table'!$AL284="Yes",IF('BMP P Tracking Table'!$AM284="No",'BMP P Tracking Table'!$V284*VLOOKUP('BMP P Tracking Table'!$R284,'Loading Rates'!$B$1:$L$24,4,FALSE)+IF('BMP P Tracking Table'!$W284="By HSG",'BMP P Tracking Table'!$X284*VLOOKUP('BMP P Tracking Table'!$R284,'Loading Rates'!$B$1:$L$24,6,FALSE)+'BMP P Tracking Table'!$Y284*VLOOKUP('BMP P Tracking Table'!$R284,'Loading Rates'!$B$1:$L$24,7,FALSE)+'BMP P Tracking Table'!$Z284*VLOOKUP('BMP P Tracking Table'!$R284,'Loading Rates'!$B$1:$L$24,8,FALSE)+'BMP P Tracking Table'!$AA284*VLOOKUP('BMP P Tracking Table'!$R284,'Loading Rates'!$B$1:$L$24,9,FALSE),'BMP P Tracking Table'!$AB284*VLOOKUP('BMP P Tracking Table'!$R284,'Loading Rates'!$B$1:$L$24,10,FALSE)),'BMP P Tracking Table'!$AP284*VLOOKUP('BMP P Tracking Table'!$R284,'Loading Rates'!$B$1:$L$24,4,FALSE)+IF('BMP P Tracking Table'!$AQ284="By HSG",'BMP P Tracking Table'!$AR284*VLOOKUP('BMP P Tracking Table'!$R284,'Loading Rates'!$B$1:$L$24,6,FALSE)+'BMP P Tracking Table'!$AS284*VLOOKUP('BMP P Tracking Table'!$R284,'Loading Rates'!$B$1:$L$24,7,FALSE)+'BMP P Tracking Table'!$AT284*VLOOKUP('BMP P Tracking Table'!$R284,'Loading Rates'!$B$1:$L$24,8,FALSE)+'BMP P Tracking Table'!$AU284*VLOOKUP('BMP P Tracking Table'!$R284,'Loading Rates'!$B$1:$L$24,9,FALSE),'BMP P Tracking Table'!$AV284*VLOOKUP('BMP P Tracking Table'!$R284,'Loading Rates'!$B$1:$L$24,10,FALSE))),"")</f>
        <v/>
      </c>
      <c r="BA284" s="104" t="str">
        <f>IFERROR(IF('BMP P Tracking Table'!$AM284="Yes",MIN(2,IF('BMP P Tracking Table'!$AQ284="Total Pervious",(-(3630*'BMP P Tracking Table'!$AP284+20.691*'BMP P Tracking Table'!$AV284)+SQRT((3630*'BMP P Tracking Table'!$AP284+20.691*'BMP P Tracking Table'!$AV284)^2-(4*(996.798*'BMP P Tracking Table'!$AV284)*-'BMP P Tracking Table'!$AX284)))/(2*(996.798*'BMP P Tracking Table'!$AV284)),IF(SUM('BMP P Tracking Table'!$AR284:$AU284)=0,'BMP P Tracking Table'!$AV284/(-3630*'BMP P Tracking Table'!$AP284),(-(3630*'BMP P Tracking Table'!$AP284+20.691*'BMP P Tracking Table'!$AU284-216.711*'BMP P Tracking Table'!$AT284-83.853*'BMP P Tracking Table'!$AS284-42.834*'BMP P Tracking Table'!$AR284)+SQRT((3630*'BMP P Tracking Table'!$AP284+20.691*'BMP P Tracking Table'!$AU284-216.711*'BMP P Tracking Table'!$AT284-83.853*'BMP P Tracking Table'!$AS284-42.834*'BMP P Tracking Table'!$AR284)^2-(4*(149.919*'BMP P Tracking Table'!$AR284+236.676*'BMP P Tracking Table'!$AS284+726*'BMP P Tracking Table'!$AT284+996.798*'BMP P Tracking Table'!$AU284)*-'BMP P Tracking Table'!$AX284)))/(2*(149.919*'BMP P Tracking Table'!$AR284+236.676*'BMP P Tracking Table'!$AS284+726*'BMP P Tracking Table'!$AT284+996.798*'BMP P Tracking Table'!$AU284))))),MIN(2,IF('BMP P Tracking Table'!$AQ284="Total Pervious",(-(3630*'BMP P Tracking Table'!$V284+20.691*'BMP P Tracking Table'!$AB284)+SQRT((3630*'BMP P Tracking Table'!$V284+20.691*'BMP P Tracking Table'!$AB284)^2-(4*(996.798*'BMP P Tracking Table'!$AB284)*-'BMP P Tracking Table'!$AX284)))/(2*(996.798*'BMP P Tracking Table'!$AB284)),IF(SUM('BMP P Tracking Table'!$X284:$AA284)=0,'BMP P Tracking Table'!$AX284/(-3630*'BMP P Tracking Table'!$V284),(-(3630*'BMP P Tracking Table'!$V284+20.691*'BMP P Tracking Table'!$AA284-216.711*'BMP P Tracking Table'!$Z284-83.853*'BMP P Tracking Table'!$Y284-42.834*'BMP P Tracking Table'!$X284)+SQRT((3630*'BMP P Tracking Table'!$V284+20.691*'BMP P Tracking Table'!$AA284-216.711*'BMP P Tracking Table'!$Z284-83.853*'BMP P Tracking Table'!$Y284-42.834*'BMP P Tracking Table'!$X284)^2-(4*(149.919*'BMP P Tracking Table'!$X284+236.676*'BMP P Tracking Table'!$Y284+726*'BMP P Tracking Table'!$Z284+996.798*'BMP P Tracking Table'!$AA284)*-'BMP P Tracking Table'!$AX284)))/(2*(149.919*'BMP P Tracking Table'!$X284+236.676*'BMP P Tracking Table'!$Y284+726*'BMP P Tracking Table'!$Z284+996.798*'BMP P Tracking Table'!$AA284)))))),"")</f>
        <v/>
      </c>
      <c r="BB284" s="102" t="str">
        <f>IFERROR((VLOOKUP(CONCATENATE('BMP P Tracking Table'!$AW284," ",'BMP P Tracking Table'!$AY284),'Performance Curves'!$C$1:$L$46,_xlfn.SINGLE(MATCH('BMP P Tracking Table'!$BA284,'Performance Curves'!$D$1:$L$1,1))+2,FALSE)-VLOOKUP(CONCATENATE('BMP P Tracking Table'!$AW284," ",'BMP P Tracking Table'!$AY284),'Performance Curves'!$C$1:$L$46,_xlfn.SINGLE(MATCH('BMP P Tracking Table'!$BA284,'Performance Curves'!$D$1:$L$1,1))+1,FALSE)),"")</f>
        <v/>
      </c>
      <c r="BC284" s="102" t="str">
        <f>IFERROR(('BMP P Tracking Table'!$BA284-INDEX('Performance Curves'!$D$1:$L$1,1,MATCH('BMP P Tracking Table'!$BA284,'Performance Curves'!$D$1:$L$1,1)))/(INDEX('Performance Curves'!$D$1:$L$1,1,MATCH('BMP P Tracking Table'!$BA284,'Performance Curves'!$D$1:$L$1,1)+1)-INDEX('Performance Curves'!$D$1:$L$1,1,MATCH('BMP P Tracking Table'!$BA284,'Performance Curves'!$D$1:$L$1,1))),"")</f>
        <v/>
      </c>
      <c r="BD284" s="103" t="str" cm="1">
        <f t="array" ref="BD284">IFERROR(IF('BMP P Tracking Table'!$BA284=2,VLOOKUP(CONCATENATE('BMP P Tracking Table'!$AW284," ",'BMP P Tracking Table'!$AY284),'Performance Curves'!$C$1:$L$44,_xlfn.SINGLE(MATCH('BMP P Tracking Table'!$BA284,'Performance Curves'!$D$1:$L$1,1))+1,FALSE),'BMP P Tracking Table'!$BB284*'BMP P Tracking Table'!$BC284+VLOOKUP(CONCATENATE('BMP P Tracking Table'!$AW284," ",'BMP P Tracking Table'!$AY284),'Performance Curves'!$C$1:$L$44,_xlfn.SINGLE(MATCH('BMP P Tracking Table'!$BA284,'Performance Curves'!$D$1:$L$1,1))+1,FALSE)),"")</f>
        <v/>
      </c>
      <c r="BE284" s="104" t="str">
        <f>IFERROR('BMP P Tracking Table'!$BD284*'BMP P Tracking Table'!$AZ284,"")</f>
        <v/>
      </c>
      <c r="BF284" s="98"/>
      <c r="BG284" s="37">
        <f t="shared" si="36"/>
        <v>0</v>
      </c>
    </row>
    <row r="285" spans="2:59" s="36" customFormat="1">
      <c r="B285" s="65"/>
      <c r="C285" s="65"/>
      <c r="D285" s="65"/>
      <c r="E285" s="65"/>
      <c r="F285" s="94"/>
      <c r="G285" s="94"/>
      <c r="H285" s="65"/>
      <c r="I285" s="65"/>
      <c r="J285" s="65"/>
      <c r="K285" s="95"/>
      <c r="L285" s="65"/>
      <c r="M285" s="65"/>
      <c r="N285" s="65"/>
      <c r="O285" s="65"/>
      <c r="P285" s="65"/>
      <c r="Q285" s="65"/>
      <c r="R285" s="65" t="str">
        <f>IFERROR(VLOOKUP('BMP P Tracking Table'!$Q285,Dropdowns!$C$2:$E$15,3,FALSE),"")</f>
        <v/>
      </c>
      <c r="S285" s="65" t="str">
        <f>IFERROR(VLOOKUP('BMP P Tracking Table'!$R285,Dropdowns!$Q$3:$R$23,2,FALSE),"")</f>
        <v/>
      </c>
      <c r="T285" s="65"/>
      <c r="U285" s="65"/>
      <c r="V285" s="65"/>
      <c r="W285" s="65"/>
      <c r="X285" s="65"/>
      <c r="Y285" s="65"/>
      <c r="Z285" s="65"/>
      <c r="AA285" s="65"/>
      <c r="AB285" s="65"/>
      <c r="AC285" s="97"/>
      <c r="AD285" s="65"/>
      <c r="AE285" s="104" t="str">
        <f>IFERROR('BMP P Tracking Table'!$V285*VLOOKUP('BMP P Tracking Table'!$R285,'Loading Rates'!$B$1:$L$24,4,FALSE)+IF('BMP P Tracking Table'!$W285="By HSG",'BMP P Tracking Table'!$X285*VLOOKUP('BMP P Tracking Table'!$R285,'Loading Rates'!$B$1:$L$24,6,FALSE)+'BMP P Tracking Table'!$Y285*VLOOKUP('BMP P Tracking Table'!$R285,'Loading Rates'!$B$1:$L$24,7,FALSE)+'BMP P Tracking Table'!$Z285*VLOOKUP('BMP P Tracking Table'!$R285,'Loading Rates'!$B$1:$L$24,8,FALSE)+'BMP P Tracking Table'!$AA285*VLOOKUP('BMP P Tracking Table'!$R285,'Loading Rates'!$B$1:$L$24,9,FALSE),'BMP P Tracking Table'!$AB285*VLOOKUP('BMP P Tracking Table'!$R285,'Loading Rates'!$B$1:$L$24,10,FALSE)),"")</f>
        <v/>
      </c>
      <c r="AF285" s="104" t="str">
        <f>IFERROR(MIN(2,IF('BMP P Tracking Table'!$W285="Total Pervious",(-(3630*'BMP P Tracking Table'!$V285+20.691*'BMP P Tracking Table'!$AB285)+SQRT((3630*'BMP P Tracking Table'!$V285+20.691*'BMP P Tracking Table'!$AB285)^2-(4*(996.798*'BMP P Tracking Table'!$AB285)*-'BMP P Tracking Table'!$AC285)))/(2*(996.798*'BMP P Tracking Table'!$AB285)),IF(SUM('BMP P Tracking Table'!$X285:$AA285)=0,'BMP P Tracking Table'!$AC285/(-3630*'BMP P Tracking Table'!$V285),(-(3630*'BMP P Tracking Table'!$V285+20.691*'BMP P Tracking Table'!$AA285-216.711*'BMP P Tracking Table'!$Z285-83.853*'BMP P Tracking Table'!$Y285-42.834*'BMP P Tracking Table'!$X285)+SQRT((3630*'BMP P Tracking Table'!$V285+20.691*'BMP P Tracking Table'!$AA285-216.711*'BMP P Tracking Table'!$Z285-83.853*'BMP P Tracking Table'!$Y285-42.834*'BMP P Tracking Table'!$X285)^2-(4*(149.919*'BMP P Tracking Table'!$X285+236.676*'BMP P Tracking Table'!$Y285+726*'BMP P Tracking Table'!$Z285+996.798*'BMP P Tracking Table'!$AA285)*-'BMP P Tracking Table'!$AC285)))/(2*(149.919*'BMP P Tracking Table'!$X285+236.676*'BMP P Tracking Table'!$Y285+726*'BMP P Tracking Table'!$Z285+996.798*'BMP P Tracking Table'!$AA285))))),"")</f>
        <v/>
      </c>
      <c r="AG285" s="104" t="str">
        <f>IFERROR((VLOOKUP(CONCATENATE('BMP P Tracking Table'!$U285," ",'BMP P Tracking Table'!$AD285),'Performance Curves'!$C$1:$L$46,_xlfn.SINGLE(MATCH('BMP P Tracking Table'!$AF285,'Performance Curves'!$D$1:$L$1,1))+2,FALSE)-VLOOKUP(CONCATENATE('BMP P Tracking Table'!$U285," ",'BMP P Tracking Table'!$AD285),'Performance Curves'!$C$1:$L$46,_xlfn.SINGLE(MATCH('BMP P Tracking Table'!$AF285,'Performance Curves'!$D$1:$L$1,1))+1,FALSE)),"")</f>
        <v/>
      </c>
      <c r="AH285" s="104" t="str">
        <f>IFERROR(('BMP P Tracking Table'!$AF285-INDEX('Performance Curves'!$D$1:$L$1,1,MATCH('BMP P Tracking Table'!$AF285,'Performance Curves'!$D$1:$L$1,1)))/(INDEX('Performance Curves'!$D$1:$L$1,1,MATCH('BMP P Tracking Table'!$AF285,'Performance Curves'!$D$1:$L$1,1)+1)-INDEX('Performance Curves'!$D$1:$L$1,1,MATCH('BMP P Tracking Table'!$AF285,'Performance Curves'!$D$1:$L$1,1))),"")</f>
        <v/>
      </c>
      <c r="AI285" s="103" t="str">
        <f>IFERROR(IF('BMP P Tracking Table'!$AF285=2,VLOOKUP(CONCATENATE('BMP P Tracking Table'!$U285," ",'BMP P Tracking Table'!$AD285),'Performance Curves'!$C$1:$L$46,_xlfn.SINGLE(MATCH('BMP P Tracking Table'!$AF285,'Performance Curves'!$D$1:$L$1,1))+1,FALSE),'BMP P Tracking Table'!$AG285*'BMP P Tracking Table'!$AH285+VLOOKUP(CONCATENATE('BMP P Tracking Table'!$U285," ",'BMP P Tracking Table'!$AD285),'Performance Curves'!$C$1:$L$46,_xlfn.SINGLE(MATCH('BMP P Tracking Table'!$AF285,'Performance Curves'!$D$1:$L$1,1))+1,FALSE)),"")</f>
        <v/>
      </c>
      <c r="AJ285" s="104" t="str">
        <f>IFERROR('BMP P Tracking Table'!$AI285*'BMP P Tracking Table'!$AE285,"")</f>
        <v/>
      </c>
      <c r="AK285" s="65"/>
      <c r="AL285" s="98"/>
      <c r="AM285" s="98"/>
      <c r="AN285" s="64">
        <v>1</v>
      </c>
      <c r="AO285" s="102" t="str">
        <f t="shared" si="37"/>
        <v/>
      </c>
      <c r="AP285" s="98"/>
      <c r="AQ285" s="98"/>
      <c r="AR285" s="98"/>
      <c r="AS285" s="98"/>
      <c r="AT285" s="98"/>
      <c r="AU285" s="98"/>
      <c r="AV285" s="98"/>
      <c r="AW285" s="65"/>
      <c r="AX285" s="99"/>
      <c r="AY285" s="99"/>
      <c r="AZ285" s="104" t="str">
        <f>IF('BMP P Tracking Table'!$AL285="Yes",IF('BMP P Tracking Table'!$AM285="No",'BMP P Tracking Table'!$V285*VLOOKUP('BMP P Tracking Table'!$R285,'Loading Rates'!$B$1:$L$24,4,FALSE)+IF('BMP P Tracking Table'!$W285="By HSG",'BMP P Tracking Table'!$X285*VLOOKUP('BMP P Tracking Table'!$R285,'Loading Rates'!$B$1:$L$24,6,FALSE)+'BMP P Tracking Table'!$Y285*VLOOKUP('BMP P Tracking Table'!$R285,'Loading Rates'!$B$1:$L$24,7,FALSE)+'BMP P Tracking Table'!$Z285*VLOOKUP('BMP P Tracking Table'!$R285,'Loading Rates'!$B$1:$L$24,8,FALSE)+'BMP P Tracking Table'!$AA285*VLOOKUP('BMP P Tracking Table'!$R285,'Loading Rates'!$B$1:$L$24,9,FALSE),'BMP P Tracking Table'!$AB285*VLOOKUP('BMP P Tracking Table'!$R285,'Loading Rates'!$B$1:$L$24,10,FALSE)),'BMP P Tracking Table'!$AP285*VLOOKUP('BMP P Tracking Table'!$R285,'Loading Rates'!$B$1:$L$24,4,FALSE)+IF('BMP P Tracking Table'!$AQ285="By HSG",'BMP P Tracking Table'!$AR285*VLOOKUP('BMP P Tracking Table'!$R285,'Loading Rates'!$B$1:$L$24,6,FALSE)+'BMP P Tracking Table'!$AS285*VLOOKUP('BMP P Tracking Table'!$R285,'Loading Rates'!$B$1:$L$24,7,FALSE)+'BMP P Tracking Table'!$AT285*VLOOKUP('BMP P Tracking Table'!$R285,'Loading Rates'!$B$1:$L$24,8,FALSE)+'BMP P Tracking Table'!$AU285*VLOOKUP('BMP P Tracking Table'!$R285,'Loading Rates'!$B$1:$L$24,9,FALSE),'BMP P Tracking Table'!$AV285*VLOOKUP('BMP P Tracking Table'!$R285,'Loading Rates'!$B$1:$L$24,10,FALSE))),"")</f>
        <v/>
      </c>
      <c r="BA285" s="104" t="str">
        <f>IFERROR(IF('BMP P Tracking Table'!$AM285="Yes",MIN(2,IF('BMP P Tracking Table'!$AQ285="Total Pervious",(-(3630*'BMP P Tracking Table'!$AP285+20.691*'BMP P Tracking Table'!$AV285)+SQRT((3630*'BMP P Tracking Table'!$AP285+20.691*'BMP P Tracking Table'!$AV285)^2-(4*(996.798*'BMP P Tracking Table'!$AV285)*-'BMP P Tracking Table'!$AX285)))/(2*(996.798*'BMP P Tracking Table'!$AV285)),IF(SUM('BMP P Tracking Table'!$AR285:$AU285)=0,'BMP P Tracking Table'!$AV285/(-3630*'BMP P Tracking Table'!$AP285),(-(3630*'BMP P Tracking Table'!$AP285+20.691*'BMP P Tracking Table'!$AU285-216.711*'BMP P Tracking Table'!$AT285-83.853*'BMP P Tracking Table'!$AS285-42.834*'BMP P Tracking Table'!$AR285)+SQRT((3630*'BMP P Tracking Table'!$AP285+20.691*'BMP P Tracking Table'!$AU285-216.711*'BMP P Tracking Table'!$AT285-83.853*'BMP P Tracking Table'!$AS285-42.834*'BMP P Tracking Table'!$AR285)^2-(4*(149.919*'BMP P Tracking Table'!$AR285+236.676*'BMP P Tracking Table'!$AS285+726*'BMP P Tracking Table'!$AT285+996.798*'BMP P Tracking Table'!$AU285)*-'BMP P Tracking Table'!$AX285)))/(2*(149.919*'BMP P Tracking Table'!$AR285+236.676*'BMP P Tracking Table'!$AS285+726*'BMP P Tracking Table'!$AT285+996.798*'BMP P Tracking Table'!$AU285))))),MIN(2,IF('BMP P Tracking Table'!$AQ285="Total Pervious",(-(3630*'BMP P Tracking Table'!$V285+20.691*'BMP P Tracking Table'!$AB285)+SQRT((3630*'BMP P Tracking Table'!$V285+20.691*'BMP P Tracking Table'!$AB285)^2-(4*(996.798*'BMP P Tracking Table'!$AB285)*-'BMP P Tracking Table'!$AX285)))/(2*(996.798*'BMP P Tracking Table'!$AB285)),IF(SUM('BMP P Tracking Table'!$X285:$AA285)=0,'BMP P Tracking Table'!$AX285/(-3630*'BMP P Tracking Table'!$V285),(-(3630*'BMP P Tracking Table'!$V285+20.691*'BMP P Tracking Table'!$AA285-216.711*'BMP P Tracking Table'!$Z285-83.853*'BMP P Tracking Table'!$Y285-42.834*'BMP P Tracking Table'!$X285)+SQRT((3630*'BMP P Tracking Table'!$V285+20.691*'BMP P Tracking Table'!$AA285-216.711*'BMP P Tracking Table'!$Z285-83.853*'BMP P Tracking Table'!$Y285-42.834*'BMP P Tracking Table'!$X285)^2-(4*(149.919*'BMP P Tracking Table'!$X285+236.676*'BMP P Tracking Table'!$Y285+726*'BMP P Tracking Table'!$Z285+996.798*'BMP P Tracking Table'!$AA285)*-'BMP P Tracking Table'!$AX285)))/(2*(149.919*'BMP P Tracking Table'!$X285+236.676*'BMP P Tracking Table'!$Y285+726*'BMP P Tracking Table'!$Z285+996.798*'BMP P Tracking Table'!$AA285)))))),"")</f>
        <v/>
      </c>
      <c r="BB285" s="102" t="str">
        <f>IFERROR((VLOOKUP(CONCATENATE('BMP P Tracking Table'!$AW285," ",'BMP P Tracking Table'!$AY285),'Performance Curves'!$C$1:$L$46,_xlfn.SINGLE(MATCH('BMP P Tracking Table'!$BA285,'Performance Curves'!$D$1:$L$1,1))+2,FALSE)-VLOOKUP(CONCATENATE('BMP P Tracking Table'!$AW285," ",'BMP P Tracking Table'!$AY285),'Performance Curves'!$C$1:$L$46,_xlfn.SINGLE(MATCH('BMP P Tracking Table'!$BA285,'Performance Curves'!$D$1:$L$1,1))+1,FALSE)),"")</f>
        <v/>
      </c>
      <c r="BC285" s="102" t="str">
        <f>IFERROR(('BMP P Tracking Table'!$BA285-INDEX('Performance Curves'!$D$1:$L$1,1,MATCH('BMP P Tracking Table'!$BA285,'Performance Curves'!$D$1:$L$1,1)))/(INDEX('Performance Curves'!$D$1:$L$1,1,MATCH('BMP P Tracking Table'!$BA285,'Performance Curves'!$D$1:$L$1,1)+1)-INDEX('Performance Curves'!$D$1:$L$1,1,MATCH('BMP P Tracking Table'!$BA285,'Performance Curves'!$D$1:$L$1,1))),"")</f>
        <v/>
      </c>
      <c r="BD285" s="103" t="str" cm="1">
        <f t="array" ref="BD285">IFERROR(IF('BMP P Tracking Table'!$BA285=2,VLOOKUP(CONCATENATE('BMP P Tracking Table'!$AW285," ",'BMP P Tracking Table'!$AY285),'Performance Curves'!$C$1:$L$44,_xlfn.SINGLE(MATCH('BMP P Tracking Table'!$BA285,'Performance Curves'!$D$1:$L$1,1))+1,FALSE),'BMP P Tracking Table'!$BB285*'BMP P Tracking Table'!$BC285+VLOOKUP(CONCATENATE('BMP P Tracking Table'!$AW285," ",'BMP P Tracking Table'!$AY285),'Performance Curves'!$C$1:$L$44,_xlfn.SINGLE(MATCH('BMP P Tracking Table'!$BA285,'Performance Curves'!$D$1:$L$1,1))+1,FALSE)),"")</f>
        <v/>
      </c>
      <c r="BE285" s="104" t="str">
        <f>IFERROR('BMP P Tracking Table'!$BD285*'BMP P Tracking Table'!$AZ285,"")</f>
        <v/>
      </c>
      <c r="BF285" s="98"/>
      <c r="BG285" s="37">
        <f t="shared" ref="BG285:BG348" si="38">IFERROR(BE285+BF285,0)</f>
        <v>0</v>
      </c>
    </row>
    <row r="286" spans="2:59" s="36" customFormat="1">
      <c r="B286" s="65"/>
      <c r="C286" s="65"/>
      <c r="D286" s="65"/>
      <c r="E286" s="65"/>
      <c r="F286" s="94"/>
      <c r="G286" s="94"/>
      <c r="H286" s="65"/>
      <c r="I286" s="65"/>
      <c r="J286" s="65"/>
      <c r="K286" s="95"/>
      <c r="L286" s="65"/>
      <c r="M286" s="65"/>
      <c r="N286" s="65"/>
      <c r="O286" s="65"/>
      <c r="P286" s="65"/>
      <c r="Q286" s="65"/>
      <c r="R286" s="65" t="str">
        <f>IFERROR(VLOOKUP('BMP P Tracking Table'!$Q286,Dropdowns!$C$2:$E$15,3,FALSE),"")</f>
        <v/>
      </c>
      <c r="S286" s="65" t="str">
        <f>IFERROR(VLOOKUP('BMP P Tracking Table'!$R286,Dropdowns!$Q$3:$R$23,2,FALSE),"")</f>
        <v/>
      </c>
      <c r="T286" s="65"/>
      <c r="U286" s="65"/>
      <c r="V286" s="65"/>
      <c r="W286" s="65"/>
      <c r="X286" s="65"/>
      <c r="Y286" s="65"/>
      <c r="Z286" s="65"/>
      <c r="AA286" s="65"/>
      <c r="AB286" s="65"/>
      <c r="AC286" s="97"/>
      <c r="AD286" s="65"/>
      <c r="AE286" s="104" t="str">
        <f>IFERROR('BMP P Tracking Table'!$V286*VLOOKUP('BMP P Tracking Table'!$R286,'Loading Rates'!$B$1:$L$24,4,FALSE)+IF('BMP P Tracking Table'!$W286="By HSG",'BMP P Tracking Table'!$X286*VLOOKUP('BMP P Tracking Table'!$R286,'Loading Rates'!$B$1:$L$24,6,FALSE)+'BMP P Tracking Table'!$Y286*VLOOKUP('BMP P Tracking Table'!$R286,'Loading Rates'!$B$1:$L$24,7,FALSE)+'BMP P Tracking Table'!$Z286*VLOOKUP('BMP P Tracking Table'!$R286,'Loading Rates'!$B$1:$L$24,8,FALSE)+'BMP P Tracking Table'!$AA286*VLOOKUP('BMP P Tracking Table'!$R286,'Loading Rates'!$B$1:$L$24,9,FALSE),'BMP P Tracking Table'!$AB286*VLOOKUP('BMP P Tracking Table'!$R286,'Loading Rates'!$B$1:$L$24,10,FALSE)),"")</f>
        <v/>
      </c>
      <c r="AF286" s="104" t="str">
        <f>IFERROR(MIN(2,IF('BMP P Tracking Table'!$W286="Total Pervious",(-(3630*'BMP P Tracking Table'!$V286+20.691*'BMP P Tracking Table'!$AB286)+SQRT((3630*'BMP P Tracking Table'!$V286+20.691*'BMP P Tracking Table'!$AB286)^2-(4*(996.798*'BMP P Tracking Table'!$AB286)*-'BMP P Tracking Table'!$AC286)))/(2*(996.798*'BMP P Tracking Table'!$AB286)),IF(SUM('BMP P Tracking Table'!$X286:$AA286)=0,'BMP P Tracking Table'!$AC286/(-3630*'BMP P Tracking Table'!$V286),(-(3630*'BMP P Tracking Table'!$V286+20.691*'BMP P Tracking Table'!$AA286-216.711*'BMP P Tracking Table'!$Z286-83.853*'BMP P Tracking Table'!$Y286-42.834*'BMP P Tracking Table'!$X286)+SQRT((3630*'BMP P Tracking Table'!$V286+20.691*'BMP P Tracking Table'!$AA286-216.711*'BMP P Tracking Table'!$Z286-83.853*'BMP P Tracking Table'!$Y286-42.834*'BMP P Tracking Table'!$X286)^2-(4*(149.919*'BMP P Tracking Table'!$X286+236.676*'BMP P Tracking Table'!$Y286+726*'BMP P Tracking Table'!$Z286+996.798*'BMP P Tracking Table'!$AA286)*-'BMP P Tracking Table'!$AC286)))/(2*(149.919*'BMP P Tracking Table'!$X286+236.676*'BMP P Tracking Table'!$Y286+726*'BMP P Tracking Table'!$Z286+996.798*'BMP P Tracking Table'!$AA286))))),"")</f>
        <v/>
      </c>
      <c r="AG286" s="104" t="str">
        <f>IFERROR((VLOOKUP(CONCATENATE('BMP P Tracking Table'!$U286," ",'BMP P Tracking Table'!$AD286),'Performance Curves'!$C$1:$L$46,_xlfn.SINGLE(MATCH('BMP P Tracking Table'!$AF286,'Performance Curves'!$D$1:$L$1,1))+2,FALSE)-VLOOKUP(CONCATENATE('BMP P Tracking Table'!$U286," ",'BMP P Tracking Table'!$AD286),'Performance Curves'!$C$1:$L$46,_xlfn.SINGLE(MATCH('BMP P Tracking Table'!$AF286,'Performance Curves'!$D$1:$L$1,1))+1,FALSE)),"")</f>
        <v/>
      </c>
      <c r="AH286" s="104" t="str">
        <f>IFERROR(('BMP P Tracking Table'!$AF286-INDEX('Performance Curves'!$D$1:$L$1,1,MATCH('BMP P Tracking Table'!$AF286,'Performance Curves'!$D$1:$L$1,1)))/(INDEX('Performance Curves'!$D$1:$L$1,1,MATCH('BMP P Tracking Table'!$AF286,'Performance Curves'!$D$1:$L$1,1)+1)-INDEX('Performance Curves'!$D$1:$L$1,1,MATCH('BMP P Tracking Table'!$AF286,'Performance Curves'!$D$1:$L$1,1))),"")</f>
        <v/>
      </c>
      <c r="AI286" s="103" t="str">
        <f>IFERROR(IF('BMP P Tracking Table'!$AF286=2,VLOOKUP(CONCATENATE('BMP P Tracking Table'!$U286," ",'BMP P Tracking Table'!$AD286),'Performance Curves'!$C$1:$L$46,_xlfn.SINGLE(MATCH('BMP P Tracking Table'!$AF286,'Performance Curves'!$D$1:$L$1,1))+1,FALSE),'BMP P Tracking Table'!$AG286*'BMP P Tracking Table'!$AH286+VLOOKUP(CONCATENATE('BMP P Tracking Table'!$U286," ",'BMP P Tracking Table'!$AD286),'Performance Curves'!$C$1:$L$46,_xlfn.SINGLE(MATCH('BMP P Tracking Table'!$AF286,'Performance Curves'!$D$1:$L$1,1))+1,FALSE)),"")</f>
        <v/>
      </c>
      <c r="AJ286" s="104" t="str">
        <f>IFERROR('BMP P Tracking Table'!$AI286*'BMP P Tracking Table'!$AE286,"")</f>
        <v/>
      </c>
      <c r="AK286" s="65"/>
      <c r="AL286" s="98"/>
      <c r="AM286" s="98"/>
      <c r="AN286" s="64">
        <v>1</v>
      </c>
      <c r="AO286" s="102" t="str">
        <f t="shared" si="37"/>
        <v/>
      </c>
      <c r="AP286" s="98"/>
      <c r="AQ286" s="98"/>
      <c r="AR286" s="98"/>
      <c r="AS286" s="98"/>
      <c r="AT286" s="98"/>
      <c r="AU286" s="98"/>
      <c r="AV286" s="98"/>
      <c r="AW286" s="65"/>
      <c r="AX286" s="99"/>
      <c r="AY286" s="99"/>
      <c r="AZ286" s="104" t="str">
        <f>IF('BMP P Tracking Table'!$AL286="Yes",IF('BMP P Tracking Table'!$AM286="No",'BMP P Tracking Table'!$V286*VLOOKUP('BMP P Tracking Table'!$R286,'Loading Rates'!$B$1:$L$24,4,FALSE)+IF('BMP P Tracking Table'!$W286="By HSG",'BMP P Tracking Table'!$X286*VLOOKUP('BMP P Tracking Table'!$R286,'Loading Rates'!$B$1:$L$24,6,FALSE)+'BMP P Tracking Table'!$Y286*VLOOKUP('BMP P Tracking Table'!$R286,'Loading Rates'!$B$1:$L$24,7,FALSE)+'BMP P Tracking Table'!$Z286*VLOOKUP('BMP P Tracking Table'!$R286,'Loading Rates'!$B$1:$L$24,8,FALSE)+'BMP P Tracking Table'!$AA286*VLOOKUP('BMP P Tracking Table'!$R286,'Loading Rates'!$B$1:$L$24,9,FALSE),'BMP P Tracking Table'!$AB286*VLOOKUP('BMP P Tracking Table'!$R286,'Loading Rates'!$B$1:$L$24,10,FALSE)),'BMP P Tracking Table'!$AP286*VLOOKUP('BMP P Tracking Table'!$R286,'Loading Rates'!$B$1:$L$24,4,FALSE)+IF('BMP P Tracking Table'!$AQ286="By HSG",'BMP P Tracking Table'!$AR286*VLOOKUP('BMP P Tracking Table'!$R286,'Loading Rates'!$B$1:$L$24,6,FALSE)+'BMP P Tracking Table'!$AS286*VLOOKUP('BMP P Tracking Table'!$R286,'Loading Rates'!$B$1:$L$24,7,FALSE)+'BMP P Tracking Table'!$AT286*VLOOKUP('BMP P Tracking Table'!$R286,'Loading Rates'!$B$1:$L$24,8,FALSE)+'BMP P Tracking Table'!$AU286*VLOOKUP('BMP P Tracking Table'!$R286,'Loading Rates'!$B$1:$L$24,9,FALSE),'BMP P Tracking Table'!$AV286*VLOOKUP('BMP P Tracking Table'!$R286,'Loading Rates'!$B$1:$L$24,10,FALSE))),"")</f>
        <v/>
      </c>
      <c r="BA286" s="104" t="str">
        <f>IFERROR(IF('BMP P Tracking Table'!$AM286="Yes",MIN(2,IF('BMP P Tracking Table'!$AQ286="Total Pervious",(-(3630*'BMP P Tracking Table'!$AP286+20.691*'BMP P Tracking Table'!$AV286)+SQRT((3630*'BMP P Tracking Table'!$AP286+20.691*'BMP P Tracking Table'!$AV286)^2-(4*(996.798*'BMP P Tracking Table'!$AV286)*-'BMP P Tracking Table'!$AX286)))/(2*(996.798*'BMP P Tracking Table'!$AV286)),IF(SUM('BMP P Tracking Table'!$AR286:$AU286)=0,'BMP P Tracking Table'!$AV286/(-3630*'BMP P Tracking Table'!$AP286),(-(3630*'BMP P Tracking Table'!$AP286+20.691*'BMP P Tracking Table'!$AU286-216.711*'BMP P Tracking Table'!$AT286-83.853*'BMP P Tracking Table'!$AS286-42.834*'BMP P Tracking Table'!$AR286)+SQRT((3630*'BMP P Tracking Table'!$AP286+20.691*'BMP P Tracking Table'!$AU286-216.711*'BMP P Tracking Table'!$AT286-83.853*'BMP P Tracking Table'!$AS286-42.834*'BMP P Tracking Table'!$AR286)^2-(4*(149.919*'BMP P Tracking Table'!$AR286+236.676*'BMP P Tracking Table'!$AS286+726*'BMP P Tracking Table'!$AT286+996.798*'BMP P Tracking Table'!$AU286)*-'BMP P Tracking Table'!$AX286)))/(2*(149.919*'BMP P Tracking Table'!$AR286+236.676*'BMP P Tracking Table'!$AS286+726*'BMP P Tracking Table'!$AT286+996.798*'BMP P Tracking Table'!$AU286))))),MIN(2,IF('BMP P Tracking Table'!$AQ286="Total Pervious",(-(3630*'BMP P Tracking Table'!$V286+20.691*'BMP P Tracking Table'!$AB286)+SQRT((3630*'BMP P Tracking Table'!$V286+20.691*'BMP P Tracking Table'!$AB286)^2-(4*(996.798*'BMP P Tracking Table'!$AB286)*-'BMP P Tracking Table'!$AX286)))/(2*(996.798*'BMP P Tracking Table'!$AB286)),IF(SUM('BMP P Tracking Table'!$X286:$AA286)=0,'BMP P Tracking Table'!$AX286/(-3630*'BMP P Tracking Table'!$V286),(-(3630*'BMP P Tracking Table'!$V286+20.691*'BMP P Tracking Table'!$AA286-216.711*'BMP P Tracking Table'!$Z286-83.853*'BMP P Tracking Table'!$Y286-42.834*'BMP P Tracking Table'!$X286)+SQRT((3630*'BMP P Tracking Table'!$V286+20.691*'BMP P Tracking Table'!$AA286-216.711*'BMP P Tracking Table'!$Z286-83.853*'BMP P Tracking Table'!$Y286-42.834*'BMP P Tracking Table'!$X286)^2-(4*(149.919*'BMP P Tracking Table'!$X286+236.676*'BMP P Tracking Table'!$Y286+726*'BMP P Tracking Table'!$Z286+996.798*'BMP P Tracking Table'!$AA286)*-'BMP P Tracking Table'!$AX286)))/(2*(149.919*'BMP P Tracking Table'!$X286+236.676*'BMP P Tracking Table'!$Y286+726*'BMP P Tracking Table'!$Z286+996.798*'BMP P Tracking Table'!$AA286)))))),"")</f>
        <v/>
      </c>
      <c r="BB286" s="102" t="str">
        <f>IFERROR((VLOOKUP(CONCATENATE('BMP P Tracking Table'!$AW286," ",'BMP P Tracking Table'!$AY286),'Performance Curves'!$C$1:$L$46,_xlfn.SINGLE(MATCH('BMP P Tracking Table'!$BA286,'Performance Curves'!$D$1:$L$1,1))+2,FALSE)-VLOOKUP(CONCATENATE('BMP P Tracking Table'!$AW286," ",'BMP P Tracking Table'!$AY286),'Performance Curves'!$C$1:$L$46,_xlfn.SINGLE(MATCH('BMP P Tracking Table'!$BA286,'Performance Curves'!$D$1:$L$1,1))+1,FALSE)),"")</f>
        <v/>
      </c>
      <c r="BC286" s="102" t="str">
        <f>IFERROR(('BMP P Tracking Table'!$BA286-INDEX('Performance Curves'!$D$1:$L$1,1,MATCH('BMP P Tracking Table'!$BA286,'Performance Curves'!$D$1:$L$1,1)))/(INDEX('Performance Curves'!$D$1:$L$1,1,MATCH('BMP P Tracking Table'!$BA286,'Performance Curves'!$D$1:$L$1,1)+1)-INDEX('Performance Curves'!$D$1:$L$1,1,MATCH('BMP P Tracking Table'!$BA286,'Performance Curves'!$D$1:$L$1,1))),"")</f>
        <v/>
      </c>
      <c r="BD286" s="103" t="str" cm="1">
        <f t="array" ref="BD286">IFERROR(IF('BMP P Tracking Table'!$BA286=2,VLOOKUP(CONCATENATE('BMP P Tracking Table'!$AW286," ",'BMP P Tracking Table'!$AY286),'Performance Curves'!$C$1:$L$44,_xlfn.SINGLE(MATCH('BMP P Tracking Table'!$BA286,'Performance Curves'!$D$1:$L$1,1))+1,FALSE),'BMP P Tracking Table'!$BB286*'BMP P Tracking Table'!$BC286+VLOOKUP(CONCATENATE('BMP P Tracking Table'!$AW286," ",'BMP P Tracking Table'!$AY286),'Performance Curves'!$C$1:$L$44,_xlfn.SINGLE(MATCH('BMP P Tracking Table'!$BA286,'Performance Curves'!$D$1:$L$1,1))+1,FALSE)),"")</f>
        <v/>
      </c>
      <c r="BE286" s="104" t="str">
        <f>IFERROR('BMP P Tracking Table'!$BD286*'BMP P Tracking Table'!$AZ286,"")</f>
        <v/>
      </c>
      <c r="BF286" s="98"/>
      <c r="BG286" s="37">
        <f t="shared" si="38"/>
        <v>0</v>
      </c>
    </row>
    <row r="287" spans="2:59" s="36" customFormat="1">
      <c r="B287" s="65"/>
      <c r="C287" s="65"/>
      <c r="D287" s="65"/>
      <c r="E287" s="65"/>
      <c r="F287" s="94"/>
      <c r="G287" s="94"/>
      <c r="H287" s="65"/>
      <c r="I287" s="65"/>
      <c r="J287" s="65"/>
      <c r="K287" s="95"/>
      <c r="L287" s="65"/>
      <c r="M287" s="65"/>
      <c r="N287" s="65"/>
      <c r="O287" s="65"/>
      <c r="P287" s="65"/>
      <c r="Q287" s="65"/>
      <c r="R287" s="65" t="str">
        <f>IFERROR(VLOOKUP('BMP P Tracking Table'!$Q287,Dropdowns!$C$2:$E$15,3,FALSE),"")</f>
        <v/>
      </c>
      <c r="S287" s="65" t="str">
        <f>IFERROR(VLOOKUP('BMP P Tracking Table'!$R287,Dropdowns!$Q$3:$R$23,2,FALSE),"")</f>
        <v/>
      </c>
      <c r="T287" s="65"/>
      <c r="U287" s="65"/>
      <c r="V287" s="65"/>
      <c r="W287" s="65"/>
      <c r="X287" s="65"/>
      <c r="Y287" s="65"/>
      <c r="Z287" s="65"/>
      <c r="AA287" s="65"/>
      <c r="AB287" s="65"/>
      <c r="AC287" s="97"/>
      <c r="AD287" s="65"/>
      <c r="AE287" s="104" t="str">
        <f>IFERROR('BMP P Tracking Table'!$V287*VLOOKUP('BMP P Tracking Table'!$R287,'Loading Rates'!$B$1:$L$24,4,FALSE)+IF('BMP P Tracking Table'!$W287="By HSG",'BMP P Tracking Table'!$X287*VLOOKUP('BMP P Tracking Table'!$R287,'Loading Rates'!$B$1:$L$24,6,FALSE)+'BMP P Tracking Table'!$Y287*VLOOKUP('BMP P Tracking Table'!$R287,'Loading Rates'!$B$1:$L$24,7,FALSE)+'BMP P Tracking Table'!$Z287*VLOOKUP('BMP P Tracking Table'!$R287,'Loading Rates'!$B$1:$L$24,8,FALSE)+'BMP P Tracking Table'!$AA287*VLOOKUP('BMP P Tracking Table'!$R287,'Loading Rates'!$B$1:$L$24,9,FALSE),'BMP P Tracking Table'!$AB287*VLOOKUP('BMP P Tracking Table'!$R287,'Loading Rates'!$B$1:$L$24,10,FALSE)),"")</f>
        <v/>
      </c>
      <c r="AF287" s="104" t="str">
        <f>IFERROR(MIN(2,IF('BMP P Tracking Table'!$W287="Total Pervious",(-(3630*'BMP P Tracking Table'!$V287+20.691*'BMP P Tracking Table'!$AB287)+SQRT((3630*'BMP P Tracking Table'!$V287+20.691*'BMP P Tracking Table'!$AB287)^2-(4*(996.798*'BMP P Tracking Table'!$AB287)*-'BMP P Tracking Table'!$AC287)))/(2*(996.798*'BMP P Tracking Table'!$AB287)),IF(SUM('BMP P Tracking Table'!$X287:$AA287)=0,'BMP P Tracking Table'!$AC287/(-3630*'BMP P Tracking Table'!$V287),(-(3630*'BMP P Tracking Table'!$V287+20.691*'BMP P Tracking Table'!$AA287-216.711*'BMP P Tracking Table'!$Z287-83.853*'BMP P Tracking Table'!$Y287-42.834*'BMP P Tracking Table'!$X287)+SQRT((3630*'BMP P Tracking Table'!$V287+20.691*'BMP P Tracking Table'!$AA287-216.711*'BMP P Tracking Table'!$Z287-83.853*'BMP P Tracking Table'!$Y287-42.834*'BMP P Tracking Table'!$X287)^2-(4*(149.919*'BMP P Tracking Table'!$X287+236.676*'BMP P Tracking Table'!$Y287+726*'BMP P Tracking Table'!$Z287+996.798*'BMP P Tracking Table'!$AA287)*-'BMP P Tracking Table'!$AC287)))/(2*(149.919*'BMP P Tracking Table'!$X287+236.676*'BMP P Tracking Table'!$Y287+726*'BMP P Tracking Table'!$Z287+996.798*'BMP P Tracking Table'!$AA287))))),"")</f>
        <v/>
      </c>
      <c r="AG287" s="104" t="str">
        <f>IFERROR((VLOOKUP(CONCATENATE('BMP P Tracking Table'!$U287," ",'BMP P Tracking Table'!$AD287),'Performance Curves'!$C$1:$L$46,_xlfn.SINGLE(MATCH('BMP P Tracking Table'!$AF287,'Performance Curves'!$D$1:$L$1,1))+2,FALSE)-VLOOKUP(CONCATENATE('BMP P Tracking Table'!$U287," ",'BMP P Tracking Table'!$AD287),'Performance Curves'!$C$1:$L$46,_xlfn.SINGLE(MATCH('BMP P Tracking Table'!$AF287,'Performance Curves'!$D$1:$L$1,1))+1,FALSE)),"")</f>
        <v/>
      </c>
      <c r="AH287" s="104" t="str">
        <f>IFERROR(('BMP P Tracking Table'!$AF287-INDEX('Performance Curves'!$D$1:$L$1,1,MATCH('BMP P Tracking Table'!$AF287,'Performance Curves'!$D$1:$L$1,1)))/(INDEX('Performance Curves'!$D$1:$L$1,1,MATCH('BMP P Tracking Table'!$AF287,'Performance Curves'!$D$1:$L$1,1)+1)-INDEX('Performance Curves'!$D$1:$L$1,1,MATCH('BMP P Tracking Table'!$AF287,'Performance Curves'!$D$1:$L$1,1))),"")</f>
        <v/>
      </c>
      <c r="AI287" s="103" t="str">
        <f>IFERROR(IF('BMP P Tracking Table'!$AF287=2,VLOOKUP(CONCATENATE('BMP P Tracking Table'!$U287," ",'BMP P Tracking Table'!$AD287),'Performance Curves'!$C$1:$L$46,_xlfn.SINGLE(MATCH('BMP P Tracking Table'!$AF287,'Performance Curves'!$D$1:$L$1,1))+1,FALSE),'BMP P Tracking Table'!$AG287*'BMP P Tracking Table'!$AH287+VLOOKUP(CONCATENATE('BMP P Tracking Table'!$U287," ",'BMP P Tracking Table'!$AD287),'Performance Curves'!$C$1:$L$46,_xlfn.SINGLE(MATCH('BMP P Tracking Table'!$AF287,'Performance Curves'!$D$1:$L$1,1))+1,FALSE)),"")</f>
        <v/>
      </c>
      <c r="AJ287" s="104" t="str">
        <f>IFERROR('BMP P Tracking Table'!$AI287*'BMP P Tracking Table'!$AE287,"")</f>
        <v/>
      </c>
      <c r="AK287" s="65"/>
      <c r="AL287" s="98"/>
      <c r="AM287" s="98"/>
      <c r="AN287" s="64">
        <v>1</v>
      </c>
      <c r="AO287" s="102" t="str">
        <f t="shared" si="37"/>
        <v/>
      </c>
      <c r="AP287" s="98"/>
      <c r="AQ287" s="98"/>
      <c r="AR287" s="98"/>
      <c r="AS287" s="98"/>
      <c r="AT287" s="98"/>
      <c r="AU287" s="98"/>
      <c r="AV287" s="98"/>
      <c r="AW287" s="65"/>
      <c r="AX287" s="99"/>
      <c r="AY287" s="99"/>
      <c r="AZ287" s="104" t="str">
        <f>IF('BMP P Tracking Table'!$AL287="Yes",IF('BMP P Tracking Table'!$AM287="No",'BMP P Tracking Table'!$V287*VLOOKUP('BMP P Tracking Table'!$R287,'Loading Rates'!$B$1:$L$24,4,FALSE)+IF('BMP P Tracking Table'!$W287="By HSG",'BMP P Tracking Table'!$X287*VLOOKUP('BMP P Tracking Table'!$R287,'Loading Rates'!$B$1:$L$24,6,FALSE)+'BMP P Tracking Table'!$Y287*VLOOKUP('BMP P Tracking Table'!$R287,'Loading Rates'!$B$1:$L$24,7,FALSE)+'BMP P Tracking Table'!$Z287*VLOOKUP('BMP P Tracking Table'!$R287,'Loading Rates'!$B$1:$L$24,8,FALSE)+'BMP P Tracking Table'!$AA287*VLOOKUP('BMP P Tracking Table'!$R287,'Loading Rates'!$B$1:$L$24,9,FALSE),'BMP P Tracking Table'!$AB287*VLOOKUP('BMP P Tracking Table'!$R287,'Loading Rates'!$B$1:$L$24,10,FALSE)),'BMP P Tracking Table'!$AP287*VLOOKUP('BMP P Tracking Table'!$R287,'Loading Rates'!$B$1:$L$24,4,FALSE)+IF('BMP P Tracking Table'!$AQ287="By HSG",'BMP P Tracking Table'!$AR287*VLOOKUP('BMP P Tracking Table'!$R287,'Loading Rates'!$B$1:$L$24,6,FALSE)+'BMP P Tracking Table'!$AS287*VLOOKUP('BMP P Tracking Table'!$R287,'Loading Rates'!$B$1:$L$24,7,FALSE)+'BMP P Tracking Table'!$AT287*VLOOKUP('BMP P Tracking Table'!$R287,'Loading Rates'!$B$1:$L$24,8,FALSE)+'BMP P Tracking Table'!$AU287*VLOOKUP('BMP P Tracking Table'!$R287,'Loading Rates'!$B$1:$L$24,9,FALSE),'BMP P Tracking Table'!$AV287*VLOOKUP('BMP P Tracking Table'!$R287,'Loading Rates'!$B$1:$L$24,10,FALSE))),"")</f>
        <v/>
      </c>
      <c r="BA287" s="104" t="str">
        <f>IFERROR(IF('BMP P Tracking Table'!$AM287="Yes",MIN(2,IF('BMP P Tracking Table'!$AQ287="Total Pervious",(-(3630*'BMP P Tracking Table'!$AP287+20.691*'BMP P Tracking Table'!$AV287)+SQRT((3630*'BMP P Tracking Table'!$AP287+20.691*'BMP P Tracking Table'!$AV287)^2-(4*(996.798*'BMP P Tracking Table'!$AV287)*-'BMP P Tracking Table'!$AX287)))/(2*(996.798*'BMP P Tracking Table'!$AV287)),IF(SUM('BMP P Tracking Table'!$AR287:$AU287)=0,'BMP P Tracking Table'!$AV287/(-3630*'BMP P Tracking Table'!$AP287),(-(3630*'BMP P Tracking Table'!$AP287+20.691*'BMP P Tracking Table'!$AU287-216.711*'BMP P Tracking Table'!$AT287-83.853*'BMP P Tracking Table'!$AS287-42.834*'BMP P Tracking Table'!$AR287)+SQRT((3630*'BMP P Tracking Table'!$AP287+20.691*'BMP P Tracking Table'!$AU287-216.711*'BMP P Tracking Table'!$AT287-83.853*'BMP P Tracking Table'!$AS287-42.834*'BMP P Tracking Table'!$AR287)^2-(4*(149.919*'BMP P Tracking Table'!$AR287+236.676*'BMP P Tracking Table'!$AS287+726*'BMP P Tracking Table'!$AT287+996.798*'BMP P Tracking Table'!$AU287)*-'BMP P Tracking Table'!$AX287)))/(2*(149.919*'BMP P Tracking Table'!$AR287+236.676*'BMP P Tracking Table'!$AS287+726*'BMP P Tracking Table'!$AT287+996.798*'BMP P Tracking Table'!$AU287))))),MIN(2,IF('BMP P Tracking Table'!$AQ287="Total Pervious",(-(3630*'BMP P Tracking Table'!$V287+20.691*'BMP P Tracking Table'!$AB287)+SQRT((3630*'BMP P Tracking Table'!$V287+20.691*'BMP P Tracking Table'!$AB287)^2-(4*(996.798*'BMP P Tracking Table'!$AB287)*-'BMP P Tracking Table'!$AX287)))/(2*(996.798*'BMP P Tracking Table'!$AB287)),IF(SUM('BMP P Tracking Table'!$X287:$AA287)=0,'BMP P Tracking Table'!$AX287/(-3630*'BMP P Tracking Table'!$V287),(-(3630*'BMP P Tracking Table'!$V287+20.691*'BMP P Tracking Table'!$AA287-216.711*'BMP P Tracking Table'!$Z287-83.853*'BMP P Tracking Table'!$Y287-42.834*'BMP P Tracking Table'!$X287)+SQRT((3630*'BMP P Tracking Table'!$V287+20.691*'BMP P Tracking Table'!$AA287-216.711*'BMP P Tracking Table'!$Z287-83.853*'BMP P Tracking Table'!$Y287-42.834*'BMP P Tracking Table'!$X287)^2-(4*(149.919*'BMP P Tracking Table'!$X287+236.676*'BMP P Tracking Table'!$Y287+726*'BMP P Tracking Table'!$Z287+996.798*'BMP P Tracking Table'!$AA287)*-'BMP P Tracking Table'!$AX287)))/(2*(149.919*'BMP P Tracking Table'!$X287+236.676*'BMP P Tracking Table'!$Y287+726*'BMP P Tracking Table'!$Z287+996.798*'BMP P Tracking Table'!$AA287)))))),"")</f>
        <v/>
      </c>
      <c r="BB287" s="102" t="str">
        <f>IFERROR((VLOOKUP(CONCATENATE('BMP P Tracking Table'!$AW287," ",'BMP P Tracking Table'!$AY287),'Performance Curves'!$C$1:$L$46,_xlfn.SINGLE(MATCH('BMP P Tracking Table'!$BA287,'Performance Curves'!$D$1:$L$1,1))+2,FALSE)-VLOOKUP(CONCATENATE('BMP P Tracking Table'!$AW287," ",'BMP P Tracking Table'!$AY287),'Performance Curves'!$C$1:$L$46,_xlfn.SINGLE(MATCH('BMP P Tracking Table'!$BA287,'Performance Curves'!$D$1:$L$1,1))+1,FALSE)),"")</f>
        <v/>
      </c>
      <c r="BC287" s="102" t="str">
        <f>IFERROR(('BMP P Tracking Table'!$BA287-INDEX('Performance Curves'!$D$1:$L$1,1,MATCH('BMP P Tracking Table'!$BA287,'Performance Curves'!$D$1:$L$1,1)))/(INDEX('Performance Curves'!$D$1:$L$1,1,MATCH('BMP P Tracking Table'!$BA287,'Performance Curves'!$D$1:$L$1,1)+1)-INDEX('Performance Curves'!$D$1:$L$1,1,MATCH('BMP P Tracking Table'!$BA287,'Performance Curves'!$D$1:$L$1,1))),"")</f>
        <v/>
      </c>
      <c r="BD287" s="103" t="str" cm="1">
        <f t="array" ref="BD287">IFERROR(IF('BMP P Tracking Table'!$BA287=2,VLOOKUP(CONCATENATE('BMP P Tracking Table'!$AW287," ",'BMP P Tracking Table'!$AY287),'Performance Curves'!$C$1:$L$44,_xlfn.SINGLE(MATCH('BMP P Tracking Table'!$BA287,'Performance Curves'!$D$1:$L$1,1))+1,FALSE),'BMP P Tracking Table'!$BB287*'BMP P Tracking Table'!$BC287+VLOOKUP(CONCATENATE('BMP P Tracking Table'!$AW287," ",'BMP P Tracking Table'!$AY287),'Performance Curves'!$C$1:$L$44,_xlfn.SINGLE(MATCH('BMP P Tracking Table'!$BA287,'Performance Curves'!$D$1:$L$1,1))+1,FALSE)),"")</f>
        <v/>
      </c>
      <c r="BE287" s="104" t="str">
        <f>IFERROR('BMP P Tracking Table'!$BD287*'BMP P Tracking Table'!$AZ287,"")</f>
        <v/>
      </c>
      <c r="BF287" s="98"/>
      <c r="BG287" s="37">
        <f t="shared" si="38"/>
        <v>0</v>
      </c>
    </row>
    <row r="288" spans="2:59" s="36" customFormat="1">
      <c r="B288" s="65"/>
      <c r="C288" s="65"/>
      <c r="D288" s="65"/>
      <c r="E288" s="65"/>
      <c r="F288" s="94"/>
      <c r="G288" s="94"/>
      <c r="H288" s="65"/>
      <c r="I288" s="65"/>
      <c r="J288" s="65"/>
      <c r="K288" s="95"/>
      <c r="L288" s="65"/>
      <c r="M288" s="65"/>
      <c r="N288" s="65"/>
      <c r="O288" s="65"/>
      <c r="P288" s="65"/>
      <c r="Q288" s="65"/>
      <c r="R288" s="65" t="str">
        <f>IFERROR(VLOOKUP('BMP P Tracking Table'!$Q288,Dropdowns!$C$2:$E$15,3,FALSE),"")</f>
        <v/>
      </c>
      <c r="S288" s="65" t="str">
        <f>IFERROR(VLOOKUP('BMP P Tracking Table'!$R288,Dropdowns!$Q$3:$R$23,2,FALSE),"")</f>
        <v/>
      </c>
      <c r="T288" s="65"/>
      <c r="U288" s="65"/>
      <c r="V288" s="65"/>
      <c r="W288" s="65"/>
      <c r="X288" s="65"/>
      <c r="Y288" s="65"/>
      <c r="Z288" s="65"/>
      <c r="AA288" s="65"/>
      <c r="AB288" s="65"/>
      <c r="AC288" s="97"/>
      <c r="AD288" s="65"/>
      <c r="AE288" s="104" t="str">
        <f>IFERROR('BMP P Tracking Table'!$V288*VLOOKUP('BMP P Tracking Table'!$R288,'Loading Rates'!$B$1:$L$24,4,FALSE)+IF('BMP P Tracking Table'!$W288="By HSG",'BMP P Tracking Table'!$X288*VLOOKUP('BMP P Tracking Table'!$R288,'Loading Rates'!$B$1:$L$24,6,FALSE)+'BMP P Tracking Table'!$Y288*VLOOKUP('BMP P Tracking Table'!$R288,'Loading Rates'!$B$1:$L$24,7,FALSE)+'BMP P Tracking Table'!$Z288*VLOOKUP('BMP P Tracking Table'!$R288,'Loading Rates'!$B$1:$L$24,8,FALSE)+'BMP P Tracking Table'!$AA288*VLOOKUP('BMP P Tracking Table'!$R288,'Loading Rates'!$B$1:$L$24,9,FALSE),'BMP P Tracking Table'!$AB288*VLOOKUP('BMP P Tracking Table'!$R288,'Loading Rates'!$B$1:$L$24,10,FALSE)),"")</f>
        <v/>
      </c>
      <c r="AF288" s="104" t="str">
        <f>IFERROR(MIN(2,IF('BMP P Tracking Table'!$W288="Total Pervious",(-(3630*'BMP P Tracking Table'!$V288+20.691*'BMP P Tracking Table'!$AB288)+SQRT((3630*'BMP P Tracking Table'!$V288+20.691*'BMP P Tracking Table'!$AB288)^2-(4*(996.798*'BMP P Tracking Table'!$AB288)*-'BMP P Tracking Table'!$AC288)))/(2*(996.798*'BMP P Tracking Table'!$AB288)),IF(SUM('BMP P Tracking Table'!$X288:$AA288)=0,'BMP P Tracking Table'!$AC288/(-3630*'BMP P Tracking Table'!$V288),(-(3630*'BMP P Tracking Table'!$V288+20.691*'BMP P Tracking Table'!$AA288-216.711*'BMP P Tracking Table'!$Z288-83.853*'BMP P Tracking Table'!$Y288-42.834*'BMP P Tracking Table'!$X288)+SQRT((3630*'BMP P Tracking Table'!$V288+20.691*'BMP P Tracking Table'!$AA288-216.711*'BMP P Tracking Table'!$Z288-83.853*'BMP P Tracking Table'!$Y288-42.834*'BMP P Tracking Table'!$X288)^2-(4*(149.919*'BMP P Tracking Table'!$X288+236.676*'BMP P Tracking Table'!$Y288+726*'BMP P Tracking Table'!$Z288+996.798*'BMP P Tracking Table'!$AA288)*-'BMP P Tracking Table'!$AC288)))/(2*(149.919*'BMP P Tracking Table'!$X288+236.676*'BMP P Tracking Table'!$Y288+726*'BMP P Tracking Table'!$Z288+996.798*'BMP P Tracking Table'!$AA288))))),"")</f>
        <v/>
      </c>
      <c r="AG288" s="104" t="str">
        <f>IFERROR((VLOOKUP(CONCATENATE('BMP P Tracking Table'!$U288," ",'BMP P Tracking Table'!$AD288),'Performance Curves'!$C$1:$L$46,_xlfn.SINGLE(MATCH('BMP P Tracking Table'!$AF288,'Performance Curves'!$D$1:$L$1,1))+2,FALSE)-VLOOKUP(CONCATENATE('BMP P Tracking Table'!$U288," ",'BMP P Tracking Table'!$AD288),'Performance Curves'!$C$1:$L$46,_xlfn.SINGLE(MATCH('BMP P Tracking Table'!$AF288,'Performance Curves'!$D$1:$L$1,1))+1,FALSE)),"")</f>
        <v/>
      </c>
      <c r="AH288" s="104" t="str">
        <f>IFERROR(('BMP P Tracking Table'!$AF288-INDEX('Performance Curves'!$D$1:$L$1,1,MATCH('BMP P Tracking Table'!$AF288,'Performance Curves'!$D$1:$L$1,1)))/(INDEX('Performance Curves'!$D$1:$L$1,1,MATCH('BMP P Tracking Table'!$AF288,'Performance Curves'!$D$1:$L$1,1)+1)-INDEX('Performance Curves'!$D$1:$L$1,1,MATCH('BMP P Tracking Table'!$AF288,'Performance Curves'!$D$1:$L$1,1))),"")</f>
        <v/>
      </c>
      <c r="AI288" s="103" t="str">
        <f>IFERROR(IF('BMP P Tracking Table'!$AF288=2,VLOOKUP(CONCATENATE('BMP P Tracking Table'!$U288," ",'BMP P Tracking Table'!$AD288),'Performance Curves'!$C$1:$L$46,_xlfn.SINGLE(MATCH('BMP P Tracking Table'!$AF288,'Performance Curves'!$D$1:$L$1,1))+1,FALSE),'BMP P Tracking Table'!$AG288*'BMP P Tracking Table'!$AH288+VLOOKUP(CONCATENATE('BMP P Tracking Table'!$U288," ",'BMP P Tracking Table'!$AD288),'Performance Curves'!$C$1:$L$46,_xlfn.SINGLE(MATCH('BMP P Tracking Table'!$AF288,'Performance Curves'!$D$1:$L$1,1))+1,FALSE)),"")</f>
        <v/>
      </c>
      <c r="AJ288" s="104" t="str">
        <f>IFERROR('BMP P Tracking Table'!$AI288*'BMP P Tracking Table'!$AE288,"")</f>
        <v/>
      </c>
      <c r="AK288" s="65"/>
      <c r="AL288" s="98"/>
      <c r="AM288" s="98"/>
      <c r="AN288" s="64">
        <v>1</v>
      </c>
      <c r="AO288" s="102" t="str">
        <f t="shared" si="37"/>
        <v/>
      </c>
      <c r="AP288" s="98"/>
      <c r="AQ288" s="98"/>
      <c r="AR288" s="98"/>
      <c r="AS288" s="98"/>
      <c r="AT288" s="98"/>
      <c r="AU288" s="98"/>
      <c r="AV288" s="98"/>
      <c r="AW288" s="65"/>
      <c r="AX288" s="99"/>
      <c r="AY288" s="99"/>
      <c r="AZ288" s="104" t="str">
        <f>IF('BMP P Tracking Table'!$AL288="Yes",IF('BMP P Tracking Table'!$AM288="No",'BMP P Tracking Table'!$V288*VLOOKUP('BMP P Tracking Table'!$R288,'Loading Rates'!$B$1:$L$24,4,FALSE)+IF('BMP P Tracking Table'!$W288="By HSG",'BMP P Tracking Table'!$X288*VLOOKUP('BMP P Tracking Table'!$R288,'Loading Rates'!$B$1:$L$24,6,FALSE)+'BMP P Tracking Table'!$Y288*VLOOKUP('BMP P Tracking Table'!$R288,'Loading Rates'!$B$1:$L$24,7,FALSE)+'BMP P Tracking Table'!$Z288*VLOOKUP('BMP P Tracking Table'!$R288,'Loading Rates'!$B$1:$L$24,8,FALSE)+'BMP P Tracking Table'!$AA288*VLOOKUP('BMP P Tracking Table'!$R288,'Loading Rates'!$B$1:$L$24,9,FALSE),'BMP P Tracking Table'!$AB288*VLOOKUP('BMP P Tracking Table'!$R288,'Loading Rates'!$B$1:$L$24,10,FALSE)),'BMP P Tracking Table'!$AP288*VLOOKUP('BMP P Tracking Table'!$R288,'Loading Rates'!$B$1:$L$24,4,FALSE)+IF('BMP P Tracking Table'!$AQ288="By HSG",'BMP P Tracking Table'!$AR288*VLOOKUP('BMP P Tracking Table'!$R288,'Loading Rates'!$B$1:$L$24,6,FALSE)+'BMP P Tracking Table'!$AS288*VLOOKUP('BMP P Tracking Table'!$R288,'Loading Rates'!$B$1:$L$24,7,FALSE)+'BMP P Tracking Table'!$AT288*VLOOKUP('BMP P Tracking Table'!$R288,'Loading Rates'!$B$1:$L$24,8,FALSE)+'BMP P Tracking Table'!$AU288*VLOOKUP('BMP P Tracking Table'!$R288,'Loading Rates'!$B$1:$L$24,9,FALSE),'BMP P Tracking Table'!$AV288*VLOOKUP('BMP P Tracking Table'!$R288,'Loading Rates'!$B$1:$L$24,10,FALSE))),"")</f>
        <v/>
      </c>
      <c r="BA288" s="104" t="str">
        <f>IFERROR(IF('BMP P Tracking Table'!$AM288="Yes",MIN(2,IF('BMP P Tracking Table'!$AQ288="Total Pervious",(-(3630*'BMP P Tracking Table'!$AP288+20.691*'BMP P Tracking Table'!$AV288)+SQRT((3630*'BMP P Tracking Table'!$AP288+20.691*'BMP P Tracking Table'!$AV288)^2-(4*(996.798*'BMP P Tracking Table'!$AV288)*-'BMP P Tracking Table'!$AX288)))/(2*(996.798*'BMP P Tracking Table'!$AV288)),IF(SUM('BMP P Tracking Table'!$AR288:$AU288)=0,'BMP P Tracking Table'!$AV288/(-3630*'BMP P Tracking Table'!$AP288),(-(3630*'BMP P Tracking Table'!$AP288+20.691*'BMP P Tracking Table'!$AU288-216.711*'BMP P Tracking Table'!$AT288-83.853*'BMP P Tracking Table'!$AS288-42.834*'BMP P Tracking Table'!$AR288)+SQRT((3630*'BMP P Tracking Table'!$AP288+20.691*'BMP P Tracking Table'!$AU288-216.711*'BMP P Tracking Table'!$AT288-83.853*'BMP P Tracking Table'!$AS288-42.834*'BMP P Tracking Table'!$AR288)^2-(4*(149.919*'BMP P Tracking Table'!$AR288+236.676*'BMP P Tracking Table'!$AS288+726*'BMP P Tracking Table'!$AT288+996.798*'BMP P Tracking Table'!$AU288)*-'BMP P Tracking Table'!$AX288)))/(2*(149.919*'BMP P Tracking Table'!$AR288+236.676*'BMP P Tracking Table'!$AS288+726*'BMP P Tracking Table'!$AT288+996.798*'BMP P Tracking Table'!$AU288))))),MIN(2,IF('BMP P Tracking Table'!$AQ288="Total Pervious",(-(3630*'BMP P Tracking Table'!$V288+20.691*'BMP P Tracking Table'!$AB288)+SQRT((3630*'BMP P Tracking Table'!$V288+20.691*'BMP P Tracking Table'!$AB288)^2-(4*(996.798*'BMP P Tracking Table'!$AB288)*-'BMP P Tracking Table'!$AX288)))/(2*(996.798*'BMP P Tracking Table'!$AB288)),IF(SUM('BMP P Tracking Table'!$X288:$AA288)=0,'BMP P Tracking Table'!$AX288/(-3630*'BMP P Tracking Table'!$V288),(-(3630*'BMP P Tracking Table'!$V288+20.691*'BMP P Tracking Table'!$AA288-216.711*'BMP P Tracking Table'!$Z288-83.853*'BMP P Tracking Table'!$Y288-42.834*'BMP P Tracking Table'!$X288)+SQRT((3630*'BMP P Tracking Table'!$V288+20.691*'BMP P Tracking Table'!$AA288-216.711*'BMP P Tracking Table'!$Z288-83.853*'BMP P Tracking Table'!$Y288-42.834*'BMP P Tracking Table'!$X288)^2-(4*(149.919*'BMP P Tracking Table'!$X288+236.676*'BMP P Tracking Table'!$Y288+726*'BMP P Tracking Table'!$Z288+996.798*'BMP P Tracking Table'!$AA288)*-'BMP P Tracking Table'!$AX288)))/(2*(149.919*'BMP P Tracking Table'!$X288+236.676*'BMP P Tracking Table'!$Y288+726*'BMP P Tracking Table'!$Z288+996.798*'BMP P Tracking Table'!$AA288)))))),"")</f>
        <v/>
      </c>
      <c r="BB288" s="102" t="str">
        <f>IFERROR((VLOOKUP(CONCATENATE('BMP P Tracking Table'!$AW288," ",'BMP P Tracking Table'!$AY288),'Performance Curves'!$C$1:$L$46,_xlfn.SINGLE(MATCH('BMP P Tracking Table'!$BA288,'Performance Curves'!$D$1:$L$1,1))+2,FALSE)-VLOOKUP(CONCATENATE('BMP P Tracking Table'!$AW288," ",'BMP P Tracking Table'!$AY288),'Performance Curves'!$C$1:$L$46,_xlfn.SINGLE(MATCH('BMP P Tracking Table'!$BA288,'Performance Curves'!$D$1:$L$1,1))+1,FALSE)),"")</f>
        <v/>
      </c>
      <c r="BC288" s="102" t="str">
        <f>IFERROR(('BMP P Tracking Table'!$BA288-INDEX('Performance Curves'!$D$1:$L$1,1,MATCH('BMP P Tracking Table'!$BA288,'Performance Curves'!$D$1:$L$1,1)))/(INDEX('Performance Curves'!$D$1:$L$1,1,MATCH('BMP P Tracking Table'!$BA288,'Performance Curves'!$D$1:$L$1,1)+1)-INDEX('Performance Curves'!$D$1:$L$1,1,MATCH('BMP P Tracking Table'!$BA288,'Performance Curves'!$D$1:$L$1,1))),"")</f>
        <v/>
      </c>
      <c r="BD288" s="103" t="str" cm="1">
        <f t="array" ref="BD288">IFERROR(IF('BMP P Tracking Table'!$BA288=2,VLOOKUP(CONCATENATE('BMP P Tracking Table'!$AW288," ",'BMP P Tracking Table'!$AY288),'Performance Curves'!$C$1:$L$44,_xlfn.SINGLE(MATCH('BMP P Tracking Table'!$BA288,'Performance Curves'!$D$1:$L$1,1))+1,FALSE),'BMP P Tracking Table'!$BB288*'BMP P Tracking Table'!$BC288+VLOOKUP(CONCATENATE('BMP P Tracking Table'!$AW288," ",'BMP P Tracking Table'!$AY288),'Performance Curves'!$C$1:$L$44,_xlfn.SINGLE(MATCH('BMP P Tracking Table'!$BA288,'Performance Curves'!$D$1:$L$1,1))+1,FALSE)),"")</f>
        <v/>
      </c>
      <c r="BE288" s="104" t="str">
        <f>IFERROR('BMP P Tracking Table'!$BD288*'BMP P Tracking Table'!$AZ288,"")</f>
        <v/>
      </c>
      <c r="BF288" s="98"/>
      <c r="BG288" s="37">
        <f t="shared" si="38"/>
        <v>0</v>
      </c>
    </row>
    <row r="289" spans="2:59" s="36" customFormat="1">
      <c r="B289" s="65"/>
      <c r="C289" s="65"/>
      <c r="D289" s="65"/>
      <c r="E289" s="65"/>
      <c r="F289" s="94"/>
      <c r="G289" s="94"/>
      <c r="H289" s="65"/>
      <c r="I289" s="65"/>
      <c r="J289" s="65"/>
      <c r="K289" s="95"/>
      <c r="L289" s="65"/>
      <c r="M289" s="65"/>
      <c r="N289" s="65"/>
      <c r="O289" s="65"/>
      <c r="P289" s="65"/>
      <c r="Q289" s="65"/>
      <c r="R289" s="65" t="str">
        <f>IFERROR(VLOOKUP('BMP P Tracking Table'!$Q289,Dropdowns!$C$2:$E$15,3,FALSE),"")</f>
        <v/>
      </c>
      <c r="S289" s="65" t="str">
        <f>IFERROR(VLOOKUP('BMP P Tracking Table'!$R289,Dropdowns!$Q$3:$R$23,2,FALSE),"")</f>
        <v/>
      </c>
      <c r="T289" s="65"/>
      <c r="U289" s="65"/>
      <c r="V289" s="65"/>
      <c r="W289" s="65"/>
      <c r="X289" s="65"/>
      <c r="Y289" s="65"/>
      <c r="Z289" s="65"/>
      <c r="AA289" s="65"/>
      <c r="AB289" s="65"/>
      <c r="AC289" s="97"/>
      <c r="AD289" s="65"/>
      <c r="AE289" s="104" t="str">
        <f>IFERROR('BMP P Tracking Table'!$V289*VLOOKUP('BMP P Tracking Table'!$R289,'Loading Rates'!$B$1:$L$24,4,FALSE)+IF('BMP P Tracking Table'!$W289="By HSG",'BMP P Tracking Table'!$X289*VLOOKUP('BMP P Tracking Table'!$R289,'Loading Rates'!$B$1:$L$24,6,FALSE)+'BMP P Tracking Table'!$Y289*VLOOKUP('BMP P Tracking Table'!$R289,'Loading Rates'!$B$1:$L$24,7,FALSE)+'BMP P Tracking Table'!$Z289*VLOOKUP('BMP P Tracking Table'!$R289,'Loading Rates'!$B$1:$L$24,8,FALSE)+'BMP P Tracking Table'!$AA289*VLOOKUP('BMP P Tracking Table'!$R289,'Loading Rates'!$B$1:$L$24,9,FALSE),'BMP P Tracking Table'!$AB289*VLOOKUP('BMP P Tracking Table'!$R289,'Loading Rates'!$B$1:$L$24,10,FALSE)),"")</f>
        <v/>
      </c>
      <c r="AF289" s="104" t="str">
        <f>IFERROR(MIN(2,IF('BMP P Tracking Table'!$W289="Total Pervious",(-(3630*'BMP P Tracking Table'!$V289+20.691*'BMP P Tracking Table'!$AB289)+SQRT((3630*'BMP P Tracking Table'!$V289+20.691*'BMP P Tracking Table'!$AB289)^2-(4*(996.798*'BMP P Tracking Table'!$AB289)*-'BMP P Tracking Table'!$AC289)))/(2*(996.798*'BMP P Tracking Table'!$AB289)),IF(SUM('BMP P Tracking Table'!$X289:$AA289)=0,'BMP P Tracking Table'!$AC289/(-3630*'BMP P Tracking Table'!$V289),(-(3630*'BMP P Tracking Table'!$V289+20.691*'BMP P Tracking Table'!$AA289-216.711*'BMP P Tracking Table'!$Z289-83.853*'BMP P Tracking Table'!$Y289-42.834*'BMP P Tracking Table'!$X289)+SQRT((3630*'BMP P Tracking Table'!$V289+20.691*'BMP P Tracking Table'!$AA289-216.711*'BMP P Tracking Table'!$Z289-83.853*'BMP P Tracking Table'!$Y289-42.834*'BMP P Tracking Table'!$X289)^2-(4*(149.919*'BMP P Tracking Table'!$X289+236.676*'BMP P Tracking Table'!$Y289+726*'BMP P Tracking Table'!$Z289+996.798*'BMP P Tracking Table'!$AA289)*-'BMP P Tracking Table'!$AC289)))/(2*(149.919*'BMP P Tracking Table'!$X289+236.676*'BMP P Tracking Table'!$Y289+726*'BMP P Tracking Table'!$Z289+996.798*'BMP P Tracking Table'!$AA289))))),"")</f>
        <v/>
      </c>
      <c r="AG289" s="104" t="str">
        <f>IFERROR((VLOOKUP(CONCATENATE('BMP P Tracking Table'!$U289," ",'BMP P Tracking Table'!$AD289),'Performance Curves'!$C$1:$L$46,_xlfn.SINGLE(MATCH('BMP P Tracking Table'!$AF289,'Performance Curves'!$D$1:$L$1,1))+2,FALSE)-VLOOKUP(CONCATENATE('BMP P Tracking Table'!$U289," ",'BMP P Tracking Table'!$AD289),'Performance Curves'!$C$1:$L$46,_xlfn.SINGLE(MATCH('BMP P Tracking Table'!$AF289,'Performance Curves'!$D$1:$L$1,1))+1,FALSE)),"")</f>
        <v/>
      </c>
      <c r="AH289" s="104" t="str">
        <f>IFERROR(('BMP P Tracking Table'!$AF289-INDEX('Performance Curves'!$D$1:$L$1,1,MATCH('BMP P Tracking Table'!$AF289,'Performance Curves'!$D$1:$L$1,1)))/(INDEX('Performance Curves'!$D$1:$L$1,1,MATCH('BMP P Tracking Table'!$AF289,'Performance Curves'!$D$1:$L$1,1)+1)-INDEX('Performance Curves'!$D$1:$L$1,1,MATCH('BMP P Tracking Table'!$AF289,'Performance Curves'!$D$1:$L$1,1))),"")</f>
        <v/>
      </c>
      <c r="AI289" s="103" t="str">
        <f>IFERROR(IF('BMP P Tracking Table'!$AF289=2,VLOOKUP(CONCATENATE('BMP P Tracking Table'!$U289," ",'BMP P Tracking Table'!$AD289),'Performance Curves'!$C$1:$L$46,_xlfn.SINGLE(MATCH('BMP P Tracking Table'!$AF289,'Performance Curves'!$D$1:$L$1,1))+1,FALSE),'BMP P Tracking Table'!$AG289*'BMP P Tracking Table'!$AH289+VLOOKUP(CONCATENATE('BMP P Tracking Table'!$U289," ",'BMP P Tracking Table'!$AD289),'Performance Curves'!$C$1:$L$46,_xlfn.SINGLE(MATCH('BMP P Tracking Table'!$AF289,'Performance Curves'!$D$1:$L$1,1))+1,FALSE)),"")</f>
        <v/>
      </c>
      <c r="AJ289" s="104" t="str">
        <f>IFERROR('BMP P Tracking Table'!$AI289*'BMP P Tracking Table'!$AE289,"")</f>
        <v/>
      </c>
      <c r="AK289" s="65"/>
      <c r="AL289" s="98"/>
      <c r="AM289" s="98"/>
      <c r="AN289" s="64">
        <v>1</v>
      </c>
      <c r="AO289" s="102" t="str">
        <f t="shared" si="37"/>
        <v/>
      </c>
      <c r="AP289" s="98"/>
      <c r="AQ289" s="98"/>
      <c r="AR289" s="98"/>
      <c r="AS289" s="98"/>
      <c r="AT289" s="98"/>
      <c r="AU289" s="98"/>
      <c r="AV289" s="98"/>
      <c r="AW289" s="65"/>
      <c r="AX289" s="99"/>
      <c r="AY289" s="99"/>
      <c r="AZ289" s="104" t="str">
        <f>IF('BMP P Tracking Table'!$AL289="Yes",IF('BMP P Tracking Table'!$AM289="No",'BMP P Tracking Table'!$V289*VLOOKUP('BMP P Tracking Table'!$R289,'Loading Rates'!$B$1:$L$24,4,FALSE)+IF('BMP P Tracking Table'!$W289="By HSG",'BMP P Tracking Table'!$X289*VLOOKUP('BMP P Tracking Table'!$R289,'Loading Rates'!$B$1:$L$24,6,FALSE)+'BMP P Tracking Table'!$Y289*VLOOKUP('BMP P Tracking Table'!$R289,'Loading Rates'!$B$1:$L$24,7,FALSE)+'BMP P Tracking Table'!$Z289*VLOOKUP('BMP P Tracking Table'!$R289,'Loading Rates'!$B$1:$L$24,8,FALSE)+'BMP P Tracking Table'!$AA289*VLOOKUP('BMP P Tracking Table'!$R289,'Loading Rates'!$B$1:$L$24,9,FALSE),'BMP P Tracking Table'!$AB289*VLOOKUP('BMP P Tracking Table'!$R289,'Loading Rates'!$B$1:$L$24,10,FALSE)),'BMP P Tracking Table'!$AP289*VLOOKUP('BMP P Tracking Table'!$R289,'Loading Rates'!$B$1:$L$24,4,FALSE)+IF('BMP P Tracking Table'!$AQ289="By HSG",'BMP P Tracking Table'!$AR289*VLOOKUP('BMP P Tracking Table'!$R289,'Loading Rates'!$B$1:$L$24,6,FALSE)+'BMP P Tracking Table'!$AS289*VLOOKUP('BMP P Tracking Table'!$R289,'Loading Rates'!$B$1:$L$24,7,FALSE)+'BMP P Tracking Table'!$AT289*VLOOKUP('BMP P Tracking Table'!$R289,'Loading Rates'!$B$1:$L$24,8,FALSE)+'BMP P Tracking Table'!$AU289*VLOOKUP('BMP P Tracking Table'!$R289,'Loading Rates'!$B$1:$L$24,9,FALSE),'BMP P Tracking Table'!$AV289*VLOOKUP('BMP P Tracking Table'!$R289,'Loading Rates'!$B$1:$L$24,10,FALSE))),"")</f>
        <v/>
      </c>
      <c r="BA289" s="104" t="str">
        <f>IFERROR(IF('BMP P Tracking Table'!$AM289="Yes",MIN(2,IF('BMP P Tracking Table'!$AQ289="Total Pervious",(-(3630*'BMP P Tracking Table'!$AP289+20.691*'BMP P Tracking Table'!$AV289)+SQRT((3630*'BMP P Tracking Table'!$AP289+20.691*'BMP P Tracking Table'!$AV289)^2-(4*(996.798*'BMP P Tracking Table'!$AV289)*-'BMP P Tracking Table'!$AX289)))/(2*(996.798*'BMP P Tracking Table'!$AV289)),IF(SUM('BMP P Tracking Table'!$AR289:$AU289)=0,'BMP P Tracking Table'!$AV289/(-3630*'BMP P Tracking Table'!$AP289),(-(3630*'BMP P Tracking Table'!$AP289+20.691*'BMP P Tracking Table'!$AU289-216.711*'BMP P Tracking Table'!$AT289-83.853*'BMP P Tracking Table'!$AS289-42.834*'BMP P Tracking Table'!$AR289)+SQRT((3630*'BMP P Tracking Table'!$AP289+20.691*'BMP P Tracking Table'!$AU289-216.711*'BMP P Tracking Table'!$AT289-83.853*'BMP P Tracking Table'!$AS289-42.834*'BMP P Tracking Table'!$AR289)^2-(4*(149.919*'BMP P Tracking Table'!$AR289+236.676*'BMP P Tracking Table'!$AS289+726*'BMP P Tracking Table'!$AT289+996.798*'BMP P Tracking Table'!$AU289)*-'BMP P Tracking Table'!$AX289)))/(2*(149.919*'BMP P Tracking Table'!$AR289+236.676*'BMP P Tracking Table'!$AS289+726*'BMP P Tracking Table'!$AT289+996.798*'BMP P Tracking Table'!$AU289))))),MIN(2,IF('BMP P Tracking Table'!$AQ289="Total Pervious",(-(3630*'BMP P Tracking Table'!$V289+20.691*'BMP P Tracking Table'!$AB289)+SQRT((3630*'BMP P Tracking Table'!$V289+20.691*'BMP P Tracking Table'!$AB289)^2-(4*(996.798*'BMP P Tracking Table'!$AB289)*-'BMP P Tracking Table'!$AX289)))/(2*(996.798*'BMP P Tracking Table'!$AB289)),IF(SUM('BMP P Tracking Table'!$X289:$AA289)=0,'BMP P Tracking Table'!$AX289/(-3630*'BMP P Tracking Table'!$V289),(-(3630*'BMP P Tracking Table'!$V289+20.691*'BMP P Tracking Table'!$AA289-216.711*'BMP P Tracking Table'!$Z289-83.853*'BMP P Tracking Table'!$Y289-42.834*'BMP P Tracking Table'!$X289)+SQRT((3630*'BMP P Tracking Table'!$V289+20.691*'BMP P Tracking Table'!$AA289-216.711*'BMP P Tracking Table'!$Z289-83.853*'BMP P Tracking Table'!$Y289-42.834*'BMP P Tracking Table'!$X289)^2-(4*(149.919*'BMP P Tracking Table'!$X289+236.676*'BMP P Tracking Table'!$Y289+726*'BMP P Tracking Table'!$Z289+996.798*'BMP P Tracking Table'!$AA289)*-'BMP P Tracking Table'!$AX289)))/(2*(149.919*'BMP P Tracking Table'!$X289+236.676*'BMP P Tracking Table'!$Y289+726*'BMP P Tracking Table'!$Z289+996.798*'BMP P Tracking Table'!$AA289)))))),"")</f>
        <v/>
      </c>
      <c r="BB289" s="102" t="str">
        <f>IFERROR((VLOOKUP(CONCATENATE('BMP P Tracking Table'!$AW289," ",'BMP P Tracking Table'!$AY289),'Performance Curves'!$C$1:$L$46,_xlfn.SINGLE(MATCH('BMP P Tracking Table'!$BA289,'Performance Curves'!$D$1:$L$1,1))+2,FALSE)-VLOOKUP(CONCATENATE('BMP P Tracking Table'!$AW289," ",'BMP P Tracking Table'!$AY289),'Performance Curves'!$C$1:$L$46,_xlfn.SINGLE(MATCH('BMP P Tracking Table'!$BA289,'Performance Curves'!$D$1:$L$1,1))+1,FALSE)),"")</f>
        <v/>
      </c>
      <c r="BC289" s="102" t="str">
        <f>IFERROR(('BMP P Tracking Table'!$BA289-INDEX('Performance Curves'!$D$1:$L$1,1,MATCH('BMP P Tracking Table'!$BA289,'Performance Curves'!$D$1:$L$1,1)))/(INDEX('Performance Curves'!$D$1:$L$1,1,MATCH('BMP P Tracking Table'!$BA289,'Performance Curves'!$D$1:$L$1,1)+1)-INDEX('Performance Curves'!$D$1:$L$1,1,MATCH('BMP P Tracking Table'!$BA289,'Performance Curves'!$D$1:$L$1,1))),"")</f>
        <v/>
      </c>
      <c r="BD289" s="103" t="str" cm="1">
        <f t="array" ref="BD289">IFERROR(IF('BMP P Tracking Table'!$BA289=2,VLOOKUP(CONCATENATE('BMP P Tracking Table'!$AW289," ",'BMP P Tracking Table'!$AY289),'Performance Curves'!$C$1:$L$44,_xlfn.SINGLE(MATCH('BMP P Tracking Table'!$BA289,'Performance Curves'!$D$1:$L$1,1))+1,FALSE),'BMP P Tracking Table'!$BB289*'BMP P Tracking Table'!$BC289+VLOOKUP(CONCATENATE('BMP P Tracking Table'!$AW289," ",'BMP P Tracking Table'!$AY289),'Performance Curves'!$C$1:$L$44,_xlfn.SINGLE(MATCH('BMP P Tracking Table'!$BA289,'Performance Curves'!$D$1:$L$1,1))+1,FALSE)),"")</f>
        <v/>
      </c>
      <c r="BE289" s="104" t="str">
        <f>IFERROR('BMP P Tracking Table'!$BD289*'BMP P Tracking Table'!$AZ289,"")</f>
        <v/>
      </c>
      <c r="BF289" s="98"/>
      <c r="BG289" s="37">
        <f t="shared" si="38"/>
        <v>0</v>
      </c>
    </row>
    <row r="290" spans="2:59" s="36" customFormat="1">
      <c r="B290" s="65"/>
      <c r="C290" s="65"/>
      <c r="D290" s="65"/>
      <c r="E290" s="65"/>
      <c r="F290" s="94"/>
      <c r="G290" s="94"/>
      <c r="H290" s="65"/>
      <c r="I290" s="65"/>
      <c r="J290" s="65"/>
      <c r="K290" s="95"/>
      <c r="L290" s="65"/>
      <c r="M290" s="65"/>
      <c r="N290" s="65"/>
      <c r="O290" s="65"/>
      <c r="P290" s="65"/>
      <c r="Q290" s="65"/>
      <c r="R290" s="65" t="str">
        <f>IFERROR(VLOOKUP('BMP P Tracking Table'!$Q290,Dropdowns!$C$2:$E$15,3,FALSE),"")</f>
        <v/>
      </c>
      <c r="S290" s="65" t="str">
        <f>IFERROR(VLOOKUP('BMP P Tracking Table'!$R290,Dropdowns!$Q$3:$R$23,2,FALSE),"")</f>
        <v/>
      </c>
      <c r="T290" s="65"/>
      <c r="U290" s="65"/>
      <c r="V290" s="65"/>
      <c r="W290" s="65"/>
      <c r="X290" s="65"/>
      <c r="Y290" s="65"/>
      <c r="Z290" s="65"/>
      <c r="AA290" s="65"/>
      <c r="AB290" s="65"/>
      <c r="AC290" s="97"/>
      <c r="AD290" s="65"/>
      <c r="AE290" s="104" t="str">
        <f>IFERROR('BMP P Tracking Table'!$V290*VLOOKUP('BMP P Tracking Table'!$R290,'Loading Rates'!$B$1:$L$24,4,FALSE)+IF('BMP P Tracking Table'!$W290="By HSG",'BMP P Tracking Table'!$X290*VLOOKUP('BMP P Tracking Table'!$R290,'Loading Rates'!$B$1:$L$24,6,FALSE)+'BMP P Tracking Table'!$Y290*VLOOKUP('BMP P Tracking Table'!$R290,'Loading Rates'!$B$1:$L$24,7,FALSE)+'BMP P Tracking Table'!$Z290*VLOOKUP('BMP P Tracking Table'!$R290,'Loading Rates'!$B$1:$L$24,8,FALSE)+'BMP P Tracking Table'!$AA290*VLOOKUP('BMP P Tracking Table'!$R290,'Loading Rates'!$B$1:$L$24,9,FALSE),'BMP P Tracking Table'!$AB290*VLOOKUP('BMP P Tracking Table'!$R290,'Loading Rates'!$B$1:$L$24,10,FALSE)),"")</f>
        <v/>
      </c>
      <c r="AF290" s="104" t="str">
        <f>IFERROR(MIN(2,IF('BMP P Tracking Table'!$W290="Total Pervious",(-(3630*'BMP P Tracking Table'!$V290+20.691*'BMP P Tracking Table'!$AB290)+SQRT((3630*'BMP P Tracking Table'!$V290+20.691*'BMP P Tracking Table'!$AB290)^2-(4*(996.798*'BMP P Tracking Table'!$AB290)*-'BMP P Tracking Table'!$AC290)))/(2*(996.798*'BMP P Tracking Table'!$AB290)),IF(SUM('BMP P Tracking Table'!$X290:$AA290)=0,'BMP P Tracking Table'!$AC290/(-3630*'BMP P Tracking Table'!$V290),(-(3630*'BMP P Tracking Table'!$V290+20.691*'BMP P Tracking Table'!$AA290-216.711*'BMP P Tracking Table'!$Z290-83.853*'BMP P Tracking Table'!$Y290-42.834*'BMP P Tracking Table'!$X290)+SQRT((3630*'BMP P Tracking Table'!$V290+20.691*'BMP P Tracking Table'!$AA290-216.711*'BMP P Tracking Table'!$Z290-83.853*'BMP P Tracking Table'!$Y290-42.834*'BMP P Tracking Table'!$X290)^2-(4*(149.919*'BMP P Tracking Table'!$X290+236.676*'BMP P Tracking Table'!$Y290+726*'BMP P Tracking Table'!$Z290+996.798*'BMP P Tracking Table'!$AA290)*-'BMP P Tracking Table'!$AC290)))/(2*(149.919*'BMP P Tracking Table'!$X290+236.676*'BMP P Tracking Table'!$Y290+726*'BMP P Tracking Table'!$Z290+996.798*'BMP P Tracking Table'!$AA290))))),"")</f>
        <v/>
      </c>
      <c r="AG290" s="104" t="str">
        <f>IFERROR((VLOOKUP(CONCATENATE('BMP P Tracking Table'!$U290," ",'BMP P Tracking Table'!$AD290),'Performance Curves'!$C$1:$L$46,_xlfn.SINGLE(MATCH('BMP P Tracking Table'!$AF290,'Performance Curves'!$D$1:$L$1,1))+2,FALSE)-VLOOKUP(CONCATENATE('BMP P Tracking Table'!$U290," ",'BMP P Tracking Table'!$AD290),'Performance Curves'!$C$1:$L$46,_xlfn.SINGLE(MATCH('BMP P Tracking Table'!$AF290,'Performance Curves'!$D$1:$L$1,1))+1,FALSE)),"")</f>
        <v/>
      </c>
      <c r="AH290" s="104" t="str">
        <f>IFERROR(('BMP P Tracking Table'!$AF290-INDEX('Performance Curves'!$D$1:$L$1,1,MATCH('BMP P Tracking Table'!$AF290,'Performance Curves'!$D$1:$L$1,1)))/(INDEX('Performance Curves'!$D$1:$L$1,1,MATCH('BMP P Tracking Table'!$AF290,'Performance Curves'!$D$1:$L$1,1)+1)-INDEX('Performance Curves'!$D$1:$L$1,1,MATCH('BMP P Tracking Table'!$AF290,'Performance Curves'!$D$1:$L$1,1))),"")</f>
        <v/>
      </c>
      <c r="AI290" s="103" t="str">
        <f>IFERROR(IF('BMP P Tracking Table'!$AF290=2,VLOOKUP(CONCATENATE('BMP P Tracking Table'!$U290," ",'BMP P Tracking Table'!$AD290),'Performance Curves'!$C$1:$L$46,_xlfn.SINGLE(MATCH('BMP P Tracking Table'!$AF290,'Performance Curves'!$D$1:$L$1,1))+1,FALSE),'BMP P Tracking Table'!$AG290*'BMP P Tracking Table'!$AH290+VLOOKUP(CONCATENATE('BMP P Tracking Table'!$U290," ",'BMP P Tracking Table'!$AD290),'Performance Curves'!$C$1:$L$46,_xlfn.SINGLE(MATCH('BMP P Tracking Table'!$AF290,'Performance Curves'!$D$1:$L$1,1))+1,FALSE)),"")</f>
        <v/>
      </c>
      <c r="AJ290" s="104" t="str">
        <f>IFERROR('BMP P Tracking Table'!$AI290*'BMP P Tracking Table'!$AE290,"")</f>
        <v/>
      </c>
      <c r="AK290" s="65"/>
      <c r="AL290" s="98"/>
      <c r="AM290" s="98"/>
      <c r="AN290" s="64">
        <v>1</v>
      </c>
      <c r="AO290" s="102" t="str">
        <f t="shared" si="37"/>
        <v/>
      </c>
      <c r="AP290" s="98"/>
      <c r="AQ290" s="98"/>
      <c r="AR290" s="98"/>
      <c r="AS290" s="98"/>
      <c r="AT290" s="98"/>
      <c r="AU290" s="98"/>
      <c r="AV290" s="98"/>
      <c r="AW290" s="65"/>
      <c r="AX290" s="99"/>
      <c r="AY290" s="99"/>
      <c r="AZ290" s="104" t="str">
        <f>IF('BMP P Tracking Table'!$AL290="Yes",IF('BMP P Tracking Table'!$AM290="No",'BMP P Tracking Table'!$V290*VLOOKUP('BMP P Tracking Table'!$R290,'Loading Rates'!$B$1:$L$24,4,FALSE)+IF('BMP P Tracking Table'!$W290="By HSG",'BMP P Tracking Table'!$X290*VLOOKUP('BMP P Tracking Table'!$R290,'Loading Rates'!$B$1:$L$24,6,FALSE)+'BMP P Tracking Table'!$Y290*VLOOKUP('BMP P Tracking Table'!$R290,'Loading Rates'!$B$1:$L$24,7,FALSE)+'BMP P Tracking Table'!$Z290*VLOOKUP('BMP P Tracking Table'!$R290,'Loading Rates'!$B$1:$L$24,8,FALSE)+'BMP P Tracking Table'!$AA290*VLOOKUP('BMP P Tracking Table'!$R290,'Loading Rates'!$B$1:$L$24,9,FALSE),'BMP P Tracking Table'!$AB290*VLOOKUP('BMP P Tracking Table'!$R290,'Loading Rates'!$B$1:$L$24,10,FALSE)),'BMP P Tracking Table'!$AP290*VLOOKUP('BMP P Tracking Table'!$R290,'Loading Rates'!$B$1:$L$24,4,FALSE)+IF('BMP P Tracking Table'!$AQ290="By HSG",'BMP P Tracking Table'!$AR290*VLOOKUP('BMP P Tracking Table'!$R290,'Loading Rates'!$B$1:$L$24,6,FALSE)+'BMP P Tracking Table'!$AS290*VLOOKUP('BMP P Tracking Table'!$R290,'Loading Rates'!$B$1:$L$24,7,FALSE)+'BMP P Tracking Table'!$AT290*VLOOKUP('BMP P Tracking Table'!$R290,'Loading Rates'!$B$1:$L$24,8,FALSE)+'BMP P Tracking Table'!$AU290*VLOOKUP('BMP P Tracking Table'!$R290,'Loading Rates'!$B$1:$L$24,9,FALSE),'BMP P Tracking Table'!$AV290*VLOOKUP('BMP P Tracking Table'!$R290,'Loading Rates'!$B$1:$L$24,10,FALSE))),"")</f>
        <v/>
      </c>
      <c r="BA290" s="104" t="str">
        <f>IFERROR(IF('BMP P Tracking Table'!$AM290="Yes",MIN(2,IF('BMP P Tracking Table'!$AQ290="Total Pervious",(-(3630*'BMP P Tracking Table'!$AP290+20.691*'BMP P Tracking Table'!$AV290)+SQRT((3630*'BMP P Tracking Table'!$AP290+20.691*'BMP P Tracking Table'!$AV290)^2-(4*(996.798*'BMP P Tracking Table'!$AV290)*-'BMP P Tracking Table'!$AX290)))/(2*(996.798*'BMP P Tracking Table'!$AV290)),IF(SUM('BMP P Tracking Table'!$AR290:$AU290)=0,'BMP P Tracking Table'!$AV290/(-3630*'BMP P Tracking Table'!$AP290),(-(3630*'BMP P Tracking Table'!$AP290+20.691*'BMP P Tracking Table'!$AU290-216.711*'BMP P Tracking Table'!$AT290-83.853*'BMP P Tracking Table'!$AS290-42.834*'BMP P Tracking Table'!$AR290)+SQRT((3630*'BMP P Tracking Table'!$AP290+20.691*'BMP P Tracking Table'!$AU290-216.711*'BMP P Tracking Table'!$AT290-83.853*'BMP P Tracking Table'!$AS290-42.834*'BMP P Tracking Table'!$AR290)^2-(4*(149.919*'BMP P Tracking Table'!$AR290+236.676*'BMP P Tracking Table'!$AS290+726*'BMP P Tracking Table'!$AT290+996.798*'BMP P Tracking Table'!$AU290)*-'BMP P Tracking Table'!$AX290)))/(2*(149.919*'BMP P Tracking Table'!$AR290+236.676*'BMP P Tracking Table'!$AS290+726*'BMP P Tracking Table'!$AT290+996.798*'BMP P Tracking Table'!$AU290))))),MIN(2,IF('BMP P Tracking Table'!$AQ290="Total Pervious",(-(3630*'BMP P Tracking Table'!$V290+20.691*'BMP P Tracking Table'!$AB290)+SQRT((3630*'BMP P Tracking Table'!$V290+20.691*'BMP P Tracking Table'!$AB290)^2-(4*(996.798*'BMP P Tracking Table'!$AB290)*-'BMP P Tracking Table'!$AX290)))/(2*(996.798*'BMP P Tracking Table'!$AB290)),IF(SUM('BMP P Tracking Table'!$X290:$AA290)=0,'BMP P Tracking Table'!$AX290/(-3630*'BMP P Tracking Table'!$V290),(-(3630*'BMP P Tracking Table'!$V290+20.691*'BMP P Tracking Table'!$AA290-216.711*'BMP P Tracking Table'!$Z290-83.853*'BMP P Tracking Table'!$Y290-42.834*'BMP P Tracking Table'!$X290)+SQRT((3630*'BMP P Tracking Table'!$V290+20.691*'BMP P Tracking Table'!$AA290-216.711*'BMP P Tracking Table'!$Z290-83.853*'BMP P Tracking Table'!$Y290-42.834*'BMP P Tracking Table'!$X290)^2-(4*(149.919*'BMP P Tracking Table'!$X290+236.676*'BMP P Tracking Table'!$Y290+726*'BMP P Tracking Table'!$Z290+996.798*'BMP P Tracking Table'!$AA290)*-'BMP P Tracking Table'!$AX290)))/(2*(149.919*'BMP P Tracking Table'!$X290+236.676*'BMP P Tracking Table'!$Y290+726*'BMP P Tracking Table'!$Z290+996.798*'BMP P Tracking Table'!$AA290)))))),"")</f>
        <v/>
      </c>
      <c r="BB290" s="102" t="str">
        <f>IFERROR((VLOOKUP(CONCATENATE('BMP P Tracking Table'!$AW290," ",'BMP P Tracking Table'!$AY290),'Performance Curves'!$C$1:$L$46,_xlfn.SINGLE(MATCH('BMP P Tracking Table'!$BA290,'Performance Curves'!$D$1:$L$1,1))+2,FALSE)-VLOOKUP(CONCATENATE('BMP P Tracking Table'!$AW290," ",'BMP P Tracking Table'!$AY290),'Performance Curves'!$C$1:$L$46,_xlfn.SINGLE(MATCH('BMP P Tracking Table'!$BA290,'Performance Curves'!$D$1:$L$1,1))+1,FALSE)),"")</f>
        <v/>
      </c>
      <c r="BC290" s="102" t="str">
        <f>IFERROR(('BMP P Tracking Table'!$BA290-INDEX('Performance Curves'!$D$1:$L$1,1,MATCH('BMP P Tracking Table'!$BA290,'Performance Curves'!$D$1:$L$1,1)))/(INDEX('Performance Curves'!$D$1:$L$1,1,MATCH('BMP P Tracking Table'!$BA290,'Performance Curves'!$D$1:$L$1,1)+1)-INDEX('Performance Curves'!$D$1:$L$1,1,MATCH('BMP P Tracking Table'!$BA290,'Performance Curves'!$D$1:$L$1,1))),"")</f>
        <v/>
      </c>
      <c r="BD290" s="103" t="str" cm="1">
        <f t="array" ref="BD290">IFERROR(IF('BMP P Tracking Table'!$BA290=2,VLOOKUP(CONCATENATE('BMP P Tracking Table'!$AW290," ",'BMP P Tracking Table'!$AY290),'Performance Curves'!$C$1:$L$44,_xlfn.SINGLE(MATCH('BMP P Tracking Table'!$BA290,'Performance Curves'!$D$1:$L$1,1))+1,FALSE),'BMP P Tracking Table'!$BB290*'BMP P Tracking Table'!$BC290+VLOOKUP(CONCATENATE('BMP P Tracking Table'!$AW290," ",'BMP P Tracking Table'!$AY290),'Performance Curves'!$C$1:$L$44,_xlfn.SINGLE(MATCH('BMP P Tracking Table'!$BA290,'Performance Curves'!$D$1:$L$1,1))+1,FALSE)),"")</f>
        <v/>
      </c>
      <c r="BE290" s="104" t="str">
        <f>IFERROR('BMP P Tracking Table'!$BD290*'BMP P Tracking Table'!$AZ290,"")</f>
        <v/>
      </c>
      <c r="BF290" s="98"/>
      <c r="BG290" s="37">
        <f t="shared" si="38"/>
        <v>0</v>
      </c>
    </row>
    <row r="291" spans="2:59" s="36" customFormat="1">
      <c r="B291" s="65"/>
      <c r="C291" s="65"/>
      <c r="D291" s="65"/>
      <c r="E291" s="65"/>
      <c r="F291" s="94"/>
      <c r="G291" s="94"/>
      <c r="H291" s="65"/>
      <c r="I291" s="65"/>
      <c r="J291" s="65"/>
      <c r="K291" s="95"/>
      <c r="L291" s="65"/>
      <c r="M291" s="65"/>
      <c r="N291" s="65"/>
      <c r="O291" s="65"/>
      <c r="P291" s="65"/>
      <c r="Q291" s="65"/>
      <c r="R291" s="65" t="str">
        <f>IFERROR(VLOOKUP('BMP P Tracking Table'!$Q291,Dropdowns!$C$2:$E$15,3,FALSE),"")</f>
        <v/>
      </c>
      <c r="S291" s="65" t="str">
        <f>IFERROR(VLOOKUP('BMP P Tracking Table'!$R291,Dropdowns!$Q$3:$R$23,2,FALSE),"")</f>
        <v/>
      </c>
      <c r="T291" s="65"/>
      <c r="U291" s="65"/>
      <c r="V291" s="65"/>
      <c r="W291" s="65"/>
      <c r="X291" s="65"/>
      <c r="Y291" s="65"/>
      <c r="Z291" s="65"/>
      <c r="AA291" s="65"/>
      <c r="AB291" s="65"/>
      <c r="AC291" s="97"/>
      <c r="AD291" s="65"/>
      <c r="AE291" s="104" t="str">
        <f>IFERROR('BMP P Tracking Table'!$V291*VLOOKUP('BMP P Tracking Table'!$R291,'Loading Rates'!$B$1:$L$24,4,FALSE)+IF('BMP P Tracking Table'!$W291="By HSG",'BMP P Tracking Table'!$X291*VLOOKUP('BMP P Tracking Table'!$R291,'Loading Rates'!$B$1:$L$24,6,FALSE)+'BMP P Tracking Table'!$Y291*VLOOKUP('BMP P Tracking Table'!$R291,'Loading Rates'!$B$1:$L$24,7,FALSE)+'BMP P Tracking Table'!$Z291*VLOOKUP('BMP P Tracking Table'!$R291,'Loading Rates'!$B$1:$L$24,8,FALSE)+'BMP P Tracking Table'!$AA291*VLOOKUP('BMP P Tracking Table'!$R291,'Loading Rates'!$B$1:$L$24,9,FALSE),'BMP P Tracking Table'!$AB291*VLOOKUP('BMP P Tracking Table'!$R291,'Loading Rates'!$B$1:$L$24,10,FALSE)),"")</f>
        <v/>
      </c>
      <c r="AF291" s="104" t="str">
        <f>IFERROR(MIN(2,IF('BMP P Tracking Table'!$W291="Total Pervious",(-(3630*'BMP P Tracking Table'!$V291+20.691*'BMP P Tracking Table'!$AB291)+SQRT((3630*'BMP P Tracking Table'!$V291+20.691*'BMP P Tracking Table'!$AB291)^2-(4*(996.798*'BMP P Tracking Table'!$AB291)*-'BMP P Tracking Table'!$AC291)))/(2*(996.798*'BMP P Tracking Table'!$AB291)),IF(SUM('BMP P Tracking Table'!$X291:$AA291)=0,'BMP P Tracking Table'!$AC291/(-3630*'BMP P Tracking Table'!$V291),(-(3630*'BMP P Tracking Table'!$V291+20.691*'BMP P Tracking Table'!$AA291-216.711*'BMP P Tracking Table'!$Z291-83.853*'BMP P Tracking Table'!$Y291-42.834*'BMP P Tracking Table'!$X291)+SQRT((3630*'BMP P Tracking Table'!$V291+20.691*'BMP P Tracking Table'!$AA291-216.711*'BMP P Tracking Table'!$Z291-83.853*'BMP P Tracking Table'!$Y291-42.834*'BMP P Tracking Table'!$X291)^2-(4*(149.919*'BMP P Tracking Table'!$X291+236.676*'BMP P Tracking Table'!$Y291+726*'BMP P Tracking Table'!$Z291+996.798*'BMP P Tracking Table'!$AA291)*-'BMP P Tracking Table'!$AC291)))/(2*(149.919*'BMP P Tracking Table'!$X291+236.676*'BMP P Tracking Table'!$Y291+726*'BMP P Tracking Table'!$Z291+996.798*'BMP P Tracking Table'!$AA291))))),"")</f>
        <v/>
      </c>
      <c r="AG291" s="104" t="str">
        <f>IFERROR((VLOOKUP(CONCATENATE('BMP P Tracking Table'!$U291," ",'BMP P Tracking Table'!$AD291),'Performance Curves'!$C$1:$L$46,_xlfn.SINGLE(MATCH('BMP P Tracking Table'!$AF291,'Performance Curves'!$D$1:$L$1,1))+2,FALSE)-VLOOKUP(CONCATENATE('BMP P Tracking Table'!$U291," ",'BMP P Tracking Table'!$AD291),'Performance Curves'!$C$1:$L$46,_xlfn.SINGLE(MATCH('BMP P Tracking Table'!$AF291,'Performance Curves'!$D$1:$L$1,1))+1,FALSE)),"")</f>
        <v/>
      </c>
      <c r="AH291" s="104" t="str">
        <f>IFERROR(('BMP P Tracking Table'!$AF291-INDEX('Performance Curves'!$D$1:$L$1,1,MATCH('BMP P Tracking Table'!$AF291,'Performance Curves'!$D$1:$L$1,1)))/(INDEX('Performance Curves'!$D$1:$L$1,1,MATCH('BMP P Tracking Table'!$AF291,'Performance Curves'!$D$1:$L$1,1)+1)-INDEX('Performance Curves'!$D$1:$L$1,1,MATCH('BMP P Tracking Table'!$AF291,'Performance Curves'!$D$1:$L$1,1))),"")</f>
        <v/>
      </c>
      <c r="AI291" s="103" t="str">
        <f>IFERROR(IF('BMP P Tracking Table'!$AF291=2,VLOOKUP(CONCATENATE('BMP P Tracking Table'!$U291," ",'BMP P Tracking Table'!$AD291),'Performance Curves'!$C$1:$L$46,_xlfn.SINGLE(MATCH('BMP P Tracking Table'!$AF291,'Performance Curves'!$D$1:$L$1,1))+1,FALSE),'BMP P Tracking Table'!$AG291*'BMP P Tracking Table'!$AH291+VLOOKUP(CONCATENATE('BMP P Tracking Table'!$U291," ",'BMP P Tracking Table'!$AD291),'Performance Curves'!$C$1:$L$46,_xlfn.SINGLE(MATCH('BMP P Tracking Table'!$AF291,'Performance Curves'!$D$1:$L$1,1))+1,FALSE)),"")</f>
        <v/>
      </c>
      <c r="AJ291" s="104" t="str">
        <f>IFERROR('BMP P Tracking Table'!$AI291*'BMP P Tracking Table'!$AE291,"")</f>
        <v/>
      </c>
      <c r="AK291" s="65"/>
      <c r="AL291" s="98"/>
      <c r="AM291" s="98"/>
      <c r="AN291" s="64">
        <v>1</v>
      </c>
      <c r="AO291" s="102" t="str">
        <f t="shared" si="37"/>
        <v/>
      </c>
      <c r="AP291" s="98"/>
      <c r="AQ291" s="98"/>
      <c r="AR291" s="98"/>
      <c r="AS291" s="98"/>
      <c r="AT291" s="98"/>
      <c r="AU291" s="98"/>
      <c r="AV291" s="98"/>
      <c r="AW291" s="65"/>
      <c r="AX291" s="99"/>
      <c r="AY291" s="99"/>
      <c r="AZ291" s="104" t="str">
        <f>IF('BMP P Tracking Table'!$AL291="Yes",IF('BMP P Tracking Table'!$AM291="No",'BMP P Tracking Table'!$V291*VLOOKUP('BMP P Tracking Table'!$R291,'Loading Rates'!$B$1:$L$24,4,FALSE)+IF('BMP P Tracking Table'!$W291="By HSG",'BMP P Tracking Table'!$X291*VLOOKUP('BMP P Tracking Table'!$R291,'Loading Rates'!$B$1:$L$24,6,FALSE)+'BMP P Tracking Table'!$Y291*VLOOKUP('BMP P Tracking Table'!$R291,'Loading Rates'!$B$1:$L$24,7,FALSE)+'BMP P Tracking Table'!$Z291*VLOOKUP('BMP P Tracking Table'!$R291,'Loading Rates'!$B$1:$L$24,8,FALSE)+'BMP P Tracking Table'!$AA291*VLOOKUP('BMP P Tracking Table'!$R291,'Loading Rates'!$B$1:$L$24,9,FALSE),'BMP P Tracking Table'!$AB291*VLOOKUP('BMP P Tracking Table'!$R291,'Loading Rates'!$B$1:$L$24,10,FALSE)),'BMP P Tracking Table'!$AP291*VLOOKUP('BMP P Tracking Table'!$R291,'Loading Rates'!$B$1:$L$24,4,FALSE)+IF('BMP P Tracking Table'!$AQ291="By HSG",'BMP P Tracking Table'!$AR291*VLOOKUP('BMP P Tracking Table'!$R291,'Loading Rates'!$B$1:$L$24,6,FALSE)+'BMP P Tracking Table'!$AS291*VLOOKUP('BMP P Tracking Table'!$R291,'Loading Rates'!$B$1:$L$24,7,FALSE)+'BMP P Tracking Table'!$AT291*VLOOKUP('BMP P Tracking Table'!$R291,'Loading Rates'!$B$1:$L$24,8,FALSE)+'BMP P Tracking Table'!$AU291*VLOOKUP('BMP P Tracking Table'!$R291,'Loading Rates'!$B$1:$L$24,9,FALSE),'BMP P Tracking Table'!$AV291*VLOOKUP('BMP P Tracking Table'!$R291,'Loading Rates'!$B$1:$L$24,10,FALSE))),"")</f>
        <v/>
      </c>
      <c r="BA291" s="104" t="str">
        <f>IFERROR(IF('BMP P Tracking Table'!$AM291="Yes",MIN(2,IF('BMP P Tracking Table'!$AQ291="Total Pervious",(-(3630*'BMP P Tracking Table'!$AP291+20.691*'BMP P Tracking Table'!$AV291)+SQRT((3630*'BMP P Tracking Table'!$AP291+20.691*'BMP P Tracking Table'!$AV291)^2-(4*(996.798*'BMP P Tracking Table'!$AV291)*-'BMP P Tracking Table'!$AX291)))/(2*(996.798*'BMP P Tracking Table'!$AV291)),IF(SUM('BMP P Tracking Table'!$AR291:$AU291)=0,'BMP P Tracking Table'!$AV291/(-3630*'BMP P Tracking Table'!$AP291),(-(3630*'BMP P Tracking Table'!$AP291+20.691*'BMP P Tracking Table'!$AU291-216.711*'BMP P Tracking Table'!$AT291-83.853*'BMP P Tracking Table'!$AS291-42.834*'BMP P Tracking Table'!$AR291)+SQRT((3630*'BMP P Tracking Table'!$AP291+20.691*'BMP P Tracking Table'!$AU291-216.711*'BMP P Tracking Table'!$AT291-83.853*'BMP P Tracking Table'!$AS291-42.834*'BMP P Tracking Table'!$AR291)^2-(4*(149.919*'BMP P Tracking Table'!$AR291+236.676*'BMP P Tracking Table'!$AS291+726*'BMP P Tracking Table'!$AT291+996.798*'BMP P Tracking Table'!$AU291)*-'BMP P Tracking Table'!$AX291)))/(2*(149.919*'BMP P Tracking Table'!$AR291+236.676*'BMP P Tracking Table'!$AS291+726*'BMP P Tracking Table'!$AT291+996.798*'BMP P Tracking Table'!$AU291))))),MIN(2,IF('BMP P Tracking Table'!$AQ291="Total Pervious",(-(3630*'BMP P Tracking Table'!$V291+20.691*'BMP P Tracking Table'!$AB291)+SQRT((3630*'BMP P Tracking Table'!$V291+20.691*'BMP P Tracking Table'!$AB291)^2-(4*(996.798*'BMP P Tracking Table'!$AB291)*-'BMP P Tracking Table'!$AX291)))/(2*(996.798*'BMP P Tracking Table'!$AB291)),IF(SUM('BMP P Tracking Table'!$X291:$AA291)=0,'BMP P Tracking Table'!$AX291/(-3630*'BMP P Tracking Table'!$V291),(-(3630*'BMP P Tracking Table'!$V291+20.691*'BMP P Tracking Table'!$AA291-216.711*'BMP P Tracking Table'!$Z291-83.853*'BMP P Tracking Table'!$Y291-42.834*'BMP P Tracking Table'!$X291)+SQRT((3630*'BMP P Tracking Table'!$V291+20.691*'BMP P Tracking Table'!$AA291-216.711*'BMP P Tracking Table'!$Z291-83.853*'BMP P Tracking Table'!$Y291-42.834*'BMP P Tracking Table'!$X291)^2-(4*(149.919*'BMP P Tracking Table'!$X291+236.676*'BMP P Tracking Table'!$Y291+726*'BMP P Tracking Table'!$Z291+996.798*'BMP P Tracking Table'!$AA291)*-'BMP P Tracking Table'!$AX291)))/(2*(149.919*'BMP P Tracking Table'!$X291+236.676*'BMP P Tracking Table'!$Y291+726*'BMP P Tracking Table'!$Z291+996.798*'BMP P Tracking Table'!$AA291)))))),"")</f>
        <v/>
      </c>
      <c r="BB291" s="102" t="str">
        <f>IFERROR((VLOOKUP(CONCATENATE('BMP P Tracking Table'!$AW291," ",'BMP P Tracking Table'!$AY291),'Performance Curves'!$C$1:$L$46,_xlfn.SINGLE(MATCH('BMP P Tracking Table'!$BA291,'Performance Curves'!$D$1:$L$1,1))+2,FALSE)-VLOOKUP(CONCATENATE('BMP P Tracking Table'!$AW291," ",'BMP P Tracking Table'!$AY291),'Performance Curves'!$C$1:$L$46,_xlfn.SINGLE(MATCH('BMP P Tracking Table'!$BA291,'Performance Curves'!$D$1:$L$1,1))+1,FALSE)),"")</f>
        <v/>
      </c>
      <c r="BC291" s="102" t="str">
        <f>IFERROR(('BMP P Tracking Table'!$BA291-INDEX('Performance Curves'!$D$1:$L$1,1,MATCH('BMP P Tracking Table'!$BA291,'Performance Curves'!$D$1:$L$1,1)))/(INDEX('Performance Curves'!$D$1:$L$1,1,MATCH('BMP P Tracking Table'!$BA291,'Performance Curves'!$D$1:$L$1,1)+1)-INDEX('Performance Curves'!$D$1:$L$1,1,MATCH('BMP P Tracking Table'!$BA291,'Performance Curves'!$D$1:$L$1,1))),"")</f>
        <v/>
      </c>
      <c r="BD291" s="103" t="str" cm="1">
        <f t="array" ref="BD291">IFERROR(IF('BMP P Tracking Table'!$BA291=2,VLOOKUP(CONCATENATE('BMP P Tracking Table'!$AW291," ",'BMP P Tracking Table'!$AY291),'Performance Curves'!$C$1:$L$44,_xlfn.SINGLE(MATCH('BMP P Tracking Table'!$BA291,'Performance Curves'!$D$1:$L$1,1))+1,FALSE),'BMP P Tracking Table'!$BB291*'BMP P Tracking Table'!$BC291+VLOOKUP(CONCATENATE('BMP P Tracking Table'!$AW291," ",'BMP P Tracking Table'!$AY291),'Performance Curves'!$C$1:$L$44,_xlfn.SINGLE(MATCH('BMP P Tracking Table'!$BA291,'Performance Curves'!$D$1:$L$1,1))+1,FALSE)),"")</f>
        <v/>
      </c>
      <c r="BE291" s="104" t="str">
        <f>IFERROR('BMP P Tracking Table'!$BD291*'BMP P Tracking Table'!$AZ291,"")</f>
        <v/>
      </c>
      <c r="BF291" s="98"/>
      <c r="BG291" s="37">
        <f t="shared" si="38"/>
        <v>0</v>
      </c>
    </row>
    <row r="292" spans="2:59" s="36" customFormat="1">
      <c r="B292" s="65"/>
      <c r="C292" s="65"/>
      <c r="D292" s="65"/>
      <c r="E292" s="65"/>
      <c r="F292" s="94"/>
      <c r="G292" s="94"/>
      <c r="H292" s="65"/>
      <c r="I292" s="65"/>
      <c r="J292" s="65"/>
      <c r="K292" s="95"/>
      <c r="L292" s="65"/>
      <c r="M292" s="65"/>
      <c r="N292" s="65"/>
      <c r="O292" s="65"/>
      <c r="P292" s="65"/>
      <c r="Q292" s="65"/>
      <c r="R292" s="65" t="str">
        <f>IFERROR(VLOOKUP('BMP P Tracking Table'!$Q292,Dropdowns!$C$2:$E$15,3,FALSE),"")</f>
        <v/>
      </c>
      <c r="S292" s="65" t="str">
        <f>IFERROR(VLOOKUP('BMP P Tracking Table'!$R292,Dropdowns!$Q$3:$R$23,2,FALSE),"")</f>
        <v/>
      </c>
      <c r="T292" s="65"/>
      <c r="U292" s="65"/>
      <c r="V292" s="65"/>
      <c r="W292" s="65"/>
      <c r="X292" s="65"/>
      <c r="Y292" s="65"/>
      <c r="Z292" s="65"/>
      <c r="AA292" s="65"/>
      <c r="AB292" s="65"/>
      <c r="AC292" s="97"/>
      <c r="AD292" s="65"/>
      <c r="AE292" s="104" t="str">
        <f>IFERROR('BMP P Tracking Table'!$V292*VLOOKUP('BMP P Tracking Table'!$R292,'Loading Rates'!$B$1:$L$24,4,FALSE)+IF('BMP P Tracking Table'!$W292="By HSG",'BMP P Tracking Table'!$X292*VLOOKUP('BMP P Tracking Table'!$R292,'Loading Rates'!$B$1:$L$24,6,FALSE)+'BMP P Tracking Table'!$Y292*VLOOKUP('BMP P Tracking Table'!$R292,'Loading Rates'!$B$1:$L$24,7,FALSE)+'BMP P Tracking Table'!$Z292*VLOOKUP('BMP P Tracking Table'!$R292,'Loading Rates'!$B$1:$L$24,8,FALSE)+'BMP P Tracking Table'!$AA292*VLOOKUP('BMP P Tracking Table'!$R292,'Loading Rates'!$B$1:$L$24,9,FALSE),'BMP P Tracking Table'!$AB292*VLOOKUP('BMP P Tracking Table'!$R292,'Loading Rates'!$B$1:$L$24,10,FALSE)),"")</f>
        <v/>
      </c>
      <c r="AF292" s="104" t="str">
        <f>IFERROR(MIN(2,IF('BMP P Tracking Table'!$W292="Total Pervious",(-(3630*'BMP P Tracking Table'!$V292+20.691*'BMP P Tracking Table'!$AB292)+SQRT((3630*'BMP P Tracking Table'!$V292+20.691*'BMP P Tracking Table'!$AB292)^2-(4*(996.798*'BMP P Tracking Table'!$AB292)*-'BMP P Tracking Table'!$AC292)))/(2*(996.798*'BMP P Tracking Table'!$AB292)),IF(SUM('BMP P Tracking Table'!$X292:$AA292)=0,'BMP P Tracking Table'!$AC292/(-3630*'BMP P Tracking Table'!$V292),(-(3630*'BMP P Tracking Table'!$V292+20.691*'BMP P Tracking Table'!$AA292-216.711*'BMP P Tracking Table'!$Z292-83.853*'BMP P Tracking Table'!$Y292-42.834*'BMP P Tracking Table'!$X292)+SQRT((3630*'BMP P Tracking Table'!$V292+20.691*'BMP P Tracking Table'!$AA292-216.711*'BMP P Tracking Table'!$Z292-83.853*'BMP P Tracking Table'!$Y292-42.834*'BMP P Tracking Table'!$X292)^2-(4*(149.919*'BMP P Tracking Table'!$X292+236.676*'BMP P Tracking Table'!$Y292+726*'BMP P Tracking Table'!$Z292+996.798*'BMP P Tracking Table'!$AA292)*-'BMP P Tracking Table'!$AC292)))/(2*(149.919*'BMP P Tracking Table'!$X292+236.676*'BMP P Tracking Table'!$Y292+726*'BMP P Tracking Table'!$Z292+996.798*'BMP P Tracking Table'!$AA292))))),"")</f>
        <v/>
      </c>
      <c r="AG292" s="104" t="str">
        <f>IFERROR((VLOOKUP(CONCATENATE('BMP P Tracking Table'!$U292," ",'BMP P Tracking Table'!$AD292),'Performance Curves'!$C$1:$L$46,_xlfn.SINGLE(MATCH('BMP P Tracking Table'!$AF292,'Performance Curves'!$D$1:$L$1,1))+2,FALSE)-VLOOKUP(CONCATENATE('BMP P Tracking Table'!$U292," ",'BMP P Tracking Table'!$AD292),'Performance Curves'!$C$1:$L$46,_xlfn.SINGLE(MATCH('BMP P Tracking Table'!$AF292,'Performance Curves'!$D$1:$L$1,1))+1,FALSE)),"")</f>
        <v/>
      </c>
      <c r="AH292" s="104" t="str">
        <f>IFERROR(('BMP P Tracking Table'!$AF292-INDEX('Performance Curves'!$D$1:$L$1,1,MATCH('BMP P Tracking Table'!$AF292,'Performance Curves'!$D$1:$L$1,1)))/(INDEX('Performance Curves'!$D$1:$L$1,1,MATCH('BMP P Tracking Table'!$AF292,'Performance Curves'!$D$1:$L$1,1)+1)-INDEX('Performance Curves'!$D$1:$L$1,1,MATCH('BMP P Tracking Table'!$AF292,'Performance Curves'!$D$1:$L$1,1))),"")</f>
        <v/>
      </c>
      <c r="AI292" s="103" t="str">
        <f>IFERROR(IF('BMP P Tracking Table'!$AF292=2,VLOOKUP(CONCATENATE('BMP P Tracking Table'!$U292," ",'BMP P Tracking Table'!$AD292),'Performance Curves'!$C$1:$L$46,_xlfn.SINGLE(MATCH('BMP P Tracking Table'!$AF292,'Performance Curves'!$D$1:$L$1,1))+1,FALSE),'BMP P Tracking Table'!$AG292*'BMP P Tracking Table'!$AH292+VLOOKUP(CONCATENATE('BMP P Tracking Table'!$U292," ",'BMP P Tracking Table'!$AD292),'Performance Curves'!$C$1:$L$46,_xlfn.SINGLE(MATCH('BMP P Tracking Table'!$AF292,'Performance Curves'!$D$1:$L$1,1))+1,FALSE)),"")</f>
        <v/>
      </c>
      <c r="AJ292" s="104" t="str">
        <f>IFERROR('BMP P Tracking Table'!$AI292*'BMP P Tracking Table'!$AE292,"")</f>
        <v/>
      </c>
      <c r="AK292" s="65"/>
      <c r="AL292" s="98"/>
      <c r="AM292" s="98"/>
      <c r="AN292" s="64">
        <v>1</v>
      </c>
      <c r="AO292" s="102" t="str">
        <f t="shared" si="37"/>
        <v/>
      </c>
      <c r="AP292" s="98"/>
      <c r="AQ292" s="98"/>
      <c r="AR292" s="98"/>
      <c r="AS292" s="98"/>
      <c r="AT292" s="98"/>
      <c r="AU292" s="98"/>
      <c r="AV292" s="98"/>
      <c r="AW292" s="65"/>
      <c r="AX292" s="99"/>
      <c r="AY292" s="99"/>
      <c r="AZ292" s="104" t="str">
        <f>IF('BMP P Tracking Table'!$AL292="Yes",IF('BMP P Tracking Table'!$AM292="No",'BMP P Tracking Table'!$V292*VLOOKUP('BMP P Tracking Table'!$R292,'Loading Rates'!$B$1:$L$24,4,FALSE)+IF('BMP P Tracking Table'!$W292="By HSG",'BMP P Tracking Table'!$X292*VLOOKUP('BMP P Tracking Table'!$R292,'Loading Rates'!$B$1:$L$24,6,FALSE)+'BMP P Tracking Table'!$Y292*VLOOKUP('BMP P Tracking Table'!$R292,'Loading Rates'!$B$1:$L$24,7,FALSE)+'BMP P Tracking Table'!$Z292*VLOOKUP('BMP P Tracking Table'!$R292,'Loading Rates'!$B$1:$L$24,8,FALSE)+'BMP P Tracking Table'!$AA292*VLOOKUP('BMP P Tracking Table'!$R292,'Loading Rates'!$B$1:$L$24,9,FALSE),'BMP P Tracking Table'!$AB292*VLOOKUP('BMP P Tracking Table'!$R292,'Loading Rates'!$B$1:$L$24,10,FALSE)),'BMP P Tracking Table'!$AP292*VLOOKUP('BMP P Tracking Table'!$R292,'Loading Rates'!$B$1:$L$24,4,FALSE)+IF('BMP P Tracking Table'!$AQ292="By HSG",'BMP P Tracking Table'!$AR292*VLOOKUP('BMP P Tracking Table'!$R292,'Loading Rates'!$B$1:$L$24,6,FALSE)+'BMP P Tracking Table'!$AS292*VLOOKUP('BMP P Tracking Table'!$R292,'Loading Rates'!$B$1:$L$24,7,FALSE)+'BMP P Tracking Table'!$AT292*VLOOKUP('BMP P Tracking Table'!$R292,'Loading Rates'!$B$1:$L$24,8,FALSE)+'BMP P Tracking Table'!$AU292*VLOOKUP('BMP P Tracking Table'!$R292,'Loading Rates'!$B$1:$L$24,9,FALSE),'BMP P Tracking Table'!$AV292*VLOOKUP('BMP P Tracking Table'!$R292,'Loading Rates'!$B$1:$L$24,10,FALSE))),"")</f>
        <v/>
      </c>
      <c r="BA292" s="104" t="str">
        <f>IFERROR(IF('BMP P Tracking Table'!$AM292="Yes",MIN(2,IF('BMP P Tracking Table'!$AQ292="Total Pervious",(-(3630*'BMP P Tracking Table'!$AP292+20.691*'BMP P Tracking Table'!$AV292)+SQRT((3630*'BMP P Tracking Table'!$AP292+20.691*'BMP P Tracking Table'!$AV292)^2-(4*(996.798*'BMP P Tracking Table'!$AV292)*-'BMP P Tracking Table'!$AX292)))/(2*(996.798*'BMP P Tracking Table'!$AV292)),IF(SUM('BMP P Tracking Table'!$AR292:$AU292)=0,'BMP P Tracking Table'!$AV292/(-3630*'BMP P Tracking Table'!$AP292),(-(3630*'BMP P Tracking Table'!$AP292+20.691*'BMP P Tracking Table'!$AU292-216.711*'BMP P Tracking Table'!$AT292-83.853*'BMP P Tracking Table'!$AS292-42.834*'BMP P Tracking Table'!$AR292)+SQRT((3630*'BMP P Tracking Table'!$AP292+20.691*'BMP P Tracking Table'!$AU292-216.711*'BMP P Tracking Table'!$AT292-83.853*'BMP P Tracking Table'!$AS292-42.834*'BMP P Tracking Table'!$AR292)^2-(4*(149.919*'BMP P Tracking Table'!$AR292+236.676*'BMP P Tracking Table'!$AS292+726*'BMP P Tracking Table'!$AT292+996.798*'BMP P Tracking Table'!$AU292)*-'BMP P Tracking Table'!$AX292)))/(2*(149.919*'BMP P Tracking Table'!$AR292+236.676*'BMP P Tracking Table'!$AS292+726*'BMP P Tracking Table'!$AT292+996.798*'BMP P Tracking Table'!$AU292))))),MIN(2,IF('BMP P Tracking Table'!$AQ292="Total Pervious",(-(3630*'BMP P Tracking Table'!$V292+20.691*'BMP P Tracking Table'!$AB292)+SQRT((3630*'BMP P Tracking Table'!$V292+20.691*'BMP P Tracking Table'!$AB292)^2-(4*(996.798*'BMP P Tracking Table'!$AB292)*-'BMP P Tracking Table'!$AX292)))/(2*(996.798*'BMP P Tracking Table'!$AB292)),IF(SUM('BMP P Tracking Table'!$X292:$AA292)=0,'BMP P Tracking Table'!$AX292/(-3630*'BMP P Tracking Table'!$V292),(-(3630*'BMP P Tracking Table'!$V292+20.691*'BMP P Tracking Table'!$AA292-216.711*'BMP P Tracking Table'!$Z292-83.853*'BMP P Tracking Table'!$Y292-42.834*'BMP P Tracking Table'!$X292)+SQRT((3630*'BMP P Tracking Table'!$V292+20.691*'BMP P Tracking Table'!$AA292-216.711*'BMP P Tracking Table'!$Z292-83.853*'BMP P Tracking Table'!$Y292-42.834*'BMP P Tracking Table'!$X292)^2-(4*(149.919*'BMP P Tracking Table'!$X292+236.676*'BMP P Tracking Table'!$Y292+726*'BMP P Tracking Table'!$Z292+996.798*'BMP P Tracking Table'!$AA292)*-'BMP P Tracking Table'!$AX292)))/(2*(149.919*'BMP P Tracking Table'!$X292+236.676*'BMP P Tracking Table'!$Y292+726*'BMP P Tracking Table'!$Z292+996.798*'BMP P Tracking Table'!$AA292)))))),"")</f>
        <v/>
      </c>
      <c r="BB292" s="102" t="str">
        <f>IFERROR((VLOOKUP(CONCATENATE('BMP P Tracking Table'!$AW292," ",'BMP P Tracking Table'!$AY292),'Performance Curves'!$C$1:$L$46,_xlfn.SINGLE(MATCH('BMP P Tracking Table'!$BA292,'Performance Curves'!$D$1:$L$1,1))+2,FALSE)-VLOOKUP(CONCATENATE('BMP P Tracking Table'!$AW292," ",'BMP P Tracking Table'!$AY292),'Performance Curves'!$C$1:$L$46,_xlfn.SINGLE(MATCH('BMP P Tracking Table'!$BA292,'Performance Curves'!$D$1:$L$1,1))+1,FALSE)),"")</f>
        <v/>
      </c>
      <c r="BC292" s="102" t="str">
        <f>IFERROR(('BMP P Tracking Table'!$BA292-INDEX('Performance Curves'!$D$1:$L$1,1,MATCH('BMP P Tracking Table'!$BA292,'Performance Curves'!$D$1:$L$1,1)))/(INDEX('Performance Curves'!$D$1:$L$1,1,MATCH('BMP P Tracking Table'!$BA292,'Performance Curves'!$D$1:$L$1,1)+1)-INDEX('Performance Curves'!$D$1:$L$1,1,MATCH('BMP P Tracking Table'!$BA292,'Performance Curves'!$D$1:$L$1,1))),"")</f>
        <v/>
      </c>
      <c r="BD292" s="103" t="str" cm="1">
        <f t="array" ref="BD292">IFERROR(IF('BMP P Tracking Table'!$BA292=2,VLOOKUP(CONCATENATE('BMP P Tracking Table'!$AW292," ",'BMP P Tracking Table'!$AY292),'Performance Curves'!$C$1:$L$44,_xlfn.SINGLE(MATCH('BMP P Tracking Table'!$BA292,'Performance Curves'!$D$1:$L$1,1))+1,FALSE),'BMP P Tracking Table'!$BB292*'BMP P Tracking Table'!$BC292+VLOOKUP(CONCATENATE('BMP P Tracking Table'!$AW292," ",'BMP P Tracking Table'!$AY292),'Performance Curves'!$C$1:$L$44,_xlfn.SINGLE(MATCH('BMP P Tracking Table'!$BA292,'Performance Curves'!$D$1:$L$1,1))+1,FALSE)),"")</f>
        <v/>
      </c>
      <c r="BE292" s="104" t="str">
        <f>IFERROR('BMP P Tracking Table'!$BD292*'BMP P Tracking Table'!$AZ292,"")</f>
        <v/>
      </c>
      <c r="BF292" s="98"/>
      <c r="BG292" s="37">
        <f t="shared" si="38"/>
        <v>0</v>
      </c>
    </row>
    <row r="293" spans="2:59" s="36" customFormat="1">
      <c r="B293" s="65"/>
      <c r="C293" s="65"/>
      <c r="D293" s="65"/>
      <c r="E293" s="65"/>
      <c r="F293" s="94"/>
      <c r="G293" s="94"/>
      <c r="H293" s="65"/>
      <c r="I293" s="65"/>
      <c r="J293" s="65"/>
      <c r="K293" s="95"/>
      <c r="L293" s="65"/>
      <c r="M293" s="65"/>
      <c r="N293" s="65"/>
      <c r="O293" s="65"/>
      <c r="P293" s="65"/>
      <c r="Q293" s="65"/>
      <c r="R293" s="65" t="str">
        <f>IFERROR(VLOOKUP('BMP P Tracking Table'!$Q293,Dropdowns!$C$2:$E$15,3,FALSE),"")</f>
        <v/>
      </c>
      <c r="S293" s="65" t="str">
        <f>IFERROR(VLOOKUP('BMP P Tracking Table'!$R293,Dropdowns!$Q$3:$R$23,2,FALSE),"")</f>
        <v/>
      </c>
      <c r="T293" s="65"/>
      <c r="U293" s="65"/>
      <c r="V293" s="65"/>
      <c r="W293" s="65"/>
      <c r="X293" s="65"/>
      <c r="Y293" s="65"/>
      <c r="Z293" s="65"/>
      <c r="AA293" s="65"/>
      <c r="AB293" s="65"/>
      <c r="AC293" s="97"/>
      <c r="AD293" s="65"/>
      <c r="AE293" s="104" t="str">
        <f>IFERROR('BMP P Tracking Table'!$V293*VLOOKUP('BMP P Tracking Table'!$R293,'Loading Rates'!$B$1:$L$24,4,FALSE)+IF('BMP P Tracking Table'!$W293="By HSG",'BMP P Tracking Table'!$X293*VLOOKUP('BMP P Tracking Table'!$R293,'Loading Rates'!$B$1:$L$24,6,FALSE)+'BMP P Tracking Table'!$Y293*VLOOKUP('BMP P Tracking Table'!$R293,'Loading Rates'!$B$1:$L$24,7,FALSE)+'BMP P Tracking Table'!$Z293*VLOOKUP('BMP P Tracking Table'!$R293,'Loading Rates'!$B$1:$L$24,8,FALSE)+'BMP P Tracking Table'!$AA293*VLOOKUP('BMP P Tracking Table'!$R293,'Loading Rates'!$B$1:$L$24,9,FALSE),'BMP P Tracking Table'!$AB293*VLOOKUP('BMP P Tracking Table'!$R293,'Loading Rates'!$B$1:$L$24,10,FALSE)),"")</f>
        <v/>
      </c>
      <c r="AF293" s="104" t="str">
        <f>IFERROR(MIN(2,IF('BMP P Tracking Table'!$W293="Total Pervious",(-(3630*'BMP P Tracking Table'!$V293+20.691*'BMP P Tracking Table'!$AB293)+SQRT((3630*'BMP P Tracking Table'!$V293+20.691*'BMP P Tracking Table'!$AB293)^2-(4*(996.798*'BMP P Tracking Table'!$AB293)*-'BMP P Tracking Table'!$AC293)))/(2*(996.798*'BMP P Tracking Table'!$AB293)),IF(SUM('BMP P Tracking Table'!$X293:$AA293)=0,'BMP P Tracking Table'!$AC293/(-3630*'BMP P Tracking Table'!$V293),(-(3630*'BMP P Tracking Table'!$V293+20.691*'BMP P Tracking Table'!$AA293-216.711*'BMP P Tracking Table'!$Z293-83.853*'BMP P Tracking Table'!$Y293-42.834*'BMP P Tracking Table'!$X293)+SQRT((3630*'BMP P Tracking Table'!$V293+20.691*'BMP P Tracking Table'!$AA293-216.711*'BMP P Tracking Table'!$Z293-83.853*'BMP P Tracking Table'!$Y293-42.834*'BMP P Tracking Table'!$X293)^2-(4*(149.919*'BMP P Tracking Table'!$X293+236.676*'BMP P Tracking Table'!$Y293+726*'BMP P Tracking Table'!$Z293+996.798*'BMP P Tracking Table'!$AA293)*-'BMP P Tracking Table'!$AC293)))/(2*(149.919*'BMP P Tracking Table'!$X293+236.676*'BMP P Tracking Table'!$Y293+726*'BMP P Tracking Table'!$Z293+996.798*'BMP P Tracking Table'!$AA293))))),"")</f>
        <v/>
      </c>
      <c r="AG293" s="104" t="str">
        <f>IFERROR((VLOOKUP(CONCATENATE('BMP P Tracking Table'!$U293," ",'BMP P Tracking Table'!$AD293),'Performance Curves'!$C$1:$L$46,_xlfn.SINGLE(MATCH('BMP P Tracking Table'!$AF293,'Performance Curves'!$D$1:$L$1,1))+2,FALSE)-VLOOKUP(CONCATENATE('BMP P Tracking Table'!$U293," ",'BMP P Tracking Table'!$AD293),'Performance Curves'!$C$1:$L$46,_xlfn.SINGLE(MATCH('BMP P Tracking Table'!$AF293,'Performance Curves'!$D$1:$L$1,1))+1,FALSE)),"")</f>
        <v/>
      </c>
      <c r="AH293" s="104" t="str">
        <f>IFERROR(('BMP P Tracking Table'!$AF293-INDEX('Performance Curves'!$D$1:$L$1,1,MATCH('BMP P Tracking Table'!$AF293,'Performance Curves'!$D$1:$L$1,1)))/(INDEX('Performance Curves'!$D$1:$L$1,1,MATCH('BMP P Tracking Table'!$AF293,'Performance Curves'!$D$1:$L$1,1)+1)-INDEX('Performance Curves'!$D$1:$L$1,1,MATCH('BMP P Tracking Table'!$AF293,'Performance Curves'!$D$1:$L$1,1))),"")</f>
        <v/>
      </c>
      <c r="AI293" s="103" t="str">
        <f>IFERROR(IF('BMP P Tracking Table'!$AF293=2,VLOOKUP(CONCATENATE('BMP P Tracking Table'!$U293," ",'BMP P Tracking Table'!$AD293),'Performance Curves'!$C$1:$L$46,_xlfn.SINGLE(MATCH('BMP P Tracking Table'!$AF293,'Performance Curves'!$D$1:$L$1,1))+1,FALSE),'BMP P Tracking Table'!$AG293*'BMP P Tracking Table'!$AH293+VLOOKUP(CONCATENATE('BMP P Tracking Table'!$U293," ",'BMP P Tracking Table'!$AD293),'Performance Curves'!$C$1:$L$46,_xlfn.SINGLE(MATCH('BMP P Tracking Table'!$AF293,'Performance Curves'!$D$1:$L$1,1))+1,FALSE)),"")</f>
        <v/>
      </c>
      <c r="AJ293" s="104" t="str">
        <f>IFERROR('BMP P Tracking Table'!$AI293*'BMP P Tracking Table'!$AE293,"")</f>
        <v/>
      </c>
      <c r="AK293" s="65"/>
      <c r="AL293" s="98"/>
      <c r="AM293" s="98"/>
      <c r="AN293" s="64">
        <v>1</v>
      </c>
      <c r="AO293" s="102" t="str">
        <f t="shared" si="37"/>
        <v/>
      </c>
      <c r="AP293" s="98"/>
      <c r="AQ293" s="98"/>
      <c r="AR293" s="98"/>
      <c r="AS293" s="98"/>
      <c r="AT293" s="98"/>
      <c r="AU293" s="98"/>
      <c r="AV293" s="98"/>
      <c r="AW293" s="65"/>
      <c r="AX293" s="99"/>
      <c r="AY293" s="99"/>
      <c r="AZ293" s="104" t="str">
        <f>IF('BMP P Tracking Table'!$AL293="Yes",IF('BMP P Tracking Table'!$AM293="No",'BMP P Tracking Table'!$V293*VLOOKUP('BMP P Tracking Table'!$R293,'Loading Rates'!$B$1:$L$24,4,FALSE)+IF('BMP P Tracking Table'!$W293="By HSG",'BMP P Tracking Table'!$X293*VLOOKUP('BMP P Tracking Table'!$R293,'Loading Rates'!$B$1:$L$24,6,FALSE)+'BMP P Tracking Table'!$Y293*VLOOKUP('BMP P Tracking Table'!$R293,'Loading Rates'!$B$1:$L$24,7,FALSE)+'BMP P Tracking Table'!$Z293*VLOOKUP('BMP P Tracking Table'!$R293,'Loading Rates'!$B$1:$L$24,8,FALSE)+'BMP P Tracking Table'!$AA293*VLOOKUP('BMP P Tracking Table'!$R293,'Loading Rates'!$B$1:$L$24,9,FALSE),'BMP P Tracking Table'!$AB293*VLOOKUP('BMP P Tracking Table'!$R293,'Loading Rates'!$B$1:$L$24,10,FALSE)),'BMP P Tracking Table'!$AP293*VLOOKUP('BMP P Tracking Table'!$R293,'Loading Rates'!$B$1:$L$24,4,FALSE)+IF('BMP P Tracking Table'!$AQ293="By HSG",'BMP P Tracking Table'!$AR293*VLOOKUP('BMP P Tracking Table'!$R293,'Loading Rates'!$B$1:$L$24,6,FALSE)+'BMP P Tracking Table'!$AS293*VLOOKUP('BMP P Tracking Table'!$R293,'Loading Rates'!$B$1:$L$24,7,FALSE)+'BMP P Tracking Table'!$AT293*VLOOKUP('BMP P Tracking Table'!$R293,'Loading Rates'!$B$1:$L$24,8,FALSE)+'BMP P Tracking Table'!$AU293*VLOOKUP('BMP P Tracking Table'!$R293,'Loading Rates'!$B$1:$L$24,9,FALSE),'BMP P Tracking Table'!$AV293*VLOOKUP('BMP P Tracking Table'!$R293,'Loading Rates'!$B$1:$L$24,10,FALSE))),"")</f>
        <v/>
      </c>
      <c r="BA293" s="104" t="str">
        <f>IFERROR(IF('BMP P Tracking Table'!$AM293="Yes",MIN(2,IF('BMP P Tracking Table'!$AQ293="Total Pervious",(-(3630*'BMP P Tracking Table'!$AP293+20.691*'BMP P Tracking Table'!$AV293)+SQRT((3630*'BMP P Tracking Table'!$AP293+20.691*'BMP P Tracking Table'!$AV293)^2-(4*(996.798*'BMP P Tracking Table'!$AV293)*-'BMP P Tracking Table'!$AX293)))/(2*(996.798*'BMP P Tracking Table'!$AV293)),IF(SUM('BMP P Tracking Table'!$AR293:$AU293)=0,'BMP P Tracking Table'!$AV293/(-3630*'BMP P Tracking Table'!$AP293),(-(3630*'BMP P Tracking Table'!$AP293+20.691*'BMP P Tracking Table'!$AU293-216.711*'BMP P Tracking Table'!$AT293-83.853*'BMP P Tracking Table'!$AS293-42.834*'BMP P Tracking Table'!$AR293)+SQRT((3630*'BMP P Tracking Table'!$AP293+20.691*'BMP P Tracking Table'!$AU293-216.711*'BMP P Tracking Table'!$AT293-83.853*'BMP P Tracking Table'!$AS293-42.834*'BMP P Tracking Table'!$AR293)^2-(4*(149.919*'BMP P Tracking Table'!$AR293+236.676*'BMP P Tracking Table'!$AS293+726*'BMP P Tracking Table'!$AT293+996.798*'BMP P Tracking Table'!$AU293)*-'BMP P Tracking Table'!$AX293)))/(2*(149.919*'BMP P Tracking Table'!$AR293+236.676*'BMP P Tracking Table'!$AS293+726*'BMP P Tracking Table'!$AT293+996.798*'BMP P Tracking Table'!$AU293))))),MIN(2,IF('BMP P Tracking Table'!$AQ293="Total Pervious",(-(3630*'BMP P Tracking Table'!$V293+20.691*'BMP P Tracking Table'!$AB293)+SQRT((3630*'BMP P Tracking Table'!$V293+20.691*'BMP P Tracking Table'!$AB293)^2-(4*(996.798*'BMP P Tracking Table'!$AB293)*-'BMP P Tracking Table'!$AX293)))/(2*(996.798*'BMP P Tracking Table'!$AB293)),IF(SUM('BMP P Tracking Table'!$X293:$AA293)=0,'BMP P Tracking Table'!$AX293/(-3630*'BMP P Tracking Table'!$V293),(-(3630*'BMP P Tracking Table'!$V293+20.691*'BMP P Tracking Table'!$AA293-216.711*'BMP P Tracking Table'!$Z293-83.853*'BMP P Tracking Table'!$Y293-42.834*'BMP P Tracking Table'!$X293)+SQRT((3630*'BMP P Tracking Table'!$V293+20.691*'BMP P Tracking Table'!$AA293-216.711*'BMP P Tracking Table'!$Z293-83.853*'BMP P Tracking Table'!$Y293-42.834*'BMP P Tracking Table'!$X293)^2-(4*(149.919*'BMP P Tracking Table'!$X293+236.676*'BMP P Tracking Table'!$Y293+726*'BMP P Tracking Table'!$Z293+996.798*'BMP P Tracking Table'!$AA293)*-'BMP P Tracking Table'!$AX293)))/(2*(149.919*'BMP P Tracking Table'!$X293+236.676*'BMP P Tracking Table'!$Y293+726*'BMP P Tracking Table'!$Z293+996.798*'BMP P Tracking Table'!$AA293)))))),"")</f>
        <v/>
      </c>
      <c r="BB293" s="102" t="str">
        <f>IFERROR((VLOOKUP(CONCATENATE('BMP P Tracking Table'!$AW293," ",'BMP P Tracking Table'!$AY293),'Performance Curves'!$C$1:$L$46,_xlfn.SINGLE(MATCH('BMP P Tracking Table'!$BA293,'Performance Curves'!$D$1:$L$1,1))+2,FALSE)-VLOOKUP(CONCATENATE('BMP P Tracking Table'!$AW293," ",'BMP P Tracking Table'!$AY293),'Performance Curves'!$C$1:$L$46,_xlfn.SINGLE(MATCH('BMP P Tracking Table'!$BA293,'Performance Curves'!$D$1:$L$1,1))+1,FALSE)),"")</f>
        <v/>
      </c>
      <c r="BC293" s="102" t="str">
        <f>IFERROR(('BMP P Tracking Table'!$BA293-INDEX('Performance Curves'!$D$1:$L$1,1,MATCH('BMP P Tracking Table'!$BA293,'Performance Curves'!$D$1:$L$1,1)))/(INDEX('Performance Curves'!$D$1:$L$1,1,MATCH('BMP P Tracking Table'!$BA293,'Performance Curves'!$D$1:$L$1,1)+1)-INDEX('Performance Curves'!$D$1:$L$1,1,MATCH('BMP P Tracking Table'!$BA293,'Performance Curves'!$D$1:$L$1,1))),"")</f>
        <v/>
      </c>
      <c r="BD293" s="103" t="str" cm="1">
        <f t="array" ref="BD293">IFERROR(IF('BMP P Tracking Table'!$BA293=2,VLOOKUP(CONCATENATE('BMP P Tracking Table'!$AW293," ",'BMP P Tracking Table'!$AY293),'Performance Curves'!$C$1:$L$44,_xlfn.SINGLE(MATCH('BMP P Tracking Table'!$BA293,'Performance Curves'!$D$1:$L$1,1))+1,FALSE),'BMP P Tracking Table'!$BB293*'BMP P Tracking Table'!$BC293+VLOOKUP(CONCATENATE('BMP P Tracking Table'!$AW293," ",'BMP P Tracking Table'!$AY293),'Performance Curves'!$C$1:$L$44,_xlfn.SINGLE(MATCH('BMP P Tracking Table'!$BA293,'Performance Curves'!$D$1:$L$1,1))+1,FALSE)),"")</f>
        <v/>
      </c>
      <c r="BE293" s="104" t="str">
        <f>IFERROR('BMP P Tracking Table'!$BD293*'BMP P Tracking Table'!$AZ293,"")</f>
        <v/>
      </c>
      <c r="BF293" s="92"/>
      <c r="BG293" s="37">
        <f t="shared" si="38"/>
        <v>0</v>
      </c>
    </row>
    <row r="294" spans="2:59" s="36" customFormat="1">
      <c r="B294" s="65"/>
      <c r="C294" s="65"/>
      <c r="D294" s="65"/>
      <c r="E294" s="65"/>
      <c r="F294" s="94"/>
      <c r="G294" s="94"/>
      <c r="H294" s="65"/>
      <c r="I294" s="65"/>
      <c r="J294" s="65"/>
      <c r="K294" s="95"/>
      <c r="L294" s="65"/>
      <c r="M294" s="65"/>
      <c r="N294" s="65"/>
      <c r="O294" s="65"/>
      <c r="P294" s="65"/>
      <c r="Q294" s="65"/>
      <c r="R294" s="65" t="str">
        <f>IFERROR(VLOOKUP('BMP P Tracking Table'!$Q294,Dropdowns!$C$2:$E$15,3,FALSE),"")</f>
        <v/>
      </c>
      <c r="S294" s="65" t="str">
        <f>IFERROR(VLOOKUP('BMP P Tracking Table'!$R294,Dropdowns!$Q$3:$R$23,2,FALSE),"")</f>
        <v/>
      </c>
      <c r="T294" s="65"/>
      <c r="U294" s="65"/>
      <c r="V294" s="65"/>
      <c r="W294" s="65"/>
      <c r="X294" s="65"/>
      <c r="Y294" s="65"/>
      <c r="Z294" s="65"/>
      <c r="AA294" s="65"/>
      <c r="AB294" s="65"/>
      <c r="AC294" s="97"/>
      <c r="AD294" s="65"/>
      <c r="AE294" s="104" t="str">
        <f>IFERROR('BMP P Tracking Table'!$V294*VLOOKUP('BMP P Tracking Table'!$R294,'Loading Rates'!$B$1:$L$24,4,FALSE)+IF('BMP P Tracking Table'!$W294="By HSG",'BMP P Tracking Table'!$X294*VLOOKUP('BMP P Tracking Table'!$R294,'Loading Rates'!$B$1:$L$24,6,FALSE)+'BMP P Tracking Table'!$Y294*VLOOKUP('BMP P Tracking Table'!$R294,'Loading Rates'!$B$1:$L$24,7,FALSE)+'BMP P Tracking Table'!$Z294*VLOOKUP('BMP P Tracking Table'!$R294,'Loading Rates'!$B$1:$L$24,8,FALSE)+'BMP P Tracking Table'!$AA294*VLOOKUP('BMP P Tracking Table'!$R294,'Loading Rates'!$B$1:$L$24,9,FALSE),'BMP P Tracking Table'!$AB294*VLOOKUP('BMP P Tracking Table'!$R294,'Loading Rates'!$B$1:$L$24,10,FALSE)),"")</f>
        <v/>
      </c>
      <c r="AF294" s="104" t="str">
        <f>IFERROR(MIN(2,IF('BMP P Tracking Table'!$W294="Total Pervious",(-(3630*'BMP P Tracking Table'!$V294+20.691*'BMP P Tracking Table'!$AB294)+SQRT((3630*'BMP P Tracking Table'!$V294+20.691*'BMP P Tracking Table'!$AB294)^2-(4*(996.798*'BMP P Tracking Table'!$AB294)*-'BMP P Tracking Table'!$AC294)))/(2*(996.798*'BMP P Tracking Table'!$AB294)),IF(SUM('BMP P Tracking Table'!$X294:$AA294)=0,'BMP P Tracking Table'!$AC294/(-3630*'BMP P Tracking Table'!$V294),(-(3630*'BMP P Tracking Table'!$V294+20.691*'BMP P Tracking Table'!$AA294-216.711*'BMP P Tracking Table'!$Z294-83.853*'BMP P Tracking Table'!$Y294-42.834*'BMP P Tracking Table'!$X294)+SQRT((3630*'BMP P Tracking Table'!$V294+20.691*'BMP P Tracking Table'!$AA294-216.711*'BMP P Tracking Table'!$Z294-83.853*'BMP P Tracking Table'!$Y294-42.834*'BMP P Tracking Table'!$X294)^2-(4*(149.919*'BMP P Tracking Table'!$X294+236.676*'BMP P Tracking Table'!$Y294+726*'BMP P Tracking Table'!$Z294+996.798*'BMP P Tracking Table'!$AA294)*-'BMP P Tracking Table'!$AC294)))/(2*(149.919*'BMP P Tracking Table'!$X294+236.676*'BMP P Tracking Table'!$Y294+726*'BMP P Tracking Table'!$Z294+996.798*'BMP P Tracking Table'!$AA294))))),"")</f>
        <v/>
      </c>
      <c r="AG294" s="104" t="str">
        <f>IFERROR((VLOOKUP(CONCATENATE('BMP P Tracking Table'!$U294," ",'BMP P Tracking Table'!$AD294),'Performance Curves'!$C$1:$L$46,_xlfn.SINGLE(MATCH('BMP P Tracking Table'!$AF294,'Performance Curves'!$D$1:$L$1,1))+2,FALSE)-VLOOKUP(CONCATENATE('BMP P Tracking Table'!$U294," ",'BMP P Tracking Table'!$AD294),'Performance Curves'!$C$1:$L$46,_xlfn.SINGLE(MATCH('BMP P Tracking Table'!$AF294,'Performance Curves'!$D$1:$L$1,1))+1,FALSE)),"")</f>
        <v/>
      </c>
      <c r="AH294" s="104" t="str">
        <f>IFERROR(('BMP P Tracking Table'!$AF294-INDEX('Performance Curves'!$D$1:$L$1,1,MATCH('BMP P Tracking Table'!$AF294,'Performance Curves'!$D$1:$L$1,1)))/(INDEX('Performance Curves'!$D$1:$L$1,1,MATCH('BMP P Tracking Table'!$AF294,'Performance Curves'!$D$1:$L$1,1)+1)-INDEX('Performance Curves'!$D$1:$L$1,1,MATCH('BMP P Tracking Table'!$AF294,'Performance Curves'!$D$1:$L$1,1))),"")</f>
        <v/>
      </c>
      <c r="AI294" s="103" t="str">
        <f>IFERROR(IF('BMP P Tracking Table'!$AF294=2,VLOOKUP(CONCATENATE('BMP P Tracking Table'!$U294," ",'BMP P Tracking Table'!$AD294),'Performance Curves'!$C$1:$L$46,_xlfn.SINGLE(MATCH('BMP P Tracking Table'!$AF294,'Performance Curves'!$D$1:$L$1,1))+1,FALSE),'BMP P Tracking Table'!$AG294*'BMP P Tracking Table'!$AH294+VLOOKUP(CONCATENATE('BMP P Tracking Table'!$U294," ",'BMP P Tracking Table'!$AD294),'Performance Curves'!$C$1:$L$46,_xlfn.SINGLE(MATCH('BMP P Tracking Table'!$AF294,'Performance Curves'!$D$1:$L$1,1))+1,FALSE)),"")</f>
        <v/>
      </c>
      <c r="AJ294" s="104" t="str">
        <f>IFERROR('BMP P Tracking Table'!$AI294*'BMP P Tracking Table'!$AE294,"")</f>
        <v/>
      </c>
      <c r="AK294" s="65"/>
      <c r="AL294" s="98"/>
      <c r="AM294" s="98"/>
      <c r="AN294" s="64">
        <v>1</v>
      </c>
      <c r="AO294" s="102" t="str">
        <f t="shared" si="37"/>
        <v/>
      </c>
      <c r="AP294" s="98"/>
      <c r="AQ294" s="98"/>
      <c r="AR294" s="98"/>
      <c r="AS294" s="98"/>
      <c r="AT294" s="98"/>
      <c r="AU294" s="98"/>
      <c r="AV294" s="98"/>
      <c r="AW294" s="65"/>
      <c r="AX294" s="99"/>
      <c r="AY294" s="99"/>
      <c r="AZ294" s="104" t="str">
        <f>IF('BMP P Tracking Table'!$AL294="Yes",IF('BMP P Tracking Table'!$AM294="No",'BMP P Tracking Table'!$V294*VLOOKUP('BMP P Tracking Table'!$R294,'Loading Rates'!$B$1:$L$24,4,FALSE)+IF('BMP P Tracking Table'!$W294="By HSG",'BMP P Tracking Table'!$X294*VLOOKUP('BMP P Tracking Table'!$R294,'Loading Rates'!$B$1:$L$24,6,FALSE)+'BMP P Tracking Table'!$Y294*VLOOKUP('BMP P Tracking Table'!$R294,'Loading Rates'!$B$1:$L$24,7,FALSE)+'BMP P Tracking Table'!$Z294*VLOOKUP('BMP P Tracking Table'!$R294,'Loading Rates'!$B$1:$L$24,8,FALSE)+'BMP P Tracking Table'!$AA294*VLOOKUP('BMP P Tracking Table'!$R294,'Loading Rates'!$B$1:$L$24,9,FALSE),'BMP P Tracking Table'!$AB294*VLOOKUP('BMP P Tracking Table'!$R294,'Loading Rates'!$B$1:$L$24,10,FALSE)),'BMP P Tracking Table'!$AP294*VLOOKUP('BMP P Tracking Table'!$R294,'Loading Rates'!$B$1:$L$24,4,FALSE)+IF('BMP P Tracking Table'!$AQ294="By HSG",'BMP P Tracking Table'!$AR294*VLOOKUP('BMP P Tracking Table'!$R294,'Loading Rates'!$B$1:$L$24,6,FALSE)+'BMP P Tracking Table'!$AS294*VLOOKUP('BMP P Tracking Table'!$R294,'Loading Rates'!$B$1:$L$24,7,FALSE)+'BMP P Tracking Table'!$AT294*VLOOKUP('BMP P Tracking Table'!$R294,'Loading Rates'!$B$1:$L$24,8,FALSE)+'BMP P Tracking Table'!$AU294*VLOOKUP('BMP P Tracking Table'!$R294,'Loading Rates'!$B$1:$L$24,9,FALSE),'BMP P Tracking Table'!$AV294*VLOOKUP('BMP P Tracking Table'!$R294,'Loading Rates'!$B$1:$L$24,10,FALSE))),"")</f>
        <v/>
      </c>
      <c r="BA294" s="104" t="str">
        <f>IFERROR(IF('BMP P Tracking Table'!$AM294="Yes",MIN(2,IF('BMP P Tracking Table'!$AQ294="Total Pervious",(-(3630*'BMP P Tracking Table'!$AP294+20.691*'BMP P Tracking Table'!$AV294)+SQRT((3630*'BMP P Tracking Table'!$AP294+20.691*'BMP P Tracking Table'!$AV294)^2-(4*(996.798*'BMP P Tracking Table'!$AV294)*-'BMP P Tracking Table'!$AX294)))/(2*(996.798*'BMP P Tracking Table'!$AV294)),IF(SUM('BMP P Tracking Table'!$AR294:$AU294)=0,'BMP P Tracking Table'!$AV294/(-3630*'BMP P Tracking Table'!$AP294),(-(3630*'BMP P Tracking Table'!$AP294+20.691*'BMP P Tracking Table'!$AU294-216.711*'BMP P Tracking Table'!$AT294-83.853*'BMP P Tracking Table'!$AS294-42.834*'BMP P Tracking Table'!$AR294)+SQRT((3630*'BMP P Tracking Table'!$AP294+20.691*'BMP P Tracking Table'!$AU294-216.711*'BMP P Tracking Table'!$AT294-83.853*'BMP P Tracking Table'!$AS294-42.834*'BMP P Tracking Table'!$AR294)^2-(4*(149.919*'BMP P Tracking Table'!$AR294+236.676*'BMP P Tracking Table'!$AS294+726*'BMP P Tracking Table'!$AT294+996.798*'BMP P Tracking Table'!$AU294)*-'BMP P Tracking Table'!$AX294)))/(2*(149.919*'BMP P Tracking Table'!$AR294+236.676*'BMP P Tracking Table'!$AS294+726*'BMP P Tracking Table'!$AT294+996.798*'BMP P Tracking Table'!$AU294))))),MIN(2,IF('BMP P Tracking Table'!$AQ294="Total Pervious",(-(3630*'BMP P Tracking Table'!$V294+20.691*'BMP P Tracking Table'!$AB294)+SQRT((3630*'BMP P Tracking Table'!$V294+20.691*'BMP P Tracking Table'!$AB294)^2-(4*(996.798*'BMP P Tracking Table'!$AB294)*-'BMP P Tracking Table'!$AX294)))/(2*(996.798*'BMP P Tracking Table'!$AB294)),IF(SUM('BMP P Tracking Table'!$X294:$AA294)=0,'BMP P Tracking Table'!$AX294/(-3630*'BMP P Tracking Table'!$V294),(-(3630*'BMP P Tracking Table'!$V294+20.691*'BMP P Tracking Table'!$AA294-216.711*'BMP P Tracking Table'!$Z294-83.853*'BMP P Tracking Table'!$Y294-42.834*'BMP P Tracking Table'!$X294)+SQRT((3630*'BMP P Tracking Table'!$V294+20.691*'BMP P Tracking Table'!$AA294-216.711*'BMP P Tracking Table'!$Z294-83.853*'BMP P Tracking Table'!$Y294-42.834*'BMP P Tracking Table'!$X294)^2-(4*(149.919*'BMP P Tracking Table'!$X294+236.676*'BMP P Tracking Table'!$Y294+726*'BMP P Tracking Table'!$Z294+996.798*'BMP P Tracking Table'!$AA294)*-'BMP P Tracking Table'!$AX294)))/(2*(149.919*'BMP P Tracking Table'!$X294+236.676*'BMP P Tracking Table'!$Y294+726*'BMP P Tracking Table'!$Z294+996.798*'BMP P Tracking Table'!$AA294)))))),"")</f>
        <v/>
      </c>
      <c r="BB294" s="102" t="str">
        <f>IFERROR((VLOOKUP(CONCATENATE('BMP P Tracking Table'!$AW294," ",'BMP P Tracking Table'!$AY294),'Performance Curves'!$C$1:$L$46,_xlfn.SINGLE(MATCH('BMP P Tracking Table'!$BA294,'Performance Curves'!$D$1:$L$1,1))+2,FALSE)-VLOOKUP(CONCATENATE('BMP P Tracking Table'!$AW294," ",'BMP P Tracking Table'!$AY294),'Performance Curves'!$C$1:$L$46,_xlfn.SINGLE(MATCH('BMP P Tracking Table'!$BA294,'Performance Curves'!$D$1:$L$1,1))+1,FALSE)),"")</f>
        <v/>
      </c>
      <c r="BC294" s="102" t="str">
        <f>IFERROR(('BMP P Tracking Table'!$BA294-INDEX('Performance Curves'!$D$1:$L$1,1,MATCH('BMP P Tracking Table'!$BA294,'Performance Curves'!$D$1:$L$1,1)))/(INDEX('Performance Curves'!$D$1:$L$1,1,MATCH('BMP P Tracking Table'!$BA294,'Performance Curves'!$D$1:$L$1,1)+1)-INDEX('Performance Curves'!$D$1:$L$1,1,MATCH('BMP P Tracking Table'!$BA294,'Performance Curves'!$D$1:$L$1,1))),"")</f>
        <v/>
      </c>
      <c r="BD294" s="103" t="str" cm="1">
        <f t="array" ref="BD294">IFERROR(IF('BMP P Tracking Table'!$BA294=2,VLOOKUP(CONCATENATE('BMP P Tracking Table'!$AW294," ",'BMP P Tracking Table'!$AY294),'Performance Curves'!$C$1:$L$44,_xlfn.SINGLE(MATCH('BMP P Tracking Table'!$BA294,'Performance Curves'!$D$1:$L$1,1))+1,FALSE),'BMP P Tracking Table'!$BB294*'BMP P Tracking Table'!$BC294+VLOOKUP(CONCATENATE('BMP P Tracking Table'!$AW294," ",'BMP P Tracking Table'!$AY294),'Performance Curves'!$C$1:$L$44,_xlfn.SINGLE(MATCH('BMP P Tracking Table'!$BA294,'Performance Curves'!$D$1:$L$1,1))+1,FALSE)),"")</f>
        <v/>
      </c>
      <c r="BE294" s="104" t="str">
        <f>IFERROR('BMP P Tracking Table'!$BD294*'BMP P Tracking Table'!$AZ294,"")</f>
        <v/>
      </c>
      <c r="BF294" s="98"/>
      <c r="BG294" s="37">
        <f t="shared" si="38"/>
        <v>0</v>
      </c>
    </row>
    <row r="295" spans="2:59" s="36" customFormat="1">
      <c r="B295" s="65"/>
      <c r="C295" s="65"/>
      <c r="D295" s="65"/>
      <c r="E295" s="65"/>
      <c r="F295" s="94"/>
      <c r="G295" s="94"/>
      <c r="H295" s="65"/>
      <c r="I295" s="65"/>
      <c r="J295" s="65"/>
      <c r="K295" s="95"/>
      <c r="L295" s="65"/>
      <c r="M295" s="65"/>
      <c r="N295" s="65"/>
      <c r="O295" s="65"/>
      <c r="P295" s="65"/>
      <c r="Q295" s="65"/>
      <c r="R295" s="65" t="str">
        <f>IFERROR(VLOOKUP('BMP P Tracking Table'!$Q295,Dropdowns!$C$2:$E$15,3,FALSE),"")</f>
        <v/>
      </c>
      <c r="S295" s="65" t="str">
        <f>IFERROR(VLOOKUP('BMP P Tracking Table'!$R295,Dropdowns!$Q$3:$R$23,2,FALSE),"")</f>
        <v/>
      </c>
      <c r="T295" s="65"/>
      <c r="U295" s="65"/>
      <c r="V295" s="65"/>
      <c r="W295" s="65"/>
      <c r="X295" s="65"/>
      <c r="Y295" s="65"/>
      <c r="Z295" s="65"/>
      <c r="AA295" s="65"/>
      <c r="AB295" s="65"/>
      <c r="AC295" s="97"/>
      <c r="AD295" s="65"/>
      <c r="AE295" s="104" t="str">
        <f>IFERROR('BMP P Tracking Table'!$V295*VLOOKUP('BMP P Tracking Table'!$R295,'Loading Rates'!$B$1:$L$24,4,FALSE)+IF('BMP P Tracking Table'!$W295="By HSG",'BMP P Tracking Table'!$X295*VLOOKUP('BMP P Tracking Table'!$R295,'Loading Rates'!$B$1:$L$24,6,FALSE)+'BMP P Tracking Table'!$Y295*VLOOKUP('BMP P Tracking Table'!$R295,'Loading Rates'!$B$1:$L$24,7,FALSE)+'BMP P Tracking Table'!$Z295*VLOOKUP('BMP P Tracking Table'!$R295,'Loading Rates'!$B$1:$L$24,8,FALSE)+'BMP P Tracking Table'!$AA295*VLOOKUP('BMP P Tracking Table'!$R295,'Loading Rates'!$B$1:$L$24,9,FALSE),'BMP P Tracking Table'!$AB295*VLOOKUP('BMP P Tracking Table'!$R295,'Loading Rates'!$B$1:$L$24,10,FALSE)),"")</f>
        <v/>
      </c>
      <c r="AF295" s="104" t="str">
        <f>IFERROR(MIN(2,IF('BMP P Tracking Table'!$W295="Total Pervious",(-(3630*'BMP P Tracking Table'!$V295+20.691*'BMP P Tracking Table'!$AB295)+SQRT((3630*'BMP P Tracking Table'!$V295+20.691*'BMP P Tracking Table'!$AB295)^2-(4*(996.798*'BMP P Tracking Table'!$AB295)*-'BMP P Tracking Table'!$AC295)))/(2*(996.798*'BMP P Tracking Table'!$AB295)),IF(SUM('BMP P Tracking Table'!$X295:$AA295)=0,'BMP P Tracking Table'!$AC295/(-3630*'BMP P Tracking Table'!$V295),(-(3630*'BMP P Tracking Table'!$V295+20.691*'BMP P Tracking Table'!$AA295-216.711*'BMP P Tracking Table'!$Z295-83.853*'BMP P Tracking Table'!$Y295-42.834*'BMP P Tracking Table'!$X295)+SQRT((3630*'BMP P Tracking Table'!$V295+20.691*'BMP P Tracking Table'!$AA295-216.711*'BMP P Tracking Table'!$Z295-83.853*'BMP P Tracking Table'!$Y295-42.834*'BMP P Tracking Table'!$X295)^2-(4*(149.919*'BMP P Tracking Table'!$X295+236.676*'BMP P Tracking Table'!$Y295+726*'BMP P Tracking Table'!$Z295+996.798*'BMP P Tracking Table'!$AA295)*-'BMP P Tracking Table'!$AC295)))/(2*(149.919*'BMP P Tracking Table'!$X295+236.676*'BMP P Tracking Table'!$Y295+726*'BMP P Tracking Table'!$Z295+996.798*'BMP P Tracking Table'!$AA295))))),"")</f>
        <v/>
      </c>
      <c r="AG295" s="104" t="str">
        <f>IFERROR((VLOOKUP(CONCATENATE('BMP P Tracking Table'!$U295," ",'BMP P Tracking Table'!$AD295),'Performance Curves'!$C$1:$L$46,_xlfn.SINGLE(MATCH('BMP P Tracking Table'!$AF295,'Performance Curves'!$D$1:$L$1,1))+2,FALSE)-VLOOKUP(CONCATENATE('BMP P Tracking Table'!$U295," ",'BMP P Tracking Table'!$AD295),'Performance Curves'!$C$1:$L$46,_xlfn.SINGLE(MATCH('BMP P Tracking Table'!$AF295,'Performance Curves'!$D$1:$L$1,1))+1,FALSE)),"")</f>
        <v/>
      </c>
      <c r="AH295" s="104" t="str">
        <f>IFERROR(('BMP P Tracking Table'!$AF295-INDEX('Performance Curves'!$D$1:$L$1,1,MATCH('BMP P Tracking Table'!$AF295,'Performance Curves'!$D$1:$L$1,1)))/(INDEX('Performance Curves'!$D$1:$L$1,1,MATCH('BMP P Tracking Table'!$AF295,'Performance Curves'!$D$1:$L$1,1)+1)-INDEX('Performance Curves'!$D$1:$L$1,1,MATCH('BMP P Tracking Table'!$AF295,'Performance Curves'!$D$1:$L$1,1))),"")</f>
        <v/>
      </c>
      <c r="AI295" s="103" t="str">
        <f>IFERROR(IF('BMP P Tracking Table'!$AF295=2,VLOOKUP(CONCATENATE('BMP P Tracking Table'!$U295," ",'BMP P Tracking Table'!$AD295),'Performance Curves'!$C$1:$L$46,_xlfn.SINGLE(MATCH('BMP P Tracking Table'!$AF295,'Performance Curves'!$D$1:$L$1,1))+1,FALSE),'BMP P Tracking Table'!$AG295*'BMP P Tracking Table'!$AH295+VLOOKUP(CONCATENATE('BMP P Tracking Table'!$U295," ",'BMP P Tracking Table'!$AD295),'Performance Curves'!$C$1:$L$46,_xlfn.SINGLE(MATCH('BMP P Tracking Table'!$AF295,'Performance Curves'!$D$1:$L$1,1))+1,FALSE)),"")</f>
        <v/>
      </c>
      <c r="AJ295" s="104" t="str">
        <f>IFERROR('BMP P Tracking Table'!$AI295*'BMP P Tracking Table'!$AE295,"")</f>
        <v/>
      </c>
      <c r="AK295" s="65"/>
      <c r="AL295" s="98"/>
      <c r="AM295" s="98"/>
      <c r="AN295" s="64">
        <v>1</v>
      </c>
      <c r="AO295" s="102" t="str">
        <f t="shared" si="37"/>
        <v/>
      </c>
      <c r="AP295" s="98"/>
      <c r="AQ295" s="98"/>
      <c r="AR295" s="98"/>
      <c r="AS295" s="98"/>
      <c r="AT295" s="98"/>
      <c r="AU295" s="98"/>
      <c r="AV295" s="98"/>
      <c r="AW295" s="65"/>
      <c r="AX295" s="99"/>
      <c r="AY295" s="99"/>
      <c r="AZ295" s="104" t="str">
        <f>IF('BMP P Tracking Table'!$AL295="Yes",IF('BMP P Tracking Table'!$AM295="No",'BMP P Tracking Table'!$V295*VLOOKUP('BMP P Tracking Table'!$R295,'Loading Rates'!$B$1:$L$24,4,FALSE)+IF('BMP P Tracking Table'!$W295="By HSG",'BMP P Tracking Table'!$X295*VLOOKUP('BMP P Tracking Table'!$R295,'Loading Rates'!$B$1:$L$24,6,FALSE)+'BMP P Tracking Table'!$Y295*VLOOKUP('BMP P Tracking Table'!$R295,'Loading Rates'!$B$1:$L$24,7,FALSE)+'BMP P Tracking Table'!$Z295*VLOOKUP('BMP P Tracking Table'!$R295,'Loading Rates'!$B$1:$L$24,8,FALSE)+'BMP P Tracking Table'!$AA295*VLOOKUP('BMP P Tracking Table'!$R295,'Loading Rates'!$B$1:$L$24,9,FALSE),'BMP P Tracking Table'!$AB295*VLOOKUP('BMP P Tracking Table'!$R295,'Loading Rates'!$B$1:$L$24,10,FALSE)),'BMP P Tracking Table'!$AP295*VLOOKUP('BMP P Tracking Table'!$R295,'Loading Rates'!$B$1:$L$24,4,FALSE)+IF('BMP P Tracking Table'!$AQ295="By HSG",'BMP P Tracking Table'!$AR295*VLOOKUP('BMP P Tracking Table'!$R295,'Loading Rates'!$B$1:$L$24,6,FALSE)+'BMP P Tracking Table'!$AS295*VLOOKUP('BMP P Tracking Table'!$R295,'Loading Rates'!$B$1:$L$24,7,FALSE)+'BMP P Tracking Table'!$AT295*VLOOKUP('BMP P Tracking Table'!$R295,'Loading Rates'!$B$1:$L$24,8,FALSE)+'BMP P Tracking Table'!$AU295*VLOOKUP('BMP P Tracking Table'!$R295,'Loading Rates'!$B$1:$L$24,9,FALSE),'BMP P Tracking Table'!$AV295*VLOOKUP('BMP P Tracking Table'!$R295,'Loading Rates'!$B$1:$L$24,10,FALSE))),"")</f>
        <v/>
      </c>
      <c r="BA295" s="104" t="str">
        <f>IFERROR(IF('BMP P Tracking Table'!$AM295="Yes",MIN(2,IF('BMP P Tracking Table'!$AQ295="Total Pervious",(-(3630*'BMP P Tracking Table'!$AP295+20.691*'BMP P Tracking Table'!$AV295)+SQRT((3630*'BMP P Tracking Table'!$AP295+20.691*'BMP P Tracking Table'!$AV295)^2-(4*(996.798*'BMP P Tracking Table'!$AV295)*-'BMP P Tracking Table'!$AX295)))/(2*(996.798*'BMP P Tracking Table'!$AV295)),IF(SUM('BMP P Tracking Table'!$AR295:$AU295)=0,'BMP P Tracking Table'!$AV295/(-3630*'BMP P Tracking Table'!$AP295),(-(3630*'BMP P Tracking Table'!$AP295+20.691*'BMP P Tracking Table'!$AU295-216.711*'BMP P Tracking Table'!$AT295-83.853*'BMP P Tracking Table'!$AS295-42.834*'BMP P Tracking Table'!$AR295)+SQRT((3630*'BMP P Tracking Table'!$AP295+20.691*'BMP P Tracking Table'!$AU295-216.711*'BMP P Tracking Table'!$AT295-83.853*'BMP P Tracking Table'!$AS295-42.834*'BMP P Tracking Table'!$AR295)^2-(4*(149.919*'BMP P Tracking Table'!$AR295+236.676*'BMP P Tracking Table'!$AS295+726*'BMP P Tracking Table'!$AT295+996.798*'BMP P Tracking Table'!$AU295)*-'BMP P Tracking Table'!$AX295)))/(2*(149.919*'BMP P Tracking Table'!$AR295+236.676*'BMP P Tracking Table'!$AS295+726*'BMP P Tracking Table'!$AT295+996.798*'BMP P Tracking Table'!$AU295))))),MIN(2,IF('BMP P Tracking Table'!$AQ295="Total Pervious",(-(3630*'BMP P Tracking Table'!$V295+20.691*'BMP P Tracking Table'!$AB295)+SQRT((3630*'BMP P Tracking Table'!$V295+20.691*'BMP P Tracking Table'!$AB295)^2-(4*(996.798*'BMP P Tracking Table'!$AB295)*-'BMP P Tracking Table'!$AX295)))/(2*(996.798*'BMP P Tracking Table'!$AB295)),IF(SUM('BMP P Tracking Table'!$X295:$AA295)=0,'BMP P Tracking Table'!$AX295/(-3630*'BMP P Tracking Table'!$V295),(-(3630*'BMP P Tracking Table'!$V295+20.691*'BMP P Tracking Table'!$AA295-216.711*'BMP P Tracking Table'!$Z295-83.853*'BMP P Tracking Table'!$Y295-42.834*'BMP P Tracking Table'!$X295)+SQRT((3630*'BMP P Tracking Table'!$V295+20.691*'BMP P Tracking Table'!$AA295-216.711*'BMP P Tracking Table'!$Z295-83.853*'BMP P Tracking Table'!$Y295-42.834*'BMP P Tracking Table'!$X295)^2-(4*(149.919*'BMP P Tracking Table'!$X295+236.676*'BMP P Tracking Table'!$Y295+726*'BMP P Tracking Table'!$Z295+996.798*'BMP P Tracking Table'!$AA295)*-'BMP P Tracking Table'!$AX295)))/(2*(149.919*'BMP P Tracking Table'!$X295+236.676*'BMP P Tracking Table'!$Y295+726*'BMP P Tracking Table'!$Z295+996.798*'BMP P Tracking Table'!$AA295)))))),"")</f>
        <v/>
      </c>
      <c r="BB295" s="102" t="str">
        <f>IFERROR((VLOOKUP(CONCATENATE('BMP P Tracking Table'!$AW295," ",'BMP P Tracking Table'!$AY295),'Performance Curves'!$C$1:$L$46,_xlfn.SINGLE(MATCH('BMP P Tracking Table'!$BA295,'Performance Curves'!$D$1:$L$1,1))+2,FALSE)-VLOOKUP(CONCATENATE('BMP P Tracking Table'!$AW295," ",'BMP P Tracking Table'!$AY295),'Performance Curves'!$C$1:$L$46,_xlfn.SINGLE(MATCH('BMP P Tracking Table'!$BA295,'Performance Curves'!$D$1:$L$1,1))+1,FALSE)),"")</f>
        <v/>
      </c>
      <c r="BC295" s="102" t="str">
        <f>IFERROR(('BMP P Tracking Table'!$BA295-INDEX('Performance Curves'!$D$1:$L$1,1,MATCH('BMP P Tracking Table'!$BA295,'Performance Curves'!$D$1:$L$1,1)))/(INDEX('Performance Curves'!$D$1:$L$1,1,MATCH('BMP P Tracking Table'!$BA295,'Performance Curves'!$D$1:$L$1,1)+1)-INDEX('Performance Curves'!$D$1:$L$1,1,MATCH('BMP P Tracking Table'!$BA295,'Performance Curves'!$D$1:$L$1,1))),"")</f>
        <v/>
      </c>
      <c r="BD295" s="103" t="str" cm="1">
        <f t="array" ref="BD295">IFERROR(IF('BMP P Tracking Table'!$BA295=2,VLOOKUP(CONCATENATE('BMP P Tracking Table'!$AW295," ",'BMP P Tracking Table'!$AY295),'Performance Curves'!$C$1:$L$44,_xlfn.SINGLE(MATCH('BMP P Tracking Table'!$BA295,'Performance Curves'!$D$1:$L$1,1))+1,FALSE),'BMP P Tracking Table'!$BB295*'BMP P Tracking Table'!$BC295+VLOOKUP(CONCATENATE('BMP P Tracking Table'!$AW295," ",'BMP P Tracking Table'!$AY295),'Performance Curves'!$C$1:$L$44,_xlfn.SINGLE(MATCH('BMP P Tracking Table'!$BA295,'Performance Curves'!$D$1:$L$1,1))+1,FALSE)),"")</f>
        <v/>
      </c>
      <c r="BE295" s="104" t="str">
        <f>IFERROR('BMP P Tracking Table'!$BD295*'BMP P Tracking Table'!$AZ295,"")</f>
        <v/>
      </c>
      <c r="BF295" s="98"/>
      <c r="BG295" s="37">
        <f t="shared" si="38"/>
        <v>0</v>
      </c>
    </row>
    <row r="296" spans="2:59" s="36" customFormat="1">
      <c r="B296" s="65"/>
      <c r="C296" s="65"/>
      <c r="D296" s="65"/>
      <c r="E296" s="65"/>
      <c r="F296" s="94"/>
      <c r="G296" s="94"/>
      <c r="H296" s="65"/>
      <c r="I296" s="65"/>
      <c r="J296" s="65"/>
      <c r="K296" s="95"/>
      <c r="L296" s="65"/>
      <c r="M296" s="65"/>
      <c r="N296" s="65"/>
      <c r="O296" s="65"/>
      <c r="P296" s="65"/>
      <c r="Q296" s="65"/>
      <c r="R296" s="65" t="str">
        <f>IFERROR(VLOOKUP('BMP P Tracking Table'!$Q296,Dropdowns!$C$2:$E$15,3,FALSE),"")</f>
        <v/>
      </c>
      <c r="S296" s="65" t="str">
        <f>IFERROR(VLOOKUP('BMP P Tracking Table'!$R296,Dropdowns!$Q$3:$R$23,2,FALSE),"")</f>
        <v/>
      </c>
      <c r="T296" s="65"/>
      <c r="U296" s="65"/>
      <c r="V296" s="65"/>
      <c r="W296" s="65"/>
      <c r="X296" s="65"/>
      <c r="Y296" s="65"/>
      <c r="Z296" s="65"/>
      <c r="AA296" s="65"/>
      <c r="AB296" s="65"/>
      <c r="AC296" s="97"/>
      <c r="AD296" s="65"/>
      <c r="AE296" s="104" t="str">
        <f>IFERROR('BMP P Tracking Table'!$V296*VLOOKUP('BMP P Tracking Table'!$R296,'Loading Rates'!$B$1:$L$24,4,FALSE)+IF('BMP P Tracking Table'!$W296="By HSG",'BMP P Tracking Table'!$X296*VLOOKUP('BMP P Tracking Table'!$R296,'Loading Rates'!$B$1:$L$24,6,FALSE)+'BMP P Tracking Table'!$Y296*VLOOKUP('BMP P Tracking Table'!$R296,'Loading Rates'!$B$1:$L$24,7,FALSE)+'BMP P Tracking Table'!$Z296*VLOOKUP('BMP P Tracking Table'!$R296,'Loading Rates'!$B$1:$L$24,8,FALSE)+'BMP P Tracking Table'!$AA296*VLOOKUP('BMP P Tracking Table'!$R296,'Loading Rates'!$B$1:$L$24,9,FALSE),'BMP P Tracking Table'!$AB296*VLOOKUP('BMP P Tracking Table'!$R296,'Loading Rates'!$B$1:$L$24,10,FALSE)),"")</f>
        <v/>
      </c>
      <c r="AF296" s="104" t="str">
        <f>IFERROR(MIN(2,IF('BMP P Tracking Table'!$W296="Total Pervious",(-(3630*'BMP P Tracking Table'!$V296+20.691*'BMP P Tracking Table'!$AB296)+SQRT((3630*'BMP P Tracking Table'!$V296+20.691*'BMP P Tracking Table'!$AB296)^2-(4*(996.798*'BMP P Tracking Table'!$AB296)*-'BMP P Tracking Table'!$AC296)))/(2*(996.798*'BMP P Tracking Table'!$AB296)),IF(SUM('BMP P Tracking Table'!$X296:$AA296)=0,'BMP P Tracking Table'!$AC296/(-3630*'BMP P Tracking Table'!$V296),(-(3630*'BMP P Tracking Table'!$V296+20.691*'BMP P Tracking Table'!$AA296-216.711*'BMP P Tracking Table'!$Z296-83.853*'BMP P Tracking Table'!$Y296-42.834*'BMP P Tracking Table'!$X296)+SQRT((3630*'BMP P Tracking Table'!$V296+20.691*'BMP P Tracking Table'!$AA296-216.711*'BMP P Tracking Table'!$Z296-83.853*'BMP P Tracking Table'!$Y296-42.834*'BMP P Tracking Table'!$X296)^2-(4*(149.919*'BMP P Tracking Table'!$X296+236.676*'BMP P Tracking Table'!$Y296+726*'BMP P Tracking Table'!$Z296+996.798*'BMP P Tracking Table'!$AA296)*-'BMP P Tracking Table'!$AC296)))/(2*(149.919*'BMP P Tracking Table'!$X296+236.676*'BMP P Tracking Table'!$Y296+726*'BMP P Tracking Table'!$Z296+996.798*'BMP P Tracking Table'!$AA296))))),"")</f>
        <v/>
      </c>
      <c r="AG296" s="104" t="str">
        <f>IFERROR((VLOOKUP(CONCATENATE('BMP P Tracking Table'!$U296," ",'BMP P Tracking Table'!$AD296),'Performance Curves'!$C$1:$L$46,_xlfn.SINGLE(MATCH('BMP P Tracking Table'!$AF296,'Performance Curves'!$D$1:$L$1,1))+2,FALSE)-VLOOKUP(CONCATENATE('BMP P Tracking Table'!$U296," ",'BMP P Tracking Table'!$AD296),'Performance Curves'!$C$1:$L$46,_xlfn.SINGLE(MATCH('BMP P Tracking Table'!$AF296,'Performance Curves'!$D$1:$L$1,1))+1,FALSE)),"")</f>
        <v/>
      </c>
      <c r="AH296" s="104" t="str">
        <f>IFERROR(('BMP P Tracking Table'!$AF296-INDEX('Performance Curves'!$D$1:$L$1,1,MATCH('BMP P Tracking Table'!$AF296,'Performance Curves'!$D$1:$L$1,1)))/(INDEX('Performance Curves'!$D$1:$L$1,1,MATCH('BMP P Tracking Table'!$AF296,'Performance Curves'!$D$1:$L$1,1)+1)-INDEX('Performance Curves'!$D$1:$L$1,1,MATCH('BMP P Tracking Table'!$AF296,'Performance Curves'!$D$1:$L$1,1))),"")</f>
        <v/>
      </c>
      <c r="AI296" s="103" t="str">
        <f>IFERROR(IF('BMP P Tracking Table'!$AF296=2,VLOOKUP(CONCATENATE('BMP P Tracking Table'!$U296," ",'BMP P Tracking Table'!$AD296),'Performance Curves'!$C$1:$L$46,_xlfn.SINGLE(MATCH('BMP P Tracking Table'!$AF296,'Performance Curves'!$D$1:$L$1,1))+1,FALSE),'BMP P Tracking Table'!$AG296*'BMP P Tracking Table'!$AH296+VLOOKUP(CONCATENATE('BMP P Tracking Table'!$U296," ",'BMP P Tracking Table'!$AD296),'Performance Curves'!$C$1:$L$46,_xlfn.SINGLE(MATCH('BMP P Tracking Table'!$AF296,'Performance Curves'!$D$1:$L$1,1))+1,FALSE)),"")</f>
        <v/>
      </c>
      <c r="AJ296" s="104" t="str">
        <f>IFERROR('BMP P Tracking Table'!$AI296*'BMP P Tracking Table'!$AE296,"")</f>
        <v/>
      </c>
      <c r="AK296" s="65"/>
      <c r="AL296" s="98"/>
      <c r="AM296" s="98"/>
      <c r="AN296" s="64">
        <v>1</v>
      </c>
      <c r="AO296" s="102" t="str">
        <f t="shared" si="37"/>
        <v/>
      </c>
      <c r="AP296" s="98"/>
      <c r="AQ296" s="98"/>
      <c r="AR296" s="98"/>
      <c r="AS296" s="98"/>
      <c r="AT296" s="98"/>
      <c r="AU296" s="98"/>
      <c r="AV296" s="98"/>
      <c r="AW296" s="65"/>
      <c r="AX296" s="99"/>
      <c r="AY296" s="99"/>
      <c r="AZ296" s="104" t="str">
        <f>IF('BMP P Tracking Table'!$AL296="Yes",IF('BMP P Tracking Table'!$AM296="No",'BMP P Tracking Table'!$V296*VLOOKUP('BMP P Tracking Table'!$R296,'Loading Rates'!$B$1:$L$24,4,FALSE)+IF('BMP P Tracking Table'!$W296="By HSG",'BMP P Tracking Table'!$X296*VLOOKUP('BMP P Tracking Table'!$R296,'Loading Rates'!$B$1:$L$24,6,FALSE)+'BMP P Tracking Table'!$Y296*VLOOKUP('BMP P Tracking Table'!$R296,'Loading Rates'!$B$1:$L$24,7,FALSE)+'BMP P Tracking Table'!$Z296*VLOOKUP('BMP P Tracking Table'!$R296,'Loading Rates'!$B$1:$L$24,8,FALSE)+'BMP P Tracking Table'!$AA296*VLOOKUP('BMP P Tracking Table'!$R296,'Loading Rates'!$B$1:$L$24,9,FALSE),'BMP P Tracking Table'!$AB296*VLOOKUP('BMP P Tracking Table'!$R296,'Loading Rates'!$B$1:$L$24,10,FALSE)),'BMP P Tracking Table'!$AP296*VLOOKUP('BMP P Tracking Table'!$R296,'Loading Rates'!$B$1:$L$24,4,FALSE)+IF('BMP P Tracking Table'!$AQ296="By HSG",'BMP P Tracking Table'!$AR296*VLOOKUP('BMP P Tracking Table'!$R296,'Loading Rates'!$B$1:$L$24,6,FALSE)+'BMP P Tracking Table'!$AS296*VLOOKUP('BMP P Tracking Table'!$R296,'Loading Rates'!$B$1:$L$24,7,FALSE)+'BMP P Tracking Table'!$AT296*VLOOKUP('BMP P Tracking Table'!$R296,'Loading Rates'!$B$1:$L$24,8,FALSE)+'BMP P Tracking Table'!$AU296*VLOOKUP('BMP P Tracking Table'!$R296,'Loading Rates'!$B$1:$L$24,9,FALSE),'BMP P Tracking Table'!$AV296*VLOOKUP('BMP P Tracking Table'!$R296,'Loading Rates'!$B$1:$L$24,10,FALSE))),"")</f>
        <v/>
      </c>
      <c r="BA296" s="104" t="str">
        <f>IFERROR(IF('BMP P Tracking Table'!$AM296="Yes",MIN(2,IF('BMP P Tracking Table'!$AQ296="Total Pervious",(-(3630*'BMP P Tracking Table'!$AP296+20.691*'BMP P Tracking Table'!$AV296)+SQRT((3630*'BMP P Tracking Table'!$AP296+20.691*'BMP P Tracking Table'!$AV296)^2-(4*(996.798*'BMP P Tracking Table'!$AV296)*-'BMP P Tracking Table'!$AX296)))/(2*(996.798*'BMP P Tracking Table'!$AV296)),IF(SUM('BMP P Tracking Table'!$AR296:$AU296)=0,'BMP P Tracking Table'!$AV296/(-3630*'BMP P Tracking Table'!$AP296),(-(3630*'BMP P Tracking Table'!$AP296+20.691*'BMP P Tracking Table'!$AU296-216.711*'BMP P Tracking Table'!$AT296-83.853*'BMP P Tracking Table'!$AS296-42.834*'BMP P Tracking Table'!$AR296)+SQRT((3630*'BMP P Tracking Table'!$AP296+20.691*'BMP P Tracking Table'!$AU296-216.711*'BMP P Tracking Table'!$AT296-83.853*'BMP P Tracking Table'!$AS296-42.834*'BMP P Tracking Table'!$AR296)^2-(4*(149.919*'BMP P Tracking Table'!$AR296+236.676*'BMP P Tracking Table'!$AS296+726*'BMP P Tracking Table'!$AT296+996.798*'BMP P Tracking Table'!$AU296)*-'BMP P Tracking Table'!$AX296)))/(2*(149.919*'BMP P Tracking Table'!$AR296+236.676*'BMP P Tracking Table'!$AS296+726*'BMP P Tracking Table'!$AT296+996.798*'BMP P Tracking Table'!$AU296))))),MIN(2,IF('BMP P Tracking Table'!$AQ296="Total Pervious",(-(3630*'BMP P Tracking Table'!$V296+20.691*'BMP P Tracking Table'!$AB296)+SQRT((3630*'BMP P Tracking Table'!$V296+20.691*'BMP P Tracking Table'!$AB296)^2-(4*(996.798*'BMP P Tracking Table'!$AB296)*-'BMP P Tracking Table'!$AX296)))/(2*(996.798*'BMP P Tracking Table'!$AB296)),IF(SUM('BMP P Tracking Table'!$X296:$AA296)=0,'BMP P Tracking Table'!$AX296/(-3630*'BMP P Tracking Table'!$V296),(-(3630*'BMP P Tracking Table'!$V296+20.691*'BMP P Tracking Table'!$AA296-216.711*'BMP P Tracking Table'!$Z296-83.853*'BMP P Tracking Table'!$Y296-42.834*'BMP P Tracking Table'!$X296)+SQRT((3630*'BMP P Tracking Table'!$V296+20.691*'BMP P Tracking Table'!$AA296-216.711*'BMP P Tracking Table'!$Z296-83.853*'BMP P Tracking Table'!$Y296-42.834*'BMP P Tracking Table'!$X296)^2-(4*(149.919*'BMP P Tracking Table'!$X296+236.676*'BMP P Tracking Table'!$Y296+726*'BMP P Tracking Table'!$Z296+996.798*'BMP P Tracking Table'!$AA296)*-'BMP P Tracking Table'!$AX296)))/(2*(149.919*'BMP P Tracking Table'!$X296+236.676*'BMP P Tracking Table'!$Y296+726*'BMP P Tracking Table'!$Z296+996.798*'BMP P Tracking Table'!$AA296)))))),"")</f>
        <v/>
      </c>
      <c r="BB296" s="102" t="str">
        <f>IFERROR((VLOOKUP(CONCATENATE('BMP P Tracking Table'!$AW296," ",'BMP P Tracking Table'!$AY296),'Performance Curves'!$C$1:$L$46,_xlfn.SINGLE(MATCH('BMP P Tracking Table'!$BA296,'Performance Curves'!$D$1:$L$1,1))+2,FALSE)-VLOOKUP(CONCATENATE('BMP P Tracking Table'!$AW296," ",'BMP P Tracking Table'!$AY296),'Performance Curves'!$C$1:$L$46,_xlfn.SINGLE(MATCH('BMP P Tracking Table'!$BA296,'Performance Curves'!$D$1:$L$1,1))+1,FALSE)),"")</f>
        <v/>
      </c>
      <c r="BC296" s="102" t="str">
        <f>IFERROR(('BMP P Tracking Table'!$BA296-INDEX('Performance Curves'!$D$1:$L$1,1,MATCH('BMP P Tracking Table'!$BA296,'Performance Curves'!$D$1:$L$1,1)))/(INDEX('Performance Curves'!$D$1:$L$1,1,MATCH('BMP P Tracking Table'!$BA296,'Performance Curves'!$D$1:$L$1,1)+1)-INDEX('Performance Curves'!$D$1:$L$1,1,MATCH('BMP P Tracking Table'!$BA296,'Performance Curves'!$D$1:$L$1,1))),"")</f>
        <v/>
      </c>
      <c r="BD296" s="103" t="str" cm="1">
        <f t="array" ref="BD296">IFERROR(IF('BMP P Tracking Table'!$BA296=2,VLOOKUP(CONCATENATE('BMP P Tracking Table'!$AW296," ",'BMP P Tracking Table'!$AY296),'Performance Curves'!$C$1:$L$44,_xlfn.SINGLE(MATCH('BMP P Tracking Table'!$BA296,'Performance Curves'!$D$1:$L$1,1))+1,FALSE),'BMP P Tracking Table'!$BB296*'BMP P Tracking Table'!$BC296+VLOOKUP(CONCATENATE('BMP P Tracking Table'!$AW296," ",'BMP P Tracking Table'!$AY296),'Performance Curves'!$C$1:$L$44,_xlfn.SINGLE(MATCH('BMP P Tracking Table'!$BA296,'Performance Curves'!$D$1:$L$1,1))+1,FALSE)),"")</f>
        <v/>
      </c>
      <c r="BE296" s="104" t="str">
        <f>IFERROR('BMP P Tracking Table'!$BD296*'BMP P Tracking Table'!$AZ296,"")</f>
        <v/>
      </c>
      <c r="BF296" s="98"/>
      <c r="BG296" s="37">
        <f t="shared" si="38"/>
        <v>0</v>
      </c>
    </row>
    <row r="297" spans="2:59" s="36" customFormat="1">
      <c r="B297" s="65"/>
      <c r="C297" s="65"/>
      <c r="D297" s="65"/>
      <c r="E297" s="65"/>
      <c r="F297" s="94"/>
      <c r="G297" s="94"/>
      <c r="H297" s="65"/>
      <c r="I297" s="65"/>
      <c r="J297" s="65"/>
      <c r="K297" s="95"/>
      <c r="L297" s="65"/>
      <c r="M297" s="65"/>
      <c r="N297" s="65"/>
      <c r="O297" s="65"/>
      <c r="P297" s="65"/>
      <c r="Q297" s="65"/>
      <c r="R297" s="65" t="str">
        <f>IFERROR(VLOOKUP('BMP P Tracking Table'!$Q297,Dropdowns!$C$2:$E$15,3,FALSE),"")</f>
        <v/>
      </c>
      <c r="S297" s="65" t="str">
        <f>IFERROR(VLOOKUP('BMP P Tracking Table'!$R297,Dropdowns!$Q$3:$R$23,2,FALSE),"")</f>
        <v/>
      </c>
      <c r="T297" s="65"/>
      <c r="U297" s="65"/>
      <c r="V297" s="65"/>
      <c r="W297" s="65"/>
      <c r="X297" s="65"/>
      <c r="Y297" s="65"/>
      <c r="Z297" s="65"/>
      <c r="AA297" s="65"/>
      <c r="AB297" s="65"/>
      <c r="AC297" s="97"/>
      <c r="AD297" s="65"/>
      <c r="AE297" s="104" t="str">
        <f>IFERROR('BMP P Tracking Table'!$V297*VLOOKUP('BMP P Tracking Table'!$R297,'Loading Rates'!$B$1:$L$24,4,FALSE)+IF('BMP P Tracking Table'!$W297="By HSG",'BMP P Tracking Table'!$X297*VLOOKUP('BMP P Tracking Table'!$R297,'Loading Rates'!$B$1:$L$24,6,FALSE)+'BMP P Tracking Table'!$Y297*VLOOKUP('BMP P Tracking Table'!$R297,'Loading Rates'!$B$1:$L$24,7,FALSE)+'BMP P Tracking Table'!$Z297*VLOOKUP('BMP P Tracking Table'!$R297,'Loading Rates'!$B$1:$L$24,8,FALSE)+'BMP P Tracking Table'!$AA297*VLOOKUP('BMP P Tracking Table'!$R297,'Loading Rates'!$B$1:$L$24,9,FALSE),'BMP P Tracking Table'!$AB297*VLOOKUP('BMP P Tracking Table'!$R297,'Loading Rates'!$B$1:$L$24,10,FALSE)),"")</f>
        <v/>
      </c>
      <c r="AF297" s="104" t="str">
        <f>IFERROR(MIN(2,IF('BMP P Tracking Table'!$W297="Total Pervious",(-(3630*'BMP P Tracking Table'!$V297+20.691*'BMP P Tracking Table'!$AB297)+SQRT((3630*'BMP P Tracking Table'!$V297+20.691*'BMP P Tracking Table'!$AB297)^2-(4*(996.798*'BMP P Tracking Table'!$AB297)*-'BMP P Tracking Table'!$AC297)))/(2*(996.798*'BMP P Tracking Table'!$AB297)),IF(SUM('BMP P Tracking Table'!$X297:$AA297)=0,'BMP P Tracking Table'!$AC297/(-3630*'BMP P Tracking Table'!$V297),(-(3630*'BMP P Tracking Table'!$V297+20.691*'BMP P Tracking Table'!$AA297-216.711*'BMP P Tracking Table'!$Z297-83.853*'BMP P Tracking Table'!$Y297-42.834*'BMP P Tracking Table'!$X297)+SQRT((3630*'BMP P Tracking Table'!$V297+20.691*'BMP P Tracking Table'!$AA297-216.711*'BMP P Tracking Table'!$Z297-83.853*'BMP P Tracking Table'!$Y297-42.834*'BMP P Tracking Table'!$X297)^2-(4*(149.919*'BMP P Tracking Table'!$X297+236.676*'BMP P Tracking Table'!$Y297+726*'BMP P Tracking Table'!$Z297+996.798*'BMP P Tracking Table'!$AA297)*-'BMP P Tracking Table'!$AC297)))/(2*(149.919*'BMP P Tracking Table'!$X297+236.676*'BMP P Tracking Table'!$Y297+726*'BMP P Tracking Table'!$Z297+996.798*'BMP P Tracking Table'!$AA297))))),"")</f>
        <v/>
      </c>
      <c r="AG297" s="104" t="str">
        <f>IFERROR((VLOOKUP(CONCATENATE('BMP P Tracking Table'!$U297," ",'BMP P Tracking Table'!$AD297),'Performance Curves'!$C$1:$L$46,_xlfn.SINGLE(MATCH('BMP P Tracking Table'!$AF297,'Performance Curves'!$D$1:$L$1,1))+2,FALSE)-VLOOKUP(CONCATENATE('BMP P Tracking Table'!$U297," ",'BMP P Tracking Table'!$AD297),'Performance Curves'!$C$1:$L$46,_xlfn.SINGLE(MATCH('BMP P Tracking Table'!$AF297,'Performance Curves'!$D$1:$L$1,1))+1,FALSE)),"")</f>
        <v/>
      </c>
      <c r="AH297" s="104" t="str">
        <f>IFERROR(('BMP P Tracking Table'!$AF297-INDEX('Performance Curves'!$D$1:$L$1,1,MATCH('BMP P Tracking Table'!$AF297,'Performance Curves'!$D$1:$L$1,1)))/(INDEX('Performance Curves'!$D$1:$L$1,1,MATCH('BMP P Tracking Table'!$AF297,'Performance Curves'!$D$1:$L$1,1)+1)-INDEX('Performance Curves'!$D$1:$L$1,1,MATCH('BMP P Tracking Table'!$AF297,'Performance Curves'!$D$1:$L$1,1))),"")</f>
        <v/>
      </c>
      <c r="AI297" s="103" t="str">
        <f>IFERROR(IF('BMP P Tracking Table'!$AF297=2,VLOOKUP(CONCATENATE('BMP P Tracking Table'!$U297," ",'BMP P Tracking Table'!$AD297),'Performance Curves'!$C$1:$L$46,_xlfn.SINGLE(MATCH('BMP P Tracking Table'!$AF297,'Performance Curves'!$D$1:$L$1,1))+1,FALSE),'BMP P Tracking Table'!$AG297*'BMP P Tracking Table'!$AH297+VLOOKUP(CONCATENATE('BMP P Tracking Table'!$U297," ",'BMP P Tracking Table'!$AD297),'Performance Curves'!$C$1:$L$46,_xlfn.SINGLE(MATCH('BMP P Tracking Table'!$AF297,'Performance Curves'!$D$1:$L$1,1))+1,FALSE)),"")</f>
        <v/>
      </c>
      <c r="AJ297" s="104" t="str">
        <f>IFERROR('BMP P Tracking Table'!$AI297*'BMP P Tracking Table'!$AE297,"")</f>
        <v/>
      </c>
      <c r="AK297" s="65"/>
      <c r="AL297" s="98"/>
      <c r="AM297" s="98"/>
      <c r="AN297" s="64">
        <v>1</v>
      </c>
      <c r="AO297" s="102" t="str">
        <f t="shared" si="37"/>
        <v/>
      </c>
      <c r="AP297" s="98"/>
      <c r="AQ297" s="98"/>
      <c r="AR297" s="98"/>
      <c r="AS297" s="98"/>
      <c r="AT297" s="98"/>
      <c r="AU297" s="98"/>
      <c r="AV297" s="98"/>
      <c r="AW297" s="65"/>
      <c r="AX297" s="99"/>
      <c r="AY297" s="99"/>
      <c r="AZ297" s="104" t="str">
        <f>IF('BMP P Tracking Table'!$AL297="Yes",IF('BMP P Tracking Table'!$AM297="No",'BMP P Tracking Table'!$V297*VLOOKUP('BMP P Tracking Table'!$R297,'Loading Rates'!$B$1:$L$24,4,FALSE)+IF('BMP P Tracking Table'!$W297="By HSG",'BMP P Tracking Table'!$X297*VLOOKUP('BMP P Tracking Table'!$R297,'Loading Rates'!$B$1:$L$24,6,FALSE)+'BMP P Tracking Table'!$Y297*VLOOKUP('BMP P Tracking Table'!$R297,'Loading Rates'!$B$1:$L$24,7,FALSE)+'BMP P Tracking Table'!$Z297*VLOOKUP('BMP P Tracking Table'!$R297,'Loading Rates'!$B$1:$L$24,8,FALSE)+'BMP P Tracking Table'!$AA297*VLOOKUP('BMP P Tracking Table'!$R297,'Loading Rates'!$B$1:$L$24,9,FALSE),'BMP P Tracking Table'!$AB297*VLOOKUP('BMP P Tracking Table'!$R297,'Loading Rates'!$B$1:$L$24,10,FALSE)),'BMP P Tracking Table'!$AP297*VLOOKUP('BMP P Tracking Table'!$R297,'Loading Rates'!$B$1:$L$24,4,FALSE)+IF('BMP P Tracking Table'!$AQ297="By HSG",'BMP P Tracking Table'!$AR297*VLOOKUP('BMP P Tracking Table'!$R297,'Loading Rates'!$B$1:$L$24,6,FALSE)+'BMP P Tracking Table'!$AS297*VLOOKUP('BMP P Tracking Table'!$R297,'Loading Rates'!$B$1:$L$24,7,FALSE)+'BMP P Tracking Table'!$AT297*VLOOKUP('BMP P Tracking Table'!$R297,'Loading Rates'!$B$1:$L$24,8,FALSE)+'BMP P Tracking Table'!$AU297*VLOOKUP('BMP P Tracking Table'!$R297,'Loading Rates'!$B$1:$L$24,9,FALSE),'BMP P Tracking Table'!$AV297*VLOOKUP('BMP P Tracking Table'!$R297,'Loading Rates'!$B$1:$L$24,10,FALSE))),"")</f>
        <v/>
      </c>
      <c r="BA297" s="104" t="str">
        <f>IFERROR(IF('BMP P Tracking Table'!$AM297="Yes",MIN(2,IF('BMP P Tracking Table'!$AQ297="Total Pervious",(-(3630*'BMP P Tracking Table'!$AP297+20.691*'BMP P Tracking Table'!$AV297)+SQRT((3630*'BMP P Tracking Table'!$AP297+20.691*'BMP P Tracking Table'!$AV297)^2-(4*(996.798*'BMP P Tracking Table'!$AV297)*-'BMP P Tracking Table'!$AX297)))/(2*(996.798*'BMP P Tracking Table'!$AV297)),IF(SUM('BMP P Tracking Table'!$AR297:$AU297)=0,'BMP P Tracking Table'!$AV297/(-3630*'BMP P Tracking Table'!$AP297),(-(3630*'BMP P Tracking Table'!$AP297+20.691*'BMP P Tracking Table'!$AU297-216.711*'BMP P Tracking Table'!$AT297-83.853*'BMP P Tracking Table'!$AS297-42.834*'BMP P Tracking Table'!$AR297)+SQRT((3630*'BMP P Tracking Table'!$AP297+20.691*'BMP P Tracking Table'!$AU297-216.711*'BMP P Tracking Table'!$AT297-83.853*'BMP P Tracking Table'!$AS297-42.834*'BMP P Tracking Table'!$AR297)^2-(4*(149.919*'BMP P Tracking Table'!$AR297+236.676*'BMP P Tracking Table'!$AS297+726*'BMP P Tracking Table'!$AT297+996.798*'BMP P Tracking Table'!$AU297)*-'BMP P Tracking Table'!$AX297)))/(2*(149.919*'BMP P Tracking Table'!$AR297+236.676*'BMP P Tracking Table'!$AS297+726*'BMP P Tracking Table'!$AT297+996.798*'BMP P Tracking Table'!$AU297))))),MIN(2,IF('BMP P Tracking Table'!$AQ297="Total Pervious",(-(3630*'BMP P Tracking Table'!$V297+20.691*'BMP P Tracking Table'!$AB297)+SQRT((3630*'BMP P Tracking Table'!$V297+20.691*'BMP P Tracking Table'!$AB297)^2-(4*(996.798*'BMP P Tracking Table'!$AB297)*-'BMP P Tracking Table'!$AX297)))/(2*(996.798*'BMP P Tracking Table'!$AB297)),IF(SUM('BMP P Tracking Table'!$X297:$AA297)=0,'BMP P Tracking Table'!$AX297/(-3630*'BMP P Tracking Table'!$V297),(-(3630*'BMP P Tracking Table'!$V297+20.691*'BMP P Tracking Table'!$AA297-216.711*'BMP P Tracking Table'!$Z297-83.853*'BMP P Tracking Table'!$Y297-42.834*'BMP P Tracking Table'!$X297)+SQRT((3630*'BMP P Tracking Table'!$V297+20.691*'BMP P Tracking Table'!$AA297-216.711*'BMP P Tracking Table'!$Z297-83.853*'BMP P Tracking Table'!$Y297-42.834*'BMP P Tracking Table'!$X297)^2-(4*(149.919*'BMP P Tracking Table'!$X297+236.676*'BMP P Tracking Table'!$Y297+726*'BMP P Tracking Table'!$Z297+996.798*'BMP P Tracking Table'!$AA297)*-'BMP P Tracking Table'!$AX297)))/(2*(149.919*'BMP P Tracking Table'!$X297+236.676*'BMP P Tracking Table'!$Y297+726*'BMP P Tracking Table'!$Z297+996.798*'BMP P Tracking Table'!$AA297)))))),"")</f>
        <v/>
      </c>
      <c r="BB297" s="102" t="str">
        <f>IFERROR((VLOOKUP(CONCATENATE('BMP P Tracking Table'!$AW297," ",'BMP P Tracking Table'!$AY297),'Performance Curves'!$C$1:$L$46,_xlfn.SINGLE(MATCH('BMP P Tracking Table'!$BA297,'Performance Curves'!$D$1:$L$1,1))+2,FALSE)-VLOOKUP(CONCATENATE('BMP P Tracking Table'!$AW297," ",'BMP P Tracking Table'!$AY297),'Performance Curves'!$C$1:$L$46,_xlfn.SINGLE(MATCH('BMP P Tracking Table'!$BA297,'Performance Curves'!$D$1:$L$1,1))+1,FALSE)),"")</f>
        <v/>
      </c>
      <c r="BC297" s="102" t="str">
        <f>IFERROR(('BMP P Tracking Table'!$BA297-INDEX('Performance Curves'!$D$1:$L$1,1,MATCH('BMP P Tracking Table'!$BA297,'Performance Curves'!$D$1:$L$1,1)))/(INDEX('Performance Curves'!$D$1:$L$1,1,MATCH('BMP P Tracking Table'!$BA297,'Performance Curves'!$D$1:$L$1,1)+1)-INDEX('Performance Curves'!$D$1:$L$1,1,MATCH('BMP P Tracking Table'!$BA297,'Performance Curves'!$D$1:$L$1,1))),"")</f>
        <v/>
      </c>
      <c r="BD297" s="103" t="str" cm="1">
        <f t="array" ref="BD297">IFERROR(IF('BMP P Tracking Table'!$BA297=2,VLOOKUP(CONCATENATE('BMP P Tracking Table'!$AW297," ",'BMP P Tracking Table'!$AY297),'Performance Curves'!$C$1:$L$44,_xlfn.SINGLE(MATCH('BMP P Tracking Table'!$BA297,'Performance Curves'!$D$1:$L$1,1))+1,FALSE),'BMP P Tracking Table'!$BB297*'BMP P Tracking Table'!$BC297+VLOOKUP(CONCATENATE('BMP P Tracking Table'!$AW297," ",'BMP P Tracking Table'!$AY297),'Performance Curves'!$C$1:$L$44,_xlfn.SINGLE(MATCH('BMP P Tracking Table'!$BA297,'Performance Curves'!$D$1:$L$1,1))+1,FALSE)),"")</f>
        <v/>
      </c>
      <c r="BE297" s="104" t="str">
        <f>IFERROR('BMP P Tracking Table'!$BD297*'BMP P Tracking Table'!$AZ297,"")</f>
        <v/>
      </c>
      <c r="BF297" s="98"/>
      <c r="BG297" s="37">
        <f t="shared" si="38"/>
        <v>0</v>
      </c>
    </row>
    <row r="298" spans="2:59" s="36" customFormat="1">
      <c r="B298" s="65"/>
      <c r="C298" s="65"/>
      <c r="D298" s="65"/>
      <c r="E298" s="65"/>
      <c r="F298" s="94"/>
      <c r="G298" s="94"/>
      <c r="H298" s="65"/>
      <c r="I298" s="65"/>
      <c r="J298" s="65"/>
      <c r="K298" s="95"/>
      <c r="L298" s="65"/>
      <c r="M298" s="65"/>
      <c r="N298" s="65"/>
      <c r="O298" s="65"/>
      <c r="P298" s="65"/>
      <c r="Q298" s="65"/>
      <c r="R298" s="65" t="str">
        <f>IFERROR(VLOOKUP('BMP P Tracking Table'!$Q298,Dropdowns!$C$2:$E$15,3,FALSE),"")</f>
        <v/>
      </c>
      <c r="S298" s="65" t="str">
        <f>IFERROR(VLOOKUP('BMP P Tracking Table'!$R298,Dropdowns!$Q$3:$R$23,2,FALSE),"")</f>
        <v/>
      </c>
      <c r="T298" s="65"/>
      <c r="U298" s="65"/>
      <c r="V298" s="65"/>
      <c r="W298" s="65"/>
      <c r="X298" s="65"/>
      <c r="Y298" s="65"/>
      <c r="Z298" s="65"/>
      <c r="AA298" s="65"/>
      <c r="AB298" s="65"/>
      <c r="AC298" s="97"/>
      <c r="AD298" s="65"/>
      <c r="AE298" s="104" t="str">
        <f>IFERROR('BMP P Tracking Table'!$V298*VLOOKUP('BMP P Tracking Table'!$R298,'Loading Rates'!$B$1:$L$24,4,FALSE)+IF('BMP P Tracking Table'!$W298="By HSG",'BMP P Tracking Table'!$X298*VLOOKUP('BMP P Tracking Table'!$R298,'Loading Rates'!$B$1:$L$24,6,FALSE)+'BMP P Tracking Table'!$Y298*VLOOKUP('BMP P Tracking Table'!$R298,'Loading Rates'!$B$1:$L$24,7,FALSE)+'BMP P Tracking Table'!$Z298*VLOOKUP('BMP P Tracking Table'!$R298,'Loading Rates'!$B$1:$L$24,8,FALSE)+'BMP P Tracking Table'!$AA298*VLOOKUP('BMP P Tracking Table'!$R298,'Loading Rates'!$B$1:$L$24,9,FALSE),'BMP P Tracking Table'!$AB298*VLOOKUP('BMP P Tracking Table'!$R298,'Loading Rates'!$B$1:$L$24,10,FALSE)),"")</f>
        <v/>
      </c>
      <c r="AF298" s="104" t="str">
        <f>IFERROR(MIN(2,IF('BMP P Tracking Table'!$W298="Total Pervious",(-(3630*'BMP P Tracking Table'!$V298+20.691*'BMP P Tracking Table'!$AB298)+SQRT((3630*'BMP P Tracking Table'!$V298+20.691*'BMP P Tracking Table'!$AB298)^2-(4*(996.798*'BMP P Tracking Table'!$AB298)*-'BMP P Tracking Table'!$AC298)))/(2*(996.798*'BMP P Tracking Table'!$AB298)),IF(SUM('BMP P Tracking Table'!$X298:$AA298)=0,'BMP P Tracking Table'!$AC298/(-3630*'BMP P Tracking Table'!$V298),(-(3630*'BMP P Tracking Table'!$V298+20.691*'BMP P Tracking Table'!$AA298-216.711*'BMP P Tracking Table'!$Z298-83.853*'BMP P Tracking Table'!$Y298-42.834*'BMP P Tracking Table'!$X298)+SQRT((3630*'BMP P Tracking Table'!$V298+20.691*'BMP P Tracking Table'!$AA298-216.711*'BMP P Tracking Table'!$Z298-83.853*'BMP P Tracking Table'!$Y298-42.834*'BMP P Tracking Table'!$X298)^2-(4*(149.919*'BMP P Tracking Table'!$X298+236.676*'BMP P Tracking Table'!$Y298+726*'BMP P Tracking Table'!$Z298+996.798*'BMP P Tracking Table'!$AA298)*-'BMP P Tracking Table'!$AC298)))/(2*(149.919*'BMP P Tracking Table'!$X298+236.676*'BMP P Tracking Table'!$Y298+726*'BMP P Tracking Table'!$Z298+996.798*'BMP P Tracking Table'!$AA298))))),"")</f>
        <v/>
      </c>
      <c r="AG298" s="104" t="str">
        <f>IFERROR((VLOOKUP(CONCATENATE('BMP P Tracking Table'!$U298," ",'BMP P Tracking Table'!$AD298),'Performance Curves'!$C$1:$L$46,_xlfn.SINGLE(MATCH('BMP P Tracking Table'!$AF298,'Performance Curves'!$D$1:$L$1,1))+2,FALSE)-VLOOKUP(CONCATENATE('BMP P Tracking Table'!$U298," ",'BMP P Tracking Table'!$AD298),'Performance Curves'!$C$1:$L$46,_xlfn.SINGLE(MATCH('BMP P Tracking Table'!$AF298,'Performance Curves'!$D$1:$L$1,1))+1,FALSE)),"")</f>
        <v/>
      </c>
      <c r="AH298" s="104" t="str">
        <f>IFERROR(('BMP P Tracking Table'!$AF298-INDEX('Performance Curves'!$D$1:$L$1,1,MATCH('BMP P Tracking Table'!$AF298,'Performance Curves'!$D$1:$L$1,1)))/(INDEX('Performance Curves'!$D$1:$L$1,1,MATCH('BMP P Tracking Table'!$AF298,'Performance Curves'!$D$1:$L$1,1)+1)-INDEX('Performance Curves'!$D$1:$L$1,1,MATCH('BMP P Tracking Table'!$AF298,'Performance Curves'!$D$1:$L$1,1))),"")</f>
        <v/>
      </c>
      <c r="AI298" s="103" t="str">
        <f>IFERROR(IF('BMP P Tracking Table'!$AF298=2,VLOOKUP(CONCATENATE('BMP P Tracking Table'!$U298," ",'BMP P Tracking Table'!$AD298),'Performance Curves'!$C$1:$L$46,_xlfn.SINGLE(MATCH('BMP P Tracking Table'!$AF298,'Performance Curves'!$D$1:$L$1,1))+1,FALSE),'BMP P Tracking Table'!$AG298*'BMP P Tracking Table'!$AH298+VLOOKUP(CONCATENATE('BMP P Tracking Table'!$U298," ",'BMP P Tracking Table'!$AD298),'Performance Curves'!$C$1:$L$46,_xlfn.SINGLE(MATCH('BMP P Tracking Table'!$AF298,'Performance Curves'!$D$1:$L$1,1))+1,FALSE)),"")</f>
        <v/>
      </c>
      <c r="AJ298" s="104" t="str">
        <f>IFERROR('BMP P Tracking Table'!$AI298*'BMP P Tracking Table'!$AE298,"")</f>
        <v/>
      </c>
      <c r="AK298" s="65"/>
      <c r="AL298" s="98"/>
      <c r="AM298" s="98"/>
      <c r="AN298" s="64">
        <v>1</v>
      </c>
      <c r="AO298" s="102" t="str">
        <f t="shared" si="37"/>
        <v/>
      </c>
      <c r="AP298" s="98"/>
      <c r="AQ298" s="98"/>
      <c r="AR298" s="98"/>
      <c r="AS298" s="98"/>
      <c r="AT298" s="98"/>
      <c r="AU298" s="98"/>
      <c r="AV298" s="98"/>
      <c r="AW298" s="65"/>
      <c r="AX298" s="99"/>
      <c r="AY298" s="99"/>
      <c r="AZ298" s="104" t="str">
        <f>IF('BMP P Tracking Table'!$AL298="Yes",IF('BMP P Tracking Table'!$AM298="No",'BMP P Tracking Table'!$V298*VLOOKUP('BMP P Tracking Table'!$R298,'Loading Rates'!$B$1:$L$24,4,FALSE)+IF('BMP P Tracking Table'!$W298="By HSG",'BMP P Tracking Table'!$X298*VLOOKUP('BMP P Tracking Table'!$R298,'Loading Rates'!$B$1:$L$24,6,FALSE)+'BMP P Tracking Table'!$Y298*VLOOKUP('BMP P Tracking Table'!$R298,'Loading Rates'!$B$1:$L$24,7,FALSE)+'BMP P Tracking Table'!$Z298*VLOOKUP('BMP P Tracking Table'!$R298,'Loading Rates'!$B$1:$L$24,8,FALSE)+'BMP P Tracking Table'!$AA298*VLOOKUP('BMP P Tracking Table'!$R298,'Loading Rates'!$B$1:$L$24,9,FALSE),'BMP P Tracking Table'!$AB298*VLOOKUP('BMP P Tracking Table'!$R298,'Loading Rates'!$B$1:$L$24,10,FALSE)),'BMP P Tracking Table'!$AP298*VLOOKUP('BMP P Tracking Table'!$R298,'Loading Rates'!$B$1:$L$24,4,FALSE)+IF('BMP P Tracking Table'!$AQ298="By HSG",'BMP P Tracking Table'!$AR298*VLOOKUP('BMP P Tracking Table'!$R298,'Loading Rates'!$B$1:$L$24,6,FALSE)+'BMP P Tracking Table'!$AS298*VLOOKUP('BMP P Tracking Table'!$R298,'Loading Rates'!$B$1:$L$24,7,FALSE)+'BMP P Tracking Table'!$AT298*VLOOKUP('BMP P Tracking Table'!$R298,'Loading Rates'!$B$1:$L$24,8,FALSE)+'BMP P Tracking Table'!$AU298*VLOOKUP('BMP P Tracking Table'!$R298,'Loading Rates'!$B$1:$L$24,9,FALSE),'BMP P Tracking Table'!$AV298*VLOOKUP('BMP P Tracking Table'!$R298,'Loading Rates'!$B$1:$L$24,10,FALSE))),"")</f>
        <v/>
      </c>
      <c r="BA298" s="104" t="str">
        <f>IFERROR(IF('BMP P Tracking Table'!$AM298="Yes",MIN(2,IF('BMP P Tracking Table'!$AQ298="Total Pervious",(-(3630*'BMP P Tracking Table'!$AP298+20.691*'BMP P Tracking Table'!$AV298)+SQRT((3630*'BMP P Tracking Table'!$AP298+20.691*'BMP P Tracking Table'!$AV298)^2-(4*(996.798*'BMP P Tracking Table'!$AV298)*-'BMP P Tracking Table'!$AX298)))/(2*(996.798*'BMP P Tracking Table'!$AV298)),IF(SUM('BMP P Tracking Table'!$AR298:$AU298)=0,'BMP P Tracking Table'!$AV298/(-3630*'BMP P Tracking Table'!$AP298),(-(3630*'BMP P Tracking Table'!$AP298+20.691*'BMP P Tracking Table'!$AU298-216.711*'BMP P Tracking Table'!$AT298-83.853*'BMP P Tracking Table'!$AS298-42.834*'BMP P Tracking Table'!$AR298)+SQRT((3630*'BMP P Tracking Table'!$AP298+20.691*'BMP P Tracking Table'!$AU298-216.711*'BMP P Tracking Table'!$AT298-83.853*'BMP P Tracking Table'!$AS298-42.834*'BMP P Tracking Table'!$AR298)^2-(4*(149.919*'BMP P Tracking Table'!$AR298+236.676*'BMP P Tracking Table'!$AS298+726*'BMP P Tracking Table'!$AT298+996.798*'BMP P Tracking Table'!$AU298)*-'BMP P Tracking Table'!$AX298)))/(2*(149.919*'BMP P Tracking Table'!$AR298+236.676*'BMP P Tracking Table'!$AS298+726*'BMP P Tracking Table'!$AT298+996.798*'BMP P Tracking Table'!$AU298))))),MIN(2,IF('BMP P Tracking Table'!$AQ298="Total Pervious",(-(3630*'BMP P Tracking Table'!$V298+20.691*'BMP P Tracking Table'!$AB298)+SQRT((3630*'BMP P Tracking Table'!$V298+20.691*'BMP P Tracking Table'!$AB298)^2-(4*(996.798*'BMP P Tracking Table'!$AB298)*-'BMP P Tracking Table'!$AX298)))/(2*(996.798*'BMP P Tracking Table'!$AB298)),IF(SUM('BMP P Tracking Table'!$X298:$AA298)=0,'BMP P Tracking Table'!$AX298/(-3630*'BMP P Tracking Table'!$V298),(-(3630*'BMP P Tracking Table'!$V298+20.691*'BMP P Tracking Table'!$AA298-216.711*'BMP P Tracking Table'!$Z298-83.853*'BMP P Tracking Table'!$Y298-42.834*'BMP P Tracking Table'!$X298)+SQRT((3630*'BMP P Tracking Table'!$V298+20.691*'BMP P Tracking Table'!$AA298-216.711*'BMP P Tracking Table'!$Z298-83.853*'BMP P Tracking Table'!$Y298-42.834*'BMP P Tracking Table'!$X298)^2-(4*(149.919*'BMP P Tracking Table'!$X298+236.676*'BMP P Tracking Table'!$Y298+726*'BMP P Tracking Table'!$Z298+996.798*'BMP P Tracking Table'!$AA298)*-'BMP P Tracking Table'!$AX298)))/(2*(149.919*'BMP P Tracking Table'!$X298+236.676*'BMP P Tracking Table'!$Y298+726*'BMP P Tracking Table'!$Z298+996.798*'BMP P Tracking Table'!$AA298)))))),"")</f>
        <v/>
      </c>
      <c r="BB298" s="102" t="str">
        <f>IFERROR((VLOOKUP(CONCATENATE('BMP P Tracking Table'!$AW298," ",'BMP P Tracking Table'!$AY298),'Performance Curves'!$C$1:$L$46,_xlfn.SINGLE(MATCH('BMP P Tracking Table'!$BA298,'Performance Curves'!$D$1:$L$1,1))+2,FALSE)-VLOOKUP(CONCATENATE('BMP P Tracking Table'!$AW298," ",'BMP P Tracking Table'!$AY298),'Performance Curves'!$C$1:$L$46,_xlfn.SINGLE(MATCH('BMP P Tracking Table'!$BA298,'Performance Curves'!$D$1:$L$1,1))+1,FALSE)),"")</f>
        <v/>
      </c>
      <c r="BC298" s="102" t="str">
        <f>IFERROR(('BMP P Tracking Table'!$BA298-INDEX('Performance Curves'!$D$1:$L$1,1,MATCH('BMP P Tracking Table'!$BA298,'Performance Curves'!$D$1:$L$1,1)))/(INDEX('Performance Curves'!$D$1:$L$1,1,MATCH('BMP P Tracking Table'!$BA298,'Performance Curves'!$D$1:$L$1,1)+1)-INDEX('Performance Curves'!$D$1:$L$1,1,MATCH('BMP P Tracking Table'!$BA298,'Performance Curves'!$D$1:$L$1,1))),"")</f>
        <v/>
      </c>
      <c r="BD298" s="103" t="str" cm="1">
        <f t="array" ref="BD298">IFERROR(IF('BMP P Tracking Table'!$BA298=2,VLOOKUP(CONCATENATE('BMP P Tracking Table'!$AW298," ",'BMP P Tracking Table'!$AY298),'Performance Curves'!$C$1:$L$44,_xlfn.SINGLE(MATCH('BMP P Tracking Table'!$BA298,'Performance Curves'!$D$1:$L$1,1))+1,FALSE),'BMP P Tracking Table'!$BB298*'BMP P Tracking Table'!$BC298+VLOOKUP(CONCATENATE('BMP P Tracking Table'!$AW298," ",'BMP P Tracking Table'!$AY298),'Performance Curves'!$C$1:$L$44,_xlfn.SINGLE(MATCH('BMP P Tracking Table'!$BA298,'Performance Curves'!$D$1:$L$1,1))+1,FALSE)),"")</f>
        <v/>
      </c>
      <c r="BE298" s="104" t="str">
        <f>IFERROR('BMP P Tracking Table'!$BD298*'BMP P Tracking Table'!$AZ298,"")</f>
        <v/>
      </c>
      <c r="BF298" s="98"/>
      <c r="BG298" s="37">
        <f t="shared" si="38"/>
        <v>0</v>
      </c>
    </row>
    <row r="299" spans="2:59" s="36" customFormat="1">
      <c r="B299" s="65"/>
      <c r="C299" s="65"/>
      <c r="D299" s="65"/>
      <c r="E299" s="65"/>
      <c r="F299" s="94"/>
      <c r="G299" s="94"/>
      <c r="H299" s="65"/>
      <c r="I299" s="65"/>
      <c r="J299" s="65"/>
      <c r="K299" s="95"/>
      <c r="L299" s="65"/>
      <c r="M299" s="65"/>
      <c r="N299" s="65"/>
      <c r="O299" s="65"/>
      <c r="P299" s="65"/>
      <c r="Q299" s="65"/>
      <c r="R299" s="65" t="str">
        <f>IFERROR(VLOOKUP('BMP P Tracking Table'!$Q299,Dropdowns!$C$2:$E$15,3,FALSE),"")</f>
        <v/>
      </c>
      <c r="S299" s="65" t="str">
        <f>IFERROR(VLOOKUP('BMP P Tracking Table'!$R299,Dropdowns!$Q$3:$R$23,2,FALSE),"")</f>
        <v/>
      </c>
      <c r="T299" s="65"/>
      <c r="U299" s="65"/>
      <c r="V299" s="65"/>
      <c r="W299" s="65"/>
      <c r="X299" s="65"/>
      <c r="Y299" s="65"/>
      <c r="Z299" s="65"/>
      <c r="AA299" s="65"/>
      <c r="AB299" s="65"/>
      <c r="AC299" s="97"/>
      <c r="AD299" s="65"/>
      <c r="AE299" s="104" t="str">
        <f>IFERROR('BMP P Tracking Table'!$V299*VLOOKUP('BMP P Tracking Table'!$R299,'Loading Rates'!$B$1:$L$24,4,FALSE)+IF('BMP P Tracking Table'!$W299="By HSG",'BMP P Tracking Table'!$X299*VLOOKUP('BMP P Tracking Table'!$R299,'Loading Rates'!$B$1:$L$24,6,FALSE)+'BMP P Tracking Table'!$Y299*VLOOKUP('BMP P Tracking Table'!$R299,'Loading Rates'!$B$1:$L$24,7,FALSE)+'BMP P Tracking Table'!$Z299*VLOOKUP('BMP P Tracking Table'!$R299,'Loading Rates'!$B$1:$L$24,8,FALSE)+'BMP P Tracking Table'!$AA299*VLOOKUP('BMP P Tracking Table'!$R299,'Loading Rates'!$B$1:$L$24,9,FALSE),'BMP P Tracking Table'!$AB299*VLOOKUP('BMP P Tracking Table'!$R299,'Loading Rates'!$B$1:$L$24,10,FALSE)),"")</f>
        <v/>
      </c>
      <c r="AF299" s="104" t="str">
        <f>IFERROR(MIN(2,IF('BMP P Tracking Table'!$W299="Total Pervious",(-(3630*'BMP P Tracking Table'!$V299+20.691*'BMP P Tracking Table'!$AB299)+SQRT((3630*'BMP P Tracking Table'!$V299+20.691*'BMP P Tracking Table'!$AB299)^2-(4*(996.798*'BMP P Tracking Table'!$AB299)*-'BMP P Tracking Table'!$AC299)))/(2*(996.798*'BMP P Tracking Table'!$AB299)),IF(SUM('BMP P Tracking Table'!$X299:$AA299)=0,'BMP P Tracking Table'!$AC299/(-3630*'BMP P Tracking Table'!$V299),(-(3630*'BMP P Tracking Table'!$V299+20.691*'BMP P Tracking Table'!$AA299-216.711*'BMP P Tracking Table'!$Z299-83.853*'BMP P Tracking Table'!$Y299-42.834*'BMP P Tracking Table'!$X299)+SQRT((3630*'BMP P Tracking Table'!$V299+20.691*'BMP P Tracking Table'!$AA299-216.711*'BMP P Tracking Table'!$Z299-83.853*'BMP P Tracking Table'!$Y299-42.834*'BMP P Tracking Table'!$X299)^2-(4*(149.919*'BMP P Tracking Table'!$X299+236.676*'BMP P Tracking Table'!$Y299+726*'BMP P Tracking Table'!$Z299+996.798*'BMP P Tracking Table'!$AA299)*-'BMP P Tracking Table'!$AC299)))/(2*(149.919*'BMP P Tracking Table'!$X299+236.676*'BMP P Tracking Table'!$Y299+726*'BMP P Tracking Table'!$Z299+996.798*'BMP P Tracking Table'!$AA299))))),"")</f>
        <v/>
      </c>
      <c r="AG299" s="104" t="str">
        <f>IFERROR((VLOOKUP(CONCATENATE('BMP P Tracking Table'!$U299," ",'BMP P Tracking Table'!$AD299),'Performance Curves'!$C$1:$L$46,_xlfn.SINGLE(MATCH('BMP P Tracking Table'!$AF299,'Performance Curves'!$D$1:$L$1,1))+2,FALSE)-VLOOKUP(CONCATENATE('BMP P Tracking Table'!$U299," ",'BMP P Tracking Table'!$AD299),'Performance Curves'!$C$1:$L$46,_xlfn.SINGLE(MATCH('BMP P Tracking Table'!$AF299,'Performance Curves'!$D$1:$L$1,1))+1,FALSE)),"")</f>
        <v/>
      </c>
      <c r="AH299" s="104" t="str">
        <f>IFERROR(('BMP P Tracking Table'!$AF299-INDEX('Performance Curves'!$D$1:$L$1,1,MATCH('BMP P Tracking Table'!$AF299,'Performance Curves'!$D$1:$L$1,1)))/(INDEX('Performance Curves'!$D$1:$L$1,1,MATCH('BMP P Tracking Table'!$AF299,'Performance Curves'!$D$1:$L$1,1)+1)-INDEX('Performance Curves'!$D$1:$L$1,1,MATCH('BMP P Tracking Table'!$AF299,'Performance Curves'!$D$1:$L$1,1))),"")</f>
        <v/>
      </c>
      <c r="AI299" s="103" t="str">
        <f>IFERROR(IF('BMP P Tracking Table'!$AF299=2,VLOOKUP(CONCATENATE('BMP P Tracking Table'!$U299," ",'BMP P Tracking Table'!$AD299),'Performance Curves'!$C$1:$L$46,_xlfn.SINGLE(MATCH('BMP P Tracking Table'!$AF299,'Performance Curves'!$D$1:$L$1,1))+1,FALSE),'BMP P Tracking Table'!$AG299*'BMP P Tracking Table'!$AH299+VLOOKUP(CONCATENATE('BMP P Tracking Table'!$U299," ",'BMP P Tracking Table'!$AD299),'Performance Curves'!$C$1:$L$46,_xlfn.SINGLE(MATCH('BMP P Tracking Table'!$AF299,'Performance Curves'!$D$1:$L$1,1))+1,FALSE)),"")</f>
        <v/>
      </c>
      <c r="AJ299" s="104" t="str">
        <f>IFERROR('BMP P Tracking Table'!$AI299*'BMP P Tracking Table'!$AE299,"")</f>
        <v/>
      </c>
      <c r="AK299" s="65"/>
      <c r="AL299" s="98"/>
      <c r="AM299" s="98"/>
      <c r="AN299" s="64">
        <v>1</v>
      </c>
      <c r="AO299" s="102" t="str">
        <f t="shared" si="37"/>
        <v/>
      </c>
      <c r="AP299" s="98"/>
      <c r="AQ299" s="98"/>
      <c r="AR299" s="98"/>
      <c r="AS299" s="98"/>
      <c r="AT299" s="98"/>
      <c r="AU299" s="98"/>
      <c r="AV299" s="98"/>
      <c r="AW299" s="65"/>
      <c r="AX299" s="99"/>
      <c r="AY299" s="99"/>
      <c r="AZ299" s="104" t="str">
        <f>IF('BMP P Tracking Table'!$AL299="Yes",IF('BMP P Tracking Table'!$AM299="No",'BMP P Tracking Table'!$V299*VLOOKUP('BMP P Tracking Table'!$R299,'Loading Rates'!$B$1:$L$24,4,FALSE)+IF('BMP P Tracking Table'!$W299="By HSG",'BMP P Tracking Table'!$X299*VLOOKUP('BMP P Tracking Table'!$R299,'Loading Rates'!$B$1:$L$24,6,FALSE)+'BMP P Tracking Table'!$Y299*VLOOKUP('BMP P Tracking Table'!$R299,'Loading Rates'!$B$1:$L$24,7,FALSE)+'BMP P Tracking Table'!$Z299*VLOOKUP('BMP P Tracking Table'!$R299,'Loading Rates'!$B$1:$L$24,8,FALSE)+'BMP P Tracking Table'!$AA299*VLOOKUP('BMP P Tracking Table'!$R299,'Loading Rates'!$B$1:$L$24,9,FALSE),'BMP P Tracking Table'!$AB299*VLOOKUP('BMP P Tracking Table'!$R299,'Loading Rates'!$B$1:$L$24,10,FALSE)),'BMP P Tracking Table'!$AP299*VLOOKUP('BMP P Tracking Table'!$R299,'Loading Rates'!$B$1:$L$24,4,FALSE)+IF('BMP P Tracking Table'!$AQ299="By HSG",'BMP P Tracking Table'!$AR299*VLOOKUP('BMP P Tracking Table'!$R299,'Loading Rates'!$B$1:$L$24,6,FALSE)+'BMP P Tracking Table'!$AS299*VLOOKUP('BMP P Tracking Table'!$R299,'Loading Rates'!$B$1:$L$24,7,FALSE)+'BMP P Tracking Table'!$AT299*VLOOKUP('BMP P Tracking Table'!$R299,'Loading Rates'!$B$1:$L$24,8,FALSE)+'BMP P Tracking Table'!$AU299*VLOOKUP('BMP P Tracking Table'!$R299,'Loading Rates'!$B$1:$L$24,9,FALSE),'BMP P Tracking Table'!$AV299*VLOOKUP('BMP P Tracking Table'!$R299,'Loading Rates'!$B$1:$L$24,10,FALSE))),"")</f>
        <v/>
      </c>
      <c r="BA299" s="104" t="str">
        <f>IFERROR(IF('BMP P Tracking Table'!$AM299="Yes",MIN(2,IF('BMP P Tracking Table'!$AQ299="Total Pervious",(-(3630*'BMP P Tracking Table'!$AP299+20.691*'BMP P Tracking Table'!$AV299)+SQRT((3630*'BMP P Tracking Table'!$AP299+20.691*'BMP P Tracking Table'!$AV299)^2-(4*(996.798*'BMP P Tracking Table'!$AV299)*-'BMP P Tracking Table'!$AX299)))/(2*(996.798*'BMP P Tracking Table'!$AV299)),IF(SUM('BMP P Tracking Table'!$AR299:$AU299)=0,'BMP P Tracking Table'!$AV299/(-3630*'BMP P Tracking Table'!$AP299),(-(3630*'BMP P Tracking Table'!$AP299+20.691*'BMP P Tracking Table'!$AU299-216.711*'BMP P Tracking Table'!$AT299-83.853*'BMP P Tracking Table'!$AS299-42.834*'BMP P Tracking Table'!$AR299)+SQRT((3630*'BMP P Tracking Table'!$AP299+20.691*'BMP P Tracking Table'!$AU299-216.711*'BMP P Tracking Table'!$AT299-83.853*'BMP P Tracking Table'!$AS299-42.834*'BMP P Tracking Table'!$AR299)^2-(4*(149.919*'BMP P Tracking Table'!$AR299+236.676*'BMP P Tracking Table'!$AS299+726*'BMP P Tracking Table'!$AT299+996.798*'BMP P Tracking Table'!$AU299)*-'BMP P Tracking Table'!$AX299)))/(2*(149.919*'BMP P Tracking Table'!$AR299+236.676*'BMP P Tracking Table'!$AS299+726*'BMP P Tracking Table'!$AT299+996.798*'BMP P Tracking Table'!$AU299))))),MIN(2,IF('BMP P Tracking Table'!$AQ299="Total Pervious",(-(3630*'BMP P Tracking Table'!$V299+20.691*'BMP P Tracking Table'!$AB299)+SQRT((3630*'BMP P Tracking Table'!$V299+20.691*'BMP P Tracking Table'!$AB299)^2-(4*(996.798*'BMP P Tracking Table'!$AB299)*-'BMP P Tracking Table'!$AX299)))/(2*(996.798*'BMP P Tracking Table'!$AB299)),IF(SUM('BMP P Tracking Table'!$X299:$AA299)=0,'BMP P Tracking Table'!$AX299/(-3630*'BMP P Tracking Table'!$V299),(-(3630*'BMP P Tracking Table'!$V299+20.691*'BMP P Tracking Table'!$AA299-216.711*'BMP P Tracking Table'!$Z299-83.853*'BMP P Tracking Table'!$Y299-42.834*'BMP P Tracking Table'!$X299)+SQRT((3630*'BMP P Tracking Table'!$V299+20.691*'BMP P Tracking Table'!$AA299-216.711*'BMP P Tracking Table'!$Z299-83.853*'BMP P Tracking Table'!$Y299-42.834*'BMP P Tracking Table'!$X299)^2-(4*(149.919*'BMP P Tracking Table'!$X299+236.676*'BMP P Tracking Table'!$Y299+726*'BMP P Tracking Table'!$Z299+996.798*'BMP P Tracking Table'!$AA299)*-'BMP P Tracking Table'!$AX299)))/(2*(149.919*'BMP P Tracking Table'!$X299+236.676*'BMP P Tracking Table'!$Y299+726*'BMP P Tracking Table'!$Z299+996.798*'BMP P Tracking Table'!$AA299)))))),"")</f>
        <v/>
      </c>
      <c r="BB299" s="102" t="str">
        <f>IFERROR((VLOOKUP(CONCATENATE('BMP P Tracking Table'!$AW299," ",'BMP P Tracking Table'!$AY299),'Performance Curves'!$C$1:$L$46,_xlfn.SINGLE(MATCH('BMP P Tracking Table'!$BA299,'Performance Curves'!$D$1:$L$1,1))+2,FALSE)-VLOOKUP(CONCATENATE('BMP P Tracking Table'!$AW299," ",'BMP P Tracking Table'!$AY299),'Performance Curves'!$C$1:$L$46,_xlfn.SINGLE(MATCH('BMP P Tracking Table'!$BA299,'Performance Curves'!$D$1:$L$1,1))+1,FALSE)),"")</f>
        <v/>
      </c>
      <c r="BC299" s="102" t="str">
        <f>IFERROR(('BMP P Tracking Table'!$BA299-INDEX('Performance Curves'!$D$1:$L$1,1,MATCH('BMP P Tracking Table'!$BA299,'Performance Curves'!$D$1:$L$1,1)))/(INDEX('Performance Curves'!$D$1:$L$1,1,MATCH('BMP P Tracking Table'!$BA299,'Performance Curves'!$D$1:$L$1,1)+1)-INDEX('Performance Curves'!$D$1:$L$1,1,MATCH('BMP P Tracking Table'!$BA299,'Performance Curves'!$D$1:$L$1,1))),"")</f>
        <v/>
      </c>
      <c r="BD299" s="103" t="str" cm="1">
        <f t="array" ref="BD299">IFERROR(IF('BMP P Tracking Table'!$BA299=2,VLOOKUP(CONCATENATE('BMP P Tracking Table'!$AW299," ",'BMP P Tracking Table'!$AY299),'Performance Curves'!$C$1:$L$44,_xlfn.SINGLE(MATCH('BMP P Tracking Table'!$BA299,'Performance Curves'!$D$1:$L$1,1))+1,FALSE),'BMP P Tracking Table'!$BB299*'BMP P Tracking Table'!$BC299+VLOOKUP(CONCATENATE('BMP P Tracking Table'!$AW299," ",'BMP P Tracking Table'!$AY299),'Performance Curves'!$C$1:$L$44,_xlfn.SINGLE(MATCH('BMP P Tracking Table'!$BA299,'Performance Curves'!$D$1:$L$1,1))+1,FALSE)),"")</f>
        <v/>
      </c>
      <c r="BE299" s="104" t="str">
        <f>IFERROR('BMP P Tracking Table'!$BD299*'BMP P Tracking Table'!$AZ299,"")</f>
        <v/>
      </c>
      <c r="BF299" s="98"/>
      <c r="BG299" s="37">
        <f t="shared" si="38"/>
        <v>0</v>
      </c>
    </row>
    <row r="300" spans="2:59" s="36" customFormat="1">
      <c r="B300" s="65"/>
      <c r="C300" s="65"/>
      <c r="D300" s="65"/>
      <c r="E300" s="65"/>
      <c r="F300" s="94"/>
      <c r="G300" s="94"/>
      <c r="H300" s="65"/>
      <c r="I300" s="65"/>
      <c r="J300" s="65"/>
      <c r="K300" s="95"/>
      <c r="L300" s="65"/>
      <c r="M300" s="65"/>
      <c r="N300" s="65"/>
      <c r="O300" s="65"/>
      <c r="P300" s="65"/>
      <c r="Q300" s="65"/>
      <c r="R300" s="65" t="str">
        <f>IFERROR(VLOOKUP('BMP P Tracking Table'!$Q300,Dropdowns!$C$2:$E$15,3,FALSE),"")</f>
        <v/>
      </c>
      <c r="S300" s="65" t="str">
        <f>IFERROR(VLOOKUP('BMP P Tracking Table'!$R300,Dropdowns!$Q$3:$R$23,2,FALSE),"")</f>
        <v/>
      </c>
      <c r="T300" s="65"/>
      <c r="U300" s="65"/>
      <c r="V300" s="65"/>
      <c r="W300" s="65"/>
      <c r="X300" s="65"/>
      <c r="Y300" s="65"/>
      <c r="Z300" s="65"/>
      <c r="AA300" s="65"/>
      <c r="AB300" s="65"/>
      <c r="AC300" s="97"/>
      <c r="AD300" s="65"/>
      <c r="AE300" s="104" t="str">
        <f>IFERROR('BMP P Tracking Table'!$V300*VLOOKUP('BMP P Tracking Table'!$R300,'Loading Rates'!$B$1:$L$24,4,FALSE)+IF('BMP P Tracking Table'!$W300="By HSG",'BMP P Tracking Table'!$X300*VLOOKUP('BMP P Tracking Table'!$R300,'Loading Rates'!$B$1:$L$24,6,FALSE)+'BMP P Tracking Table'!$Y300*VLOOKUP('BMP P Tracking Table'!$R300,'Loading Rates'!$B$1:$L$24,7,FALSE)+'BMP P Tracking Table'!$Z300*VLOOKUP('BMP P Tracking Table'!$R300,'Loading Rates'!$B$1:$L$24,8,FALSE)+'BMP P Tracking Table'!$AA300*VLOOKUP('BMP P Tracking Table'!$R300,'Loading Rates'!$B$1:$L$24,9,FALSE),'BMP P Tracking Table'!$AB300*VLOOKUP('BMP P Tracking Table'!$R300,'Loading Rates'!$B$1:$L$24,10,FALSE)),"")</f>
        <v/>
      </c>
      <c r="AF300" s="104" t="str">
        <f>IFERROR(MIN(2,IF('BMP P Tracking Table'!$W300="Total Pervious",(-(3630*'BMP P Tracking Table'!$V300+20.691*'BMP P Tracking Table'!$AB300)+SQRT((3630*'BMP P Tracking Table'!$V300+20.691*'BMP P Tracking Table'!$AB300)^2-(4*(996.798*'BMP P Tracking Table'!$AB300)*-'BMP P Tracking Table'!$AC300)))/(2*(996.798*'BMP P Tracking Table'!$AB300)),IF(SUM('BMP P Tracking Table'!$X300:$AA300)=0,'BMP P Tracking Table'!$AC300/(-3630*'BMP P Tracking Table'!$V300),(-(3630*'BMP P Tracking Table'!$V300+20.691*'BMP P Tracking Table'!$AA300-216.711*'BMP P Tracking Table'!$Z300-83.853*'BMP P Tracking Table'!$Y300-42.834*'BMP P Tracking Table'!$X300)+SQRT((3630*'BMP P Tracking Table'!$V300+20.691*'BMP P Tracking Table'!$AA300-216.711*'BMP P Tracking Table'!$Z300-83.853*'BMP P Tracking Table'!$Y300-42.834*'BMP P Tracking Table'!$X300)^2-(4*(149.919*'BMP P Tracking Table'!$X300+236.676*'BMP P Tracking Table'!$Y300+726*'BMP P Tracking Table'!$Z300+996.798*'BMP P Tracking Table'!$AA300)*-'BMP P Tracking Table'!$AC300)))/(2*(149.919*'BMP P Tracking Table'!$X300+236.676*'BMP P Tracking Table'!$Y300+726*'BMP P Tracking Table'!$Z300+996.798*'BMP P Tracking Table'!$AA300))))),"")</f>
        <v/>
      </c>
      <c r="AG300" s="104" t="str">
        <f>IFERROR((VLOOKUP(CONCATENATE('BMP P Tracking Table'!$U300," ",'BMP P Tracking Table'!$AD300),'Performance Curves'!$C$1:$L$46,_xlfn.SINGLE(MATCH('BMP P Tracking Table'!$AF300,'Performance Curves'!$D$1:$L$1,1))+2,FALSE)-VLOOKUP(CONCATENATE('BMP P Tracking Table'!$U300," ",'BMP P Tracking Table'!$AD300),'Performance Curves'!$C$1:$L$46,_xlfn.SINGLE(MATCH('BMP P Tracking Table'!$AF300,'Performance Curves'!$D$1:$L$1,1))+1,FALSE)),"")</f>
        <v/>
      </c>
      <c r="AH300" s="104" t="str">
        <f>IFERROR(('BMP P Tracking Table'!$AF300-INDEX('Performance Curves'!$D$1:$L$1,1,MATCH('BMP P Tracking Table'!$AF300,'Performance Curves'!$D$1:$L$1,1)))/(INDEX('Performance Curves'!$D$1:$L$1,1,MATCH('BMP P Tracking Table'!$AF300,'Performance Curves'!$D$1:$L$1,1)+1)-INDEX('Performance Curves'!$D$1:$L$1,1,MATCH('BMP P Tracking Table'!$AF300,'Performance Curves'!$D$1:$L$1,1))),"")</f>
        <v/>
      </c>
      <c r="AI300" s="103" t="str">
        <f>IFERROR(IF('BMP P Tracking Table'!$AF300=2,VLOOKUP(CONCATENATE('BMP P Tracking Table'!$U300," ",'BMP P Tracking Table'!$AD300),'Performance Curves'!$C$1:$L$46,_xlfn.SINGLE(MATCH('BMP P Tracking Table'!$AF300,'Performance Curves'!$D$1:$L$1,1))+1,FALSE),'BMP P Tracking Table'!$AG300*'BMP P Tracking Table'!$AH300+VLOOKUP(CONCATENATE('BMP P Tracking Table'!$U300," ",'BMP P Tracking Table'!$AD300),'Performance Curves'!$C$1:$L$46,_xlfn.SINGLE(MATCH('BMP P Tracking Table'!$AF300,'Performance Curves'!$D$1:$L$1,1))+1,FALSE)),"")</f>
        <v/>
      </c>
      <c r="AJ300" s="104" t="str">
        <f>IFERROR('BMP P Tracking Table'!$AI300*'BMP P Tracking Table'!$AE300,"")</f>
        <v/>
      </c>
      <c r="AK300" s="65"/>
      <c r="AL300" s="98"/>
      <c r="AM300" s="98"/>
      <c r="AN300" s="64">
        <v>1</v>
      </c>
      <c r="AO300" s="102" t="str">
        <f t="shared" si="37"/>
        <v/>
      </c>
      <c r="AP300" s="98"/>
      <c r="AQ300" s="98"/>
      <c r="AR300" s="98"/>
      <c r="AS300" s="98"/>
      <c r="AT300" s="98"/>
      <c r="AU300" s="98"/>
      <c r="AV300" s="98"/>
      <c r="AW300" s="65"/>
      <c r="AX300" s="99"/>
      <c r="AY300" s="99"/>
      <c r="AZ300" s="104" t="str">
        <f>IF('BMP P Tracking Table'!$AL300="Yes",IF('BMP P Tracking Table'!$AM300="No",'BMP P Tracking Table'!$V300*VLOOKUP('BMP P Tracking Table'!$R300,'Loading Rates'!$B$1:$L$24,4,FALSE)+IF('BMP P Tracking Table'!$W300="By HSG",'BMP P Tracking Table'!$X300*VLOOKUP('BMP P Tracking Table'!$R300,'Loading Rates'!$B$1:$L$24,6,FALSE)+'BMP P Tracking Table'!$Y300*VLOOKUP('BMP P Tracking Table'!$R300,'Loading Rates'!$B$1:$L$24,7,FALSE)+'BMP P Tracking Table'!$Z300*VLOOKUP('BMP P Tracking Table'!$R300,'Loading Rates'!$B$1:$L$24,8,FALSE)+'BMP P Tracking Table'!$AA300*VLOOKUP('BMP P Tracking Table'!$R300,'Loading Rates'!$B$1:$L$24,9,FALSE),'BMP P Tracking Table'!$AB300*VLOOKUP('BMP P Tracking Table'!$R300,'Loading Rates'!$B$1:$L$24,10,FALSE)),'BMP P Tracking Table'!$AP300*VLOOKUP('BMP P Tracking Table'!$R300,'Loading Rates'!$B$1:$L$24,4,FALSE)+IF('BMP P Tracking Table'!$AQ300="By HSG",'BMP P Tracking Table'!$AR300*VLOOKUP('BMP P Tracking Table'!$R300,'Loading Rates'!$B$1:$L$24,6,FALSE)+'BMP P Tracking Table'!$AS300*VLOOKUP('BMP P Tracking Table'!$R300,'Loading Rates'!$B$1:$L$24,7,FALSE)+'BMP P Tracking Table'!$AT300*VLOOKUP('BMP P Tracking Table'!$R300,'Loading Rates'!$B$1:$L$24,8,FALSE)+'BMP P Tracking Table'!$AU300*VLOOKUP('BMP P Tracking Table'!$R300,'Loading Rates'!$B$1:$L$24,9,FALSE),'BMP P Tracking Table'!$AV300*VLOOKUP('BMP P Tracking Table'!$R300,'Loading Rates'!$B$1:$L$24,10,FALSE))),"")</f>
        <v/>
      </c>
      <c r="BA300" s="104" t="str">
        <f>IFERROR(IF('BMP P Tracking Table'!$AM300="Yes",MIN(2,IF('BMP P Tracking Table'!$AQ300="Total Pervious",(-(3630*'BMP P Tracking Table'!$AP300+20.691*'BMP P Tracking Table'!$AV300)+SQRT((3630*'BMP P Tracking Table'!$AP300+20.691*'BMP P Tracking Table'!$AV300)^2-(4*(996.798*'BMP P Tracking Table'!$AV300)*-'BMP P Tracking Table'!$AX300)))/(2*(996.798*'BMP P Tracking Table'!$AV300)),IF(SUM('BMP P Tracking Table'!$AR300:$AU300)=0,'BMP P Tracking Table'!$AV300/(-3630*'BMP P Tracking Table'!$AP300),(-(3630*'BMP P Tracking Table'!$AP300+20.691*'BMP P Tracking Table'!$AU300-216.711*'BMP P Tracking Table'!$AT300-83.853*'BMP P Tracking Table'!$AS300-42.834*'BMP P Tracking Table'!$AR300)+SQRT((3630*'BMP P Tracking Table'!$AP300+20.691*'BMP P Tracking Table'!$AU300-216.711*'BMP P Tracking Table'!$AT300-83.853*'BMP P Tracking Table'!$AS300-42.834*'BMP P Tracking Table'!$AR300)^2-(4*(149.919*'BMP P Tracking Table'!$AR300+236.676*'BMP P Tracking Table'!$AS300+726*'BMP P Tracking Table'!$AT300+996.798*'BMP P Tracking Table'!$AU300)*-'BMP P Tracking Table'!$AX300)))/(2*(149.919*'BMP P Tracking Table'!$AR300+236.676*'BMP P Tracking Table'!$AS300+726*'BMP P Tracking Table'!$AT300+996.798*'BMP P Tracking Table'!$AU300))))),MIN(2,IF('BMP P Tracking Table'!$AQ300="Total Pervious",(-(3630*'BMP P Tracking Table'!$V300+20.691*'BMP P Tracking Table'!$AB300)+SQRT((3630*'BMP P Tracking Table'!$V300+20.691*'BMP P Tracking Table'!$AB300)^2-(4*(996.798*'BMP P Tracking Table'!$AB300)*-'BMP P Tracking Table'!$AX300)))/(2*(996.798*'BMP P Tracking Table'!$AB300)),IF(SUM('BMP P Tracking Table'!$X300:$AA300)=0,'BMP P Tracking Table'!$AX300/(-3630*'BMP P Tracking Table'!$V300),(-(3630*'BMP P Tracking Table'!$V300+20.691*'BMP P Tracking Table'!$AA300-216.711*'BMP P Tracking Table'!$Z300-83.853*'BMP P Tracking Table'!$Y300-42.834*'BMP P Tracking Table'!$X300)+SQRT((3630*'BMP P Tracking Table'!$V300+20.691*'BMP P Tracking Table'!$AA300-216.711*'BMP P Tracking Table'!$Z300-83.853*'BMP P Tracking Table'!$Y300-42.834*'BMP P Tracking Table'!$X300)^2-(4*(149.919*'BMP P Tracking Table'!$X300+236.676*'BMP P Tracking Table'!$Y300+726*'BMP P Tracking Table'!$Z300+996.798*'BMP P Tracking Table'!$AA300)*-'BMP P Tracking Table'!$AX300)))/(2*(149.919*'BMP P Tracking Table'!$X300+236.676*'BMP P Tracking Table'!$Y300+726*'BMP P Tracking Table'!$Z300+996.798*'BMP P Tracking Table'!$AA300)))))),"")</f>
        <v/>
      </c>
      <c r="BB300" s="102" t="str">
        <f>IFERROR((VLOOKUP(CONCATENATE('BMP P Tracking Table'!$AW300," ",'BMP P Tracking Table'!$AY300),'Performance Curves'!$C$1:$L$46,_xlfn.SINGLE(MATCH('BMP P Tracking Table'!$BA300,'Performance Curves'!$D$1:$L$1,1))+2,FALSE)-VLOOKUP(CONCATENATE('BMP P Tracking Table'!$AW300," ",'BMP P Tracking Table'!$AY300),'Performance Curves'!$C$1:$L$46,_xlfn.SINGLE(MATCH('BMP P Tracking Table'!$BA300,'Performance Curves'!$D$1:$L$1,1))+1,FALSE)),"")</f>
        <v/>
      </c>
      <c r="BC300" s="102" t="str">
        <f>IFERROR(('BMP P Tracking Table'!$BA300-INDEX('Performance Curves'!$D$1:$L$1,1,MATCH('BMP P Tracking Table'!$BA300,'Performance Curves'!$D$1:$L$1,1)))/(INDEX('Performance Curves'!$D$1:$L$1,1,MATCH('BMP P Tracking Table'!$BA300,'Performance Curves'!$D$1:$L$1,1)+1)-INDEX('Performance Curves'!$D$1:$L$1,1,MATCH('BMP P Tracking Table'!$BA300,'Performance Curves'!$D$1:$L$1,1))),"")</f>
        <v/>
      </c>
      <c r="BD300" s="103" t="str" cm="1">
        <f t="array" ref="BD300">IFERROR(IF('BMP P Tracking Table'!$BA300=2,VLOOKUP(CONCATENATE('BMP P Tracking Table'!$AW300," ",'BMP P Tracking Table'!$AY300),'Performance Curves'!$C$1:$L$44,_xlfn.SINGLE(MATCH('BMP P Tracking Table'!$BA300,'Performance Curves'!$D$1:$L$1,1))+1,FALSE),'BMP P Tracking Table'!$BB300*'BMP P Tracking Table'!$BC300+VLOOKUP(CONCATENATE('BMP P Tracking Table'!$AW300," ",'BMP P Tracking Table'!$AY300),'Performance Curves'!$C$1:$L$44,_xlfn.SINGLE(MATCH('BMP P Tracking Table'!$BA300,'Performance Curves'!$D$1:$L$1,1))+1,FALSE)),"")</f>
        <v/>
      </c>
      <c r="BE300" s="104" t="str">
        <f>IFERROR('BMP P Tracking Table'!$BD300*'BMP P Tracking Table'!$AZ300,"")</f>
        <v/>
      </c>
      <c r="BF300" s="98"/>
      <c r="BG300" s="37">
        <f t="shared" si="38"/>
        <v>0</v>
      </c>
    </row>
    <row r="301" spans="2:59" s="36" customFormat="1">
      <c r="B301" s="65"/>
      <c r="C301" s="65"/>
      <c r="D301" s="65"/>
      <c r="E301" s="65"/>
      <c r="F301" s="94"/>
      <c r="G301" s="94"/>
      <c r="H301" s="65"/>
      <c r="I301" s="65"/>
      <c r="J301" s="65"/>
      <c r="K301" s="95"/>
      <c r="L301" s="65"/>
      <c r="M301" s="65"/>
      <c r="N301" s="65"/>
      <c r="O301" s="65"/>
      <c r="P301" s="65"/>
      <c r="Q301" s="65"/>
      <c r="R301" s="65" t="str">
        <f>IFERROR(VLOOKUP('BMP P Tracking Table'!$Q301,Dropdowns!$C$2:$E$15,3,FALSE),"")</f>
        <v/>
      </c>
      <c r="S301" s="65" t="str">
        <f>IFERROR(VLOOKUP('BMP P Tracking Table'!$R301,Dropdowns!$Q$3:$R$23,2,FALSE),"")</f>
        <v/>
      </c>
      <c r="T301" s="65"/>
      <c r="U301" s="65"/>
      <c r="V301" s="65"/>
      <c r="W301" s="65"/>
      <c r="X301" s="65"/>
      <c r="Y301" s="65"/>
      <c r="Z301" s="65"/>
      <c r="AA301" s="65"/>
      <c r="AB301" s="65"/>
      <c r="AC301" s="97"/>
      <c r="AD301" s="65"/>
      <c r="AE301" s="104" t="str">
        <f>IFERROR('BMP P Tracking Table'!$V301*VLOOKUP('BMP P Tracking Table'!$R301,'Loading Rates'!$B$1:$L$24,4,FALSE)+IF('BMP P Tracking Table'!$W301="By HSG",'BMP P Tracking Table'!$X301*VLOOKUP('BMP P Tracking Table'!$R301,'Loading Rates'!$B$1:$L$24,6,FALSE)+'BMP P Tracking Table'!$Y301*VLOOKUP('BMP P Tracking Table'!$R301,'Loading Rates'!$B$1:$L$24,7,FALSE)+'BMP P Tracking Table'!$Z301*VLOOKUP('BMP P Tracking Table'!$R301,'Loading Rates'!$B$1:$L$24,8,FALSE)+'BMP P Tracking Table'!$AA301*VLOOKUP('BMP P Tracking Table'!$R301,'Loading Rates'!$B$1:$L$24,9,FALSE),'BMP P Tracking Table'!$AB301*VLOOKUP('BMP P Tracking Table'!$R301,'Loading Rates'!$B$1:$L$24,10,FALSE)),"")</f>
        <v/>
      </c>
      <c r="AF301" s="104" t="str">
        <f>IFERROR(MIN(2,IF('BMP P Tracking Table'!$W301="Total Pervious",(-(3630*'BMP P Tracking Table'!$V301+20.691*'BMP P Tracking Table'!$AB301)+SQRT((3630*'BMP P Tracking Table'!$V301+20.691*'BMP P Tracking Table'!$AB301)^2-(4*(996.798*'BMP P Tracking Table'!$AB301)*-'BMP P Tracking Table'!$AC301)))/(2*(996.798*'BMP P Tracking Table'!$AB301)),IF(SUM('BMP P Tracking Table'!$X301:$AA301)=0,'BMP P Tracking Table'!$AC301/(-3630*'BMP P Tracking Table'!$V301),(-(3630*'BMP P Tracking Table'!$V301+20.691*'BMP P Tracking Table'!$AA301-216.711*'BMP P Tracking Table'!$Z301-83.853*'BMP P Tracking Table'!$Y301-42.834*'BMP P Tracking Table'!$X301)+SQRT((3630*'BMP P Tracking Table'!$V301+20.691*'BMP P Tracking Table'!$AA301-216.711*'BMP P Tracking Table'!$Z301-83.853*'BMP P Tracking Table'!$Y301-42.834*'BMP P Tracking Table'!$X301)^2-(4*(149.919*'BMP P Tracking Table'!$X301+236.676*'BMP P Tracking Table'!$Y301+726*'BMP P Tracking Table'!$Z301+996.798*'BMP P Tracking Table'!$AA301)*-'BMP P Tracking Table'!$AC301)))/(2*(149.919*'BMP P Tracking Table'!$X301+236.676*'BMP P Tracking Table'!$Y301+726*'BMP P Tracking Table'!$Z301+996.798*'BMP P Tracking Table'!$AA301))))),"")</f>
        <v/>
      </c>
      <c r="AG301" s="104" t="str">
        <f>IFERROR((VLOOKUP(CONCATENATE('BMP P Tracking Table'!$U301," ",'BMP P Tracking Table'!$AD301),'Performance Curves'!$C$1:$L$46,_xlfn.SINGLE(MATCH('BMP P Tracking Table'!$AF301,'Performance Curves'!$D$1:$L$1,1))+2,FALSE)-VLOOKUP(CONCATENATE('BMP P Tracking Table'!$U301," ",'BMP P Tracking Table'!$AD301),'Performance Curves'!$C$1:$L$46,_xlfn.SINGLE(MATCH('BMP P Tracking Table'!$AF301,'Performance Curves'!$D$1:$L$1,1))+1,FALSE)),"")</f>
        <v/>
      </c>
      <c r="AH301" s="104" t="str">
        <f>IFERROR(('BMP P Tracking Table'!$AF301-INDEX('Performance Curves'!$D$1:$L$1,1,MATCH('BMP P Tracking Table'!$AF301,'Performance Curves'!$D$1:$L$1,1)))/(INDEX('Performance Curves'!$D$1:$L$1,1,MATCH('BMP P Tracking Table'!$AF301,'Performance Curves'!$D$1:$L$1,1)+1)-INDEX('Performance Curves'!$D$1:$L$1,1,MATCH('BMP P Tracking Table'!$AF301,'Performance Curves'!$D$1:$L$1,1))),"")</f>
        <v/>
      </c>
      <c r="AI301" s="103" t="str">
        <f>IFERROR(IF('BMP P Tracking Table'!$AF301=2,VLOOKUP(CONCATENATE('BMP P Tracking Table'!$U301," ",'BMP P Tracking Table'!$AD301),'Performance Curves'!$C$1:$L$46,_xlfn.SINGLE(MATCH('BMP P Tracking Table'!$AF301,'Performance Curves'!$D$1:$L$1,1))+1,FALSE),'BMP P Tracking Table'!$AG301*'BMP P Tracking Table'!$AH301+VLOOKUP(CONCATENATE('BMP P Tracking Table'!$U301," ",'BMP P Tracking Table'!$AD301),'Performance Curves'!$C$1:$L$46,_xlfn.SINGLE(MATCH('BMP P Tracking Table'!$AF301,'Performance Curves'!$D$1:$L$1,1))+1,FALSE)),"")</f>
        <v/>
      </c>
      <c r="AJ301" s="104" t="str">
        <f>IFERROR('BMP P Tracking Table'!$AI301*'BMP P Tracking Table'!$AE301,"")</f>
        <v/>
      </c>
      <c r="AK301" s="65"/>
      <c r="AL301" s="98"/>
      <c r="AM301" s="98"/>
      <c r="AN301" s="64">
        <v>1</v>
      </c>
      <c r="AO301" s="102" t="str">
        <f t="shared" si="37"/>
        <v/>
      </c>
      <c r="AP301" s="98"/>
      <c r="AQ301" s="98"/>
      <c r="AR301" s="98"/>
      <c r="AS301" s="98"/>
      <c r="AT301" s="98"/>
      <c r="AU301" s="98"/>
      <c r="AV301" s="98"/>
      <c r="AW301" s="65"/>
      <c r="AX301" s="99"/>
      <c r="AY301" s="99"/>
      <c r="AZ301" s="104" t="str">
        <f>IF('BMP P Tracking Table'!$AL301="Yes",IF('BMP P Tracking Table'!$AM301="No",'BMP P Tracking Table'!$V301*VLOOKUP('BMP P Tracking Table'!$R301,'Loading Rates'!$B$1:$L$24,4,FALSE)+IF('BMP P Tracking Table'!$W301="By HSG",'BMP P Tracking Table'!$X301*VLOOKUP('BMP P Tracking Table'!$R301,'Loading Rates'!$B$1:$L$24,6,FALSE)+'BMP P Tracking Table'!$Y301*VLOOKUP('BMP P Tracking Table'!$R301,'Loading Rates'!$B$1:$L$24,7,FALSE)+'BMP P Tracking Table'!$Z301*VLOOKUP('BMP P Tracking Table'!$R301,'Loading Rates'!$B$1:$L$24,8,FALSE)+'BMP P Tracking Table'!$AA301*VLOOKUP('BMP P Tracking Table'!$R301,'Loading Rates'!$B$1:$L$24,9,FALSE),'BMP P Tracking Table'!$AB301*VLOOKUP('BMP P Tracking Table'!$R301,'Loading Rates'!$B$1:$L$24,10,FALSE)),'BMP P Tracking Table'!$AP301*VLOOKUP('BMP P Tracking Table'!$R301,'Loading Rates'!$B$1:$L$24,4,FALSE)+IF('BMP P Tracking Table'!$AQ301="By HSG",'BMP P Tracking Table'!$AR301*VLOOKUP('BMP P Tracking Table'!$R301,'Loading Rates'!$B$1:$L$24,6,FALSE)+'BMP P Tracking Table'!$AS301*VLOOKUP('BMP P Tracking Table'!$R301,'Loading Rates'!$B$1:$L$24,7,FALSE)+'BMP P Tracking Table'!$AT301*VLOOKUP('BMP P Tracking Table'!$R301,'Loading Rates'!$B$1:$L$24,8,FALSE)+'BMP P Tracking Table'!$AU301*VLOOKUP('BMP P Tracking Table'!$R301,'Loading Rates'!$B$1:$L$24,9,FALSE),'BMP P Tracking Table'!$AV301*VLOOKUP('BMP P Tracking Table'!$R301,'Loading Rates'!$B$1:$L$24,10,FALSE))),"")</f>
        <v/>
      </c>
      <c r="BA301" s="104" t="str">
        <f>IFERROR(IF('BMP P Tracking Table'!$AM301="Yes",MIN(2,IF('BMP P Tracking Table'!$AQ301="Total Pervious",(-(3630*'BMP P Tracking Table'!$AP301+20.691*'BMP P Tracking Table'!$AV301)+SQRT((3630*'BMP P Tracking Table'!$AP301+20.691*'BMP P Tracking Table'!$AV301)^2-(4*(996.798*'BMP P Tracking Table'!$AV301)*-'BMP P Tracking Table'!$AX301)))/(2*(996.798*'BMP P Tracking Table'!$AV301)),IF(SUM('BMP P Tracking Table'!$AR301:$AU301)=0,'BMP P Tracking Table'!$AV301/(-3630*'BMP P Tracking Table'!$AP301),(-(3630*'BMP P Tracking Table'!$AP301+20.691*'BMP P Tracking Table'!$AU301-216.711*'BMP P Tracking Table'!$AT301-83.853*'BMP P Tracking Table'!$AS301-42.834*'BMP P Tracking Table'!$AR301)+SQRT((3630*'BMP P Tracking Table'!$AP301+20.691*'BMP P Tracking Table'!$AU301-216.711*'BMP P Tracking Table'!$AT301-83.853*'BMP P Tracking Table'!$AS301-42.834*'BMP P Tracking Table'!$AR301)^2-(4*(149.919*'BMP P Tracking Table'!$AR301+236.676*'BMP P Tracking Table'!$AS301+726*'BMP P Tracking Table'!$AT301+996.798*'BMP P Tracking Table'!$AU301)*-'BMP P Tracking Table'!$AX301)))/(2*(149.919*'BMP P Tracking Table'!$AR301+236.676*'BMP P Tracking Table'!$AS301+726*'BMP P Tracking Table'!$AT301+996.798*'BMP P Tracking Table'!$AU301))))),MIN(2,IF('BMP P Tracking Table'!$AQ301="Total Pervious",(-(3630*'BMP P Tracking Table'!$V301+20.691*'BMP P Tracking Table'!$AB301)+SQRT((3630*'BMP P Tracking Table'!$V301+20.691*'BMP P Tracking Table'!$AB301)^2-(4*(996.798*'BMP P Tracking Table'!$AB301)*-'BMP P Tracking Table'!$AX301)))/(2*(996.798*'BMP P Tracking Table'!$AB301)),IF(SUM('BMP P Tracking Table'!$X301:$AA301)=0,'BMP P Tracking Table'!$AX301/(-3630*'BMP P Tracking Table'!$V301),(-(3630*'BMP P Tracking Table'!$V301+20.691*'BMP P Tracking Table'!$AA301-216.711*'BMP P Tracking Table'!$Z301-83.853*'BMP P Tracking Table'!$Y301-42.834*'BMP P Tracking Table'!$X301)+SQRT((3630*'BMP P Tracking Table'!$V301+20.691*'BMP P Tracking Table'!$AA301-216.711*'BMP P Tracking Table'!$Z301-83.853*'BMP P Tracking Table'!$Y301-42.834*'BMP P Tracking Table'!$X301)^2-(4*(149.919*'BMP P Tracking Table'!$X301+236.676*'BMP P Tracking Table'!$Y301+726*'BMP P Tracking Table'!$Z301+996.798*'BMP P Tracking Table'!$AA301)*-'BMP P Tracking Table'!$AX301)))/(2*(149.919*'BMP P Tracking Table'!$X301+236.676*'BMP P Tracking Table'!$Y301+726*'BMP P Tracking Table'!$Z301+996.798*'BMP P Tracking Table'!$AA301)))))),"")</f>
        <v/>
      </c>
      <c r="BB301" s="102" t="str">
        <f>IFERROR((VLOOKUP(CONCATENATE('BMP P Tracking Table'!$AW301," ",'BMP P Tracking Table'!$AY301),'Performance Curves'!$C$1:$L$46,_xlfn.SINGLE(MATCH('BMP P Tracking Table'!$BA301,'Performance Curves'!$D$1:$L$1,1))+2,FALSE)-VLOOKUP(CONCATENATE('BMP P Tracking Table'!$AW301," ",'BMP P Tracking Table'!$AY301),'Performance Curves'!$C$1:$L$46,_xlfn.SINGLE(MATCH('BMP P Tracking Table'!$BA301,'Performance Curves'!$D$1:$L$1,1))+1,FALSE)),"")</f>
        <v/>
      </c>
      <c r="BC301" s="102" t="str">
        <f>IFERROR(('BMP P Tracking Table'!$BA301-INDEX('Performance Curves'!$D$1:$L$1,1,MATCH('BMP P Tracking Table'!$BA301,'Performance Curves'!$D$1:$L$1,1)))/(INDEX('Performance Curves'!$D$1:$L$1,1,MATCH('BMP P Tracking Table'!$BA301,'Performance Curves'!$D$1:$L$1,1)+1)-INDEX('Performance Curves'!$D$1:$L$1,1,MATCH('BMP P Tracking Table'!$BA301,'Performance Curves'!$D$1:$L$1,1))),"")</f>
        <v/>
      </c>
      <c r="BD301" s="103" t="str" cm="1">
        <f t="array" ref="BD301">IFERROR(IF('BMP P Tracking Table'!$BA301=2,VLOOKUP(CONCATENATE('BMP P Tracking Table'!$AW301," ",'BMP P Tracking Table'!$AY301),'Performance Curves'!$C$1:$L$44,_xlfn.SINGLE(MATCH('BMP P Tracking Table'!$BA301,'Performance Curves'!$D$1:$L$1,1))+1,FALSE),'BMP P Tracking Table'!$BB301*'BMP P Tracking Table'!$BC301+VLOOKUP(CONCATENATE('BMP P Tracking Table'!$AW301," ",'BMP P Tracking Table'!$AY301),'Performance Curves'!$C$1:$L$44,_xlfn.SINGLE(MATCH('BMP P Tracking Table'!$BA301,'Performance Curves'!$D$1:$L$1,1))+1,FALSE)),"")</f>
        <v/>
      </c>
      <c r="BE301" s="104" t="str">
        <f>IFERROR('BMP P Tracking Table'!$BD301*'BMP P Tracking Table'!$AZ301,"")</f>
        <v/>
      </c>
      <c r="BF301" s="98"/>
      <c r="BG301" s="37">
        <f t="shared" si="38"/>
        <v>0</v>
      </c>
    </row>
    <row r="302" spans="2:59" s="36" customFormat="1">
      <c r="B302" s="65"/>
      <c r="C302" s="65"/>
      <c r="D302" s="65"/>
      <c r="E302" s="65"/>
      <c r="F302" s="94"/>
      <c r="G302" s="94"/>
      <c r="H302" s="65"/>
      <c r="I302" s="65"/>
      <c r="J302" s="65"/>
      <c r="K302" s="95"/>
      <c r="L302" s="65"/>
      <c r="M302" s="65"/>
      <c r="N302" s="65"/>
      <c r="O302" s="65"/>
      <c r="P302" s="65"/>
      <c r="Q302" s="65"/>
      <c r="R302" s="65" t="str">
        <f>IFERROR(VLOOKUP('BMP P Tracking Table'!$Q302,Dropdowns!$C$2:$E$15,3,FALSE),"")</f>
        <v/>
      </c>
      <c r="S302" s="65" t="str">
        <f>IFERROR(VLOOKUP('BMP P Tracking Table'!$R302,Dropdowns!$Q$3:$R$23,2,FALSE),"")</f>
        <v/>
      </c>
      <c r="T302" s="65"/>
      <c r="U302" s="65"/>
      <c r="V302" s="65"/>
      <c r="W302" s="65"/>
      <c r="X302" s="65"/>
      <c r="Y302" s="65"/>
      <c r="Z302" s="65"/>
      <c r="AA302" s="65"/>
      <c r="AB302" s="65"/>
      <c r="AC302" s="97"/>
      <c r="AD302" s="65"/>
      <c r="AE302" s="104" t="str">
        <f>IFERROR('BMP P Tracking Table'!$V302*VLOOKUP('BMP P Tracking Table'!$R302,'Loading Rates'!$B$1:$L$24,4,FALSE)+IF('BMP P Tracking Table'!$W302="By HSG",'BMP P Tracking Table'!$X302*VLOOKUP('BMP P Tracking Table'!$R302,'Loading Rates'!$B$1:$L$24,6,FALSE)+'BMP P Tracking Table'!$Y302*VLOOKUP('BMP P Tracking Table'!$R302,'Loading Rates'!$B$1:$L$24,7,FALSE)+'BMP P Tracking Table'!$Z302*VLOOKUP('BMP P Tracking Table'!$R302,'Loading Rates'!$B$1:$L$24,8,FALSE)+'BMP P Tracking Table'!$AA302*VLOOKUP('BMP P Tracking Table'!$R302,'Loading Rates'!$B$1:$L$24,9,FALSE),'BMP P Tracking Table'!$AB302*VLOOKUP('BMP P Tracking Table'!$R302,'Loading Rates'!$B$1:$L$24,10,FALSE)),"")</f>
        <v/>
      </c>
      <c r="AF302" s="104" t="str">
        <f>IFERROR(MIN(2,IF('BMP P Tracking Table'!$W302="Total Pervious",(-(3630*'BMP P Tracking Table'!$V302+20.691*'BMP P Tracking Table'!$AB302)+SQRT((3630*'BMP P Tracking Table'!$V302+20.691*'BMP P Tracking Table'!$AB302)^2-(4*(996.798*'BMP P Tracking Table'!$AB302)*-'BMP P Tracking Table'!$AC302)))/(2*(996.798*'BMP P Tracking Table'!$AB302)),IF(SUM('BMP P Tracking Table'!$X302:$AA302)=0,'BMP P Tracking Table'!$AC302/(-3630*'BMP P Tracking Table'!$V302),(-(3630*'BMP P Tracking Table'!$V302+20.691*'BMP P Tracking Table'!$AA302-216.711*'BMP P Tracking Table'!$Z302-83.853*'BMP P Tracking Table'!$Y302-42.834*'BMP P Tracking Table'!$X302)+SQRT((3630*'BMP P Tracking Table'!$V302+20.691*'BMP P Tracking Table'!$AA302-216.711*'BMP P Tracking Table'!$Z302-83.853*'BMP P Tracking Table'!$Y302-42.834*'BMP P Tracking Table'!$X302)^2-(4*(149.919*'BMP P Tracking Table'!$X302+236.676*'BMP P Tracking Table'!$Y302+726*'BMP P Tracking Table'!$Z302+996.798*'BMP P Tracking Table'!$AA302)*-'BMP P Tracking Table'!$AC302)))/(2*(149.919*'BMP P Tracking Table'!$X302+236.676*'BMP P Tracking Table'!$Y302+726*'BMP P Tracking Table'!$Z302+996.798*'BMP P Tracking Table'!$AA302))))),"")</f>
        <v/>
      </c>
      <c r="AG302" s="104" t="str">
        <f>IFERROR((VLOOKUP(CONCATENATE('BMP P Tracking Table'!$U302," ",'BMP P Tracking Table'!$AD302),'Performance Curves'!$C$1:$L$46,_xlfn.SINGLE(MATCH('BMP P Tracking Table'!$AF302,'Performance Curves'!$D$1:$L$1,1))+2,FALSE)-VLOOKUP(CONCATENATE('BMP P Tracking Table'!$U302," ",'BMP P Tracking Table'!$AD302),'Performance Curves'!$C$1:$L$46,_xlfn.SINGLE(MATCH('BMP P Tracking Table'!$AF302,'Performance Curves'!$D$1:$L$1,1))+1,FALSE)),"")</f>
        <v/>
      </c>
      <c r="AH302" s="104" t="str">
        <f>IFERROR(('BMP P Tracking Table'!$AF302-INDEX('Performance Curves'!$D$1:$L$1,1,MATCH('BMP P Tracking Table'!$AF302,'Performance Curves'!$D$1:$L$1,1)))/(INDEX('Performance Curves'!$D$1:$L$1,1,MATCH('BMP P Tracking Table'!$AF302,'Performance Curves'!$D$1:$L$1,1)+1)-INDEX('Performance Curves'!$D$1:$L$1,1,MATCH('BMP P Tracking Table'!$AF302,'Performance Curves'!$D$1:$L$1,1))),"")</f>
        <v/>
      </c>
      <c r="AI302" s="103" t="str">
        <f>IFERROR(IF('BMP P Tracking Table'!$AF302=2,VLOOKUP(CONCATENATE('BMP P Tracking Table'!$U302," ",'BMP P Tracking Table'!$AD302),'Performance Curves'!$C$1:$L$46,_xlfn.SINGLE(MATCH('BMP P Tracking Table'!$AF302,'Performance Curves'!$D$1:$L$1,1))+1,FALSE),'BMP P Tracking Table'!$AG302*'BMP P Tracking Table'!$AH302+VLOOKUP(CONCATENATE('BMP P Tracking Table'!$U302," ",'BMP P Tracking Table'!$AD302),'Performance Curves'!$C$1:$L$46,_xlfn.SINGLE(MATCH('BMP P Tracking Table'!$AF302,'Performance Curves'!$D$1:$L$1,1))+1,FALSE)),"")</f>
        <v/>
      </c>
      <c r="AJ302" s="104" t="str">
        <f>IFERROR('BMP P Tracking Table'!$AI302*'BMP P Tracking Table'!$AE302,"")</f>
        <v/>
      </c>
      <c r="AK302" s="65"/>
      <c r="AL302" s="98"/>
      <c r="AM302" s="98"/>
      <c r="AN302" s="64">
        <v>1</v>
      </c>
      <c r="AO302" s="102" t="str">
        <f t="shared" si="37"/>
        <v/>
      </c>
      <c r="AP302" s="98"/>
      <c r="AQ302" s="98"/>
      <c r="AR302" s="98"/>
      <c r="AS302" s="98"/>
      <c r="AT302" s="98"/>
      <c r="AU302" s="98"/>
      <c r="AV302" s="98"/>
      <c r="AW302" s="65"/>
      <c r="AX302" s="99"/>
      <c r="AY302" s="99"/>
      <c r="AZ302" s="104" t="str">
        <f>IF('BMP P Tracking Table'!$AL302="Yes",IF('BMP P Tracking Table'!$AM302="No",'BMP P Tracking Table'!$V302*VLOOKUP('BMP P Tracking Table'!$R302,'Loading Rates'!$B$1:$L$24,4,FALSE)+IF('BMP P Tracking Table'!$W302="By HSG",'BMP P Tracking Table'!$X302*VLOOKUP('BMP P Tracking Table'!$R302,'Loading Rates'!$B$1:$L$24,6,FALSE)+'BMP P Tracking Table'!$Y302*VLOOKUP('BMP P Tracking Table'!$R302,'Loading Rates'!$B$1:$L$24,7,FALSE)+'BMP P Tracking Table'!$Z302*VLOOKUP('BMP P Tracking Table'!$R302,'Loading Rates'!$B$1:$L$24,8,FALSE)+'BMP P Tracking Table'!$AA302*VLOOKUP('BMP P Tracking Table'!$R302,'Loading Rates'!$B$1:$L$24,9,FALSE),'BMP P Tracking Table'!$AB302*VLOOKUP('BMP P Tracking Table'!$R302,'Loading Rates'!$B$1:$L$24,10,FALSE)),'BMP P Tracking Table'!$AP302*VLOOKUP('BMP P Tracking Table'!$R302,'Loading Rates'!$B$1:$L$24,4,FALSE)+IF('BMP P Tracking Table'!$AQ302="By HSG",'BMP P Tracking Table'!$AR302*VLOOKUP('BMP P Tracking Table'!$R302,'Loading Rates'!$B$1:$L$24,6,FALSE)+'BMP P Tracking Table'!$AS302*VLOOKUP('BMP P Tracking Table'!$R302,'Loading Rates'!$B$1:$L$24,7,FALSE)+'BMP P Tracking Table'!$AT302*VLOOKUP('BMP P Tracking Table'!$R302,'Loading Rates'!$B$1:$L$24,8,FALSE)+'BMP P Tracking Table'!$AU302*VLOOKUP('BMP P Tracking Table'!$R302,'Loading Rates'!$B$1:$L$24,9,FALSE),'BMP P Tracking Table'!$AV302*VLOOKUP('BMP P Tracking Table'!$R302,'Loading Rates'!$B$1:$L$24,10,FALSE))),"")</f>
        <v/>
      </c>
      <c r="BA302" s="104" t="str">
        <f>IFERROR(IF('BMP P Tracking Table'!$AM302="Yes",MIN(2,IF('BMP P Tracking Table'!$AQ302="Total Pervious",(-(3630*'BMP P Tracking Table'!$AP302+20.691*'BMP P Tracking Table'!$AV302)+SQRT((3630*'BMP P Tracking Table'!$AP302+20.691*'BMP P Tracking Table'!$AV302)^2-(4*(996.798*'BMP P Tracking Table'!$AV302)*-'BMP P Tracking Table'!$AX302)))/(2*(996.798*'BMP P Tracking Table'!$AV302)),IF(SUM('BMP P Tracking Table'!$AR302:$AU302)=0,'BMP P Tracking Table'!$AV302/(-3630*'BMP P Tracking Table'!$AP302),(-(3630*'BMP P Tracking Table'!$AP302+20.691*'BMP P Tracking Table'!$AU302-216.711*'BMP P Tracking Table'!$AT302-83.853*'BMP P Tracking Table'!$AS302-42.834*'BMP P Tracking Table'!$AR302)+SQRT((3630*'BMP P Tracking Table'!$AP302+20.691*'BMP P Tracking Table'!$AU302-216.711*'BMP P Tracking Table'!$AT302-83.853*'BMP P Tracking Table'!$AS302-42.834*'BMP P Tracking Table'!$AR302)^2-(4*(149.919*'BMP P Tracking Table'!$AR302+236.676*'BMP P Tracking Table'!$AS302+726*'BMP P Tracking Table'!$AT302+996.798*'BMP P Tracking Table'!$AU302)*-'BMP P Tracking Table'!$AX302)))/(2*(149.919*'BMP P Tracking Table'!$AR302+236.676*'BMP P Tracking Table'!$AS302+726*'BMP P Tracking Table'!$AT302+996.798*'BMP P Tracking Table'!$AU302))))),MIN(2,IF('BMP P Tracking Table'!$AQ302="Total Pervious",(-(3630*'BMP P Tracking Table'!$V302+20.691*'BMP P Tracking Table'!$AB302)+SQRT((3630*'BMP P Tracking Table'!$V302+20.691*'BMP P Tracking Table'!$AB302)^2-(4*(996.798*'BMP P Tracking Table'!$AB302)*-'BMP P Tracking Table'!$AX302)))/(2*(996.798*'BMP P Tracking Table'!$AB302)),IF(SUM('BMP P Tracking Table'!$X302:$AA302)=0,'BMP P Tracking Table'!$AX302/(-3630*'BMP P Tracking Table'!$V302),(-(3630*'BMP P Tracking Table'!$V302+20.691*'BMP P Tracking Table'!$AA302-216.711*'BMP P Tracking Table'!$Z302-83.853*'BMP P Tracking Table'!$Y302-42.834*'BMP P Tracking Table'!$X302)+SQRT((3630*'BMP P Tracking Table'!$V302+20.691*'BMP P Tracking Table'!$AA302-216.711*'BMP P Tracking Table'!$Z302-83.853*'BMP P Tracking Table'!$Y302-42.834*'BMP P Tracking Table'!$X302)^2-(4*(149.919*'BMP P Tracking Table'!$X302+236.676*'BMP P Tracking Table'!$Y302+726*'BMP P Tracking Table'!$Z302+996.798*'BMP P Tracking Table'!$AA302)*-'BMP P Tracking Table'!$AX302)))/(2*(149.919*'BMP P Tracking Table'!$X302+236.676*'BMP P Tracking Table'!$Y302+726*'BMP P Tracking Table'!$Z302+996.798*'BMP P Tracking Table'!$AA302)))))),"")</f>
        <v/>
      </c>
      <c r="BB302" s="102" t="str">
        <f>IFERROR((VLOOKUP(CONCATENATE('BMP P Tracking Table'!$AW302," ",'BMP P Tracking Table'!$AY302),'Performance Curves'!$C$1:$L$46,_xlfn.SINGLE(MATCH('BMP P Tracking Table'!$BA302,'Performance Curves'!$D$1:$L$1,1))+2,FALSE)-VLOOKUP(CONCATENATE('BMP P Tracking Table'!$AW302," ",'BMP P Tracking Table'!$AY302),'Performance Curves'!$C$1:$L$46,_xlfn.SINGLE(MATCH('BMP P Tracking Table'!$BA302,'Performance Curves'!$D$1:$L$1,1))+1,FALSE)),"")</f>
        <v/>
      </c>
      <c r="BC302" s="102" t="str">
        <f>IFERROR(('BMP P Tracking Table'!$BA302-INDEX('Performance Curves'!$D$1:$L$1,1,MATCH('BMP P Tracking Table'!$BA302,'Performance Curves'!$D$1:$L$1,1)))/(INDEX('Performance Curves'!$D$1:$L$1,1,MATCH('BMP P Tracking Table'!$BA302,'Performance Curves'!$D$1:$L$1,1)+1)-INDEX('Performance Curves'!$D$1:$L$1,1,MATCH('BMP P Tracking Table'!$BA302,'Performance Curves'!$D$1:$L$1,1))),"")</f>
        <v/>
      </c>
      <c r="BD302" s="103" t="str" cm="1">
        <f t="array" ref="BD302">IFERROR(IF('BMP P Tracking Table'!$BA302=2,VLOOKUP(CONCATENATE('BMP P Tracking Table'!$AW302," ",'BMP P Tracking Table'!$AY302),'Performance Curves'!$C$1:$L$44,_xlfn.SINGLE(MATCH('BMP P Tracking Table'!$BA302,'Performance Curves'!$D$1:$L$1,1))+1,FALSE),'BMP P Tracking Table'!$BB302*'BMP P Tracking Table'!$BC302+VLOOKUP(CONCATENATE('BMP P Tracking Table'!$AW302," ",'BMP P Tracking Table'!$AY302),'Performance Curves'!$C$1:$L$44,_xlfn.SINGLE(MATCH('BMP P Tracking Table'!$BA302,'Performance Curves'!$D$1:$L$1,1))+1,FALSE)),"")</f>
        <v/>
      </c>
      <c r="BE302" s="104" t="str">
        <f>IFERROR('BMP P Tracking Table'!$BD302*'BMP P Tracking Table'!$AZ302,"")</f>
        <v/>
      </c>
      <c r="BF302" s="98"/>
      <c r="BG302" s="37">
        <f t="shared" si="38"/>
        <v>0</v>
      </c>
    </row>
    <row r="303" spans="2:59" s="36" customFormat="1">
      <c r="B303" s="65"/>
      <c r="C303" s="65"/>
      <c r="D303" s="65"/>
      <c r="E303" s="65"/>
      <c r="F303" s="94"/>
      <c r="G303" s="94"/>
      <c r="H303" s="65"/>
      <c r="I303" s="65"/>
      <c r="J303" s="65"/>
      <c r="K303" s="95"/>
      <c r="L303" s="65"/>
      <c r="M303" s="65"/>
      <c r="N303" s="65"/>
      <c r="O303" s="65"/>
      <c r="P303" s="65"/>
      <c r="Q303" s="65"/>
      <c r="R303" s="65" t="str">
        <f>IFERROR(VLOOKUP('BMP P Tracking Table'!$Q303,Dropdowns!$C$2:$E$15,3,FALSE),"")</f>
        <v/>
      </c>
      <c r="S303" s="65" t="str">
        <f>IFERROR(VLOOKUP('BMP P Tracking Table'!$R303,Dropdowns!$Q$3:$R$23,2,FALSE),"")</f>
        <v/>
      </c>
      <c r="T303" s="65"/>
      <c r="U303" s="65"/>
      <c r="V303" s="65"/>
      <c r="W303" s="65"/>
      <c r="X303" s="65"/>
      <c r="Y303" s="65"/>
      <c r="Z303" s="65"/>
      <c r="AA303" s="65"/>
      <c r="AB303" s="65"/>
      <c r="AC303" s="97"/>
      <c r="AD303" s="65"/>
      <c r="AE303" s="104" t="str">
        <f>IFERROR('BMP P Tracking Table'!$V303*VLOOKUP('BMP P Tracking Table'!$R303,'Loading Rates'!$B$1:$L$24,4,FALSE)+IF('BMP P Tracking Table'!$W303="By HSG",'BMP P Tracking Table'!$X303*VLOOKUP('BMP P Tracking Table'!$R303,'Loading Rates'!$B$1:$L$24,6,FALSE)+'BMP P Tracking Table'!$Y303*VLOOKUP('BMP P Tracking Table'!$R303,'Loading Rates'!$B$1:$L$24,7,FALSE)+'BMP P Tracking Table'!$Z303*VLOOKUP('BMP P Tracking Table'!$R303,'Loading Rates'!$B$1:$L$24,8,FALSE)+'BMP P Tracking Table'!$AA303*VLOOKUP('BMP P Tracking Table'!$R303,'Loading Rates'!$B$1:$L$24,9,FALSE),'BMP P Tracking Table'!$AB303*VLOOKUP('BMP P Tracking Table'!$R303,'Loading Rates'!$B$1:$L$24,10,FALSE)),"")</f>
        <v/>
      </c>
      <c r="AF303" s="104" t="str">
        <f>IFERROR(MIN(2,IF('BMP P Tracking Table'!$W303="Total Pervious",(-(3630*'BMP P Tracking Table'!$V303+20.691*'BMP P Tracking Table'!$AB303)+SQRT((3630*'BMP P Tracking Table'!$V303+20.691*'BMP P Tracking Table'!$AB303)^2-(4*(996.798*'BMP P Tracking Table'!$AB303)*-'BMP P Tracking Table'!$AC303)))/(2*(996.798*'BMP P Tracking Table'!$AB303)),IF(SUM('BMP P Tracking Table'!$X303:$AA303)=0,'BMP P Tracking Table'!$AC303/(-3630*'BMP P Tracking Table'!$V303),(-(3630*'BMP P Tracking Table'!$V303+20.691*'BMP P Tracking Table'!$AA303-216.711*'BMP P Tracking Table'!$Z303-83.853*'BMP P Tracking Table'!$Y303-42.834*'BMP P Tracking Table'!$X303)+SQRT((3630*'BMP P Tracking Table'!$V303+20.691*'BMP P Tracking Table'!$AA303-216.711*'BMP P Tracking Table'!$Z303-83.853*'BMP P Tracking Table'!$Y303-42.834*'BMP P Tracking Table'!$X303)^2-(4*(149.919*'BMP P Tracking Table'!$X303+236.676*'BMP P Tracking Table'!$Y303+726*'BMP P Tracking Table'!$Z303+996.798*'BMP P Tracking Table'!$AA303)*-'BMP P Tracking Table'!$AC303)))/(2*(149.919*'BMP P Tracking Table'!$X303+236.676*'BMP P Tracking Table'!$Y303+726*'BMP P Tracking Table'!$Z303+996.798*'BMP P Tracking Table'!$AA303))))),"")</f>
        <v/>
      </c>
      <c r="AG303" s="104" t="str">
        <f>IFERROR((VLOOKUP(CONCATENATE('BMP P Tracking Table'!$U303," ",'BMP P Tracking Table'!$AD303),'Performance Curves'!$C$1:$L$46,_xlfn.SINGLE(MATCH('BMP P Tracking Table'!$AF303,'Performance Curves'!$D$1:$L$1,1))+2,FALSE)-VLOOKUP(CONCATENATE('BMP P Tracking Table'!$U303," ",'BMP P Tracking Table'!$AD303),'Performance Curves'!$C$1:$L$46,_xlfn.SINGLE(MATCH('BMP P Tracking Table'!$AF303,'Performance Curves'!$D$1:$L$1,1))+1,FALSE)),"")</f>
        <v/>
      </c>
      <c r="AH303" s="104" t="str">
        <f>IFERROR(('BMP P Tracking Table'!$AF303-INDEX('Performance Curves'!$D$1:$L$1,1,MATCH('BMP P Tracking Table'!$AF303,'Performance Curves'!$D$1:$L$1,1)))/(INDEX('Performance Curves'!$D$1:$L$1,1,MATCH('BMP P Tracking Table'!$AF303,'Performance Curves'!$D$1:$L$1,1)+1)-INDEX('Performance Curves'!$D$1:$L$1,1,MATCH('BMP P Tracking Table'!$AF303,'Performance Curves'!$D$1:$L$1,1))),"")</f>
        <v/>
      </c>
      <c r="AI303" s="103" t="str">
        <f>IFERROR(IF('BMP P Tracking Table'!$AF303=2,VLOOKUP(CONCATENATE('BMP P Tracking Table'!$U303," ",'BMP P Tracking Table'!$AD303),'Performance Curves'!$C$1:$L$46,_xlfn.SINGLE(MATCH('BMP P Tracking Table'!$AF303,'Performance Curves'!$D$1:$L$1,1))+1,FALSE),'BMP P Tracking Table'!$AG303*'BMP P Tracking Table'!$AH303+VLOOKUP(CONCATENATE('BMP P Tracking Table'!$U303," ",'BMP P Tracking Table'!$AD303),'Performance Curves'!$C$1:$L$46,_xlfn.SINGLE(MATCH('BMP P Tracking Table'!$AF303,'Performance Curves'!$D$1:$L$1,1))+1,FALSE)),"")</f>
        <v/>
      </c>
      <c r="AJ303" s="104" t="str">
        <f>IFERROR('BMP P Tracking Table'!$AI303*'BMP P Tracking Table'!$AE303,"")</f>
        <v/>
      </c>
      <c r="AK303" s="65"/>
      <c r="AL303" s="98"/>
      <c r="AM303" s="98"/>
      <c r="AN303" s="64">
        <v>1</v>
      </c>
      <c r="AO303" s="102" t="str">
        <f t="shared" si="37"/>
        <v/>
      </c>
      <c r="AP303" s="98"/>
      <c r="AQ303" s="98"/>
      <c r="AR303" s="98"/>
      <c r="AS303" s="98"/>
      <c r="AT303" s="98"/>
      <c r="AU303" s="98"/>
      <c r="AV303" s="98"/>
      <c r="AW303" s="65"/>
      <c r="AX303" s="99"/>
      <c r="AY303" s="99"/>
      <c r="AZ303" s="104" t="str">
        <f>IF('BMP P Tracking Table'!$AL303="Yes",IF('BMP P Tracking Table'!$AM303="No",'BMP P Tracking Table'!$V303*VLOOKUP('BMP P Tracking Table'!$R303,'Loading Rates'!$B$1:$L$24,4,FALSE)+IF('BMP P Tracking Table'!$W303="By HSG",'BMP P Tracking Table'!$X303*VLOOKUP('BMP P Tracking Table'!$R303,'Loading Rates'!$B$1:$L$24,6,FALSE)+'BMP P Tracking Table'!$Y303*VLOOKUP('BMP P Tracking Table'!$R303,'Loading Rates'!$B$1:$L$24,7,FALSE)+'BMP P Tracking Table'!$Z303*VLOOKUP('BMP P Tracking Table'!$R303,'Loading Rates'!$B$1:$L$24,8,FALSE)+'BMP P Tracking Table'!$AA303*VLOOKUP('BMP P Tracking Table'!$R303,'Loading Rates'!$B$1:$L$24,9,FALSE),'BMP P Tracking Table'!$AB303*VLOOKUP('BMP P Tracking Table'!$R303,'Loading Rates'!$B$1:$L$24,10,FALSE)),'BMP P Tracking Table'!$AP303*VLOOKUP('BMP P Tracking Table'!$R303,'Loading Rates'!$B$1:$L$24,4,FALSE)+IF('BMP P Tracking Table'!$AQ303="By HSG",'BMP P Tracking Table'!$AR303*VLOOKUP('BMP P Tracking Table'!$R303,'Loading Rates'!$B$1:$L$24,6,FALSE)+'BMP P Tracking Table'!$AS303*VLOOKUP('BMP P Tracking Table'!$R303,'Loading Rates'!$B$1:$L$24,7,FALSE)+'BMP P Tracking Table'!$AT303*VLOOKUP('BMP P Tracking Table'!$R303,'Loading Rates'!$B$1:$L$24,8,FALSE)+'BMP P Tracking Table'!$AU303*VLOOKUP('BMP P Tracking Table'!$R303,'Loading Rates'!$B$1:$L$24,9,FALSE),'BMP P Tracking Table'!$AV303*VLOOKUP('BMP P Tracking Table'!$R303,'Loading Rates'!$B$1:$L$24,10,FALSE))),"")</f>
        <v/>
      </c>
      <c r="BA303" s="104" t="str">
        <f>IFERROR(IF('BMP P Tracking Table'!$AM303="Yes",MIN(2,IF('BMP P Tracking Table'!$AQ303="Total Pervious",(-(3630*'BMP P Tracking Table'!$AP303+20.691*'BMP P Tracking Table'!$AV303)+SQRT((3630*'BMP P Tracking Table'!$AP303+20.691*'BMP P Tracking Table'!$AV303)^2-(4*(996.798*'BMP P Tracking Table'!$AV303)*-'BMP P Tracking Table'!$AX303)))/(2*(996.798*'BMP P Tracking Table'!$AV303)),IF(SUM('BMP P Tracking Table'!$AR303:$AU303)=0,'BMP P Tracking Table'!$AV303/(-3630*'BMP P Tracking Table'!$AP303),(-(3630*'BMP P Tracking Table'!$AP303+20.691*'BMP P Tracking Table'!$AU303-216.711*'BMP P Tracking Table'!$AT303-83.853*'BMP P Tracking Table'!$AS303-42.834*'BMP P Tracking Table'!$AR303)+SQRT((3630*'BMP P Tracking Table'!$AP303+20.691*'BMP P Tracking Table'!$AU303-216.711*'BMP P Tracking Table'!$AT303-83.853*'BMP P Tracking Table'!$AS303-42.834*'BMP P Tracking Table'!$AR303)^2-(4*(149.919*'BMP P Tracking Table'!$AR303+236.676*'BMP P Tracking Table'!$AS303+726*'BMP P Tracking Table'!$AT303+996.798*'BMP P Tracking Table'!$AU303)*-'BMP P Tracking Table'!$AX303)))/(2*(149.919*'BMP P Tracking Table'!$AR303+236.676*'BMP P Tracking Table'!$AS303+726*'BMP P Tracking Table'!$AT303+996.798*'BMP P Tracking Table'!$AU303))))),MIN(2,IF('BMP P Tracking Table'!$AQ303="Total Pervious",(-(3630*'BMP P Tracking Table'!$V303+20.691*'BMP P Tracking Table'!$AB303)+SQRT((3630*'BMP P Tracking Table'!$V303+20.691*'BMP P Tracking Table'!$AB303)^2-(4*(996.798*'BMP P Tracking Table'!$AB303)*-'BMP P Tracking Table'!$AX303)))/(2*(996.798*'BMP P Tracking Table'!$AB303)),IF(SUM('BMP P Tracking Table'!$X303:$AA303)=0,'BMP P Tracking Table'!$AX303/(-3630*'BMP P Tracking Table'!$V303),(-(3630*'BMP P Tracking Table'!$V303+20.691*'BMP P Tracking Table'!$AA303-216.711*'BMP P Tracking Table'!$Z303-83.853*'BMP P Tracking Table'!$Y303-42.834*'BMP P Tracking Table'!$X303)+SQRT((3630*'BMP P Tracking Table'!$V303+20.691*'BMP P Tracking Table'!$AA303-216.711*'BMP P Tracking Table'!$Z303-83.853*'BMP P Tracking Table'!$Y303-42.834*'BMP P Tracking Table'!$X303)^2-(4*(149.919*'BMP P Tracking Table'!$X303+236.676*'BMP P Tracking Table'!$Y303+726*'BMP P Tracking Table'!$Z303+996.798*'BMP P Tracking Table'!$AA303)*-'BMP P Tracking Table'!$AX303)))/(2*(149.919*'BMP P Tracking Table'!$X303+236.676*'BMP P Tracking Table'!$Y303+726*'BMP P Tracking Table'!$Z303+996.798*'BMP P Tracking Table'!$AA303)))))),"")</f>
        <v/>
      </c>
      <c r="BB303" s="102" t="str">
        <f>IFERROR((VLOOKUP(CONCATENATE('BMP P Tracking Table'!$AW303," ",'BMP P Tracking Table'!$AY303),'Performance Curves'!$C$1:$L$46,_xlfn.SINGLE(MATCH('BMP P Tracking Table'!$BA303,'Performance Curves'!$D$1:$L$1,1))+2,FALSE)-VLOOKUP(CONCATENATE('BMP P Tracking Table'!$AW303," ",'BMP P Tracking Table'!$AY303),'Performance Curves'!$C$1:$L$46,_xlfn.SINGLE(MATCH('BMP P Tracking Table'!$BA303,'Performance Curves'!$D$1:$L$1,1))+1,FALSE)),"")</f>
        <v/>
      </c>
      <c r="BC303" s="102" t="str">
        <f>IFERROR(('BMP P Tracking Table'!$BA303-INDEX('Performance Curves'!$D$1:$L$1,1,MATCH('BMP P Tracking Table'!$BA303,'Performance Curves'!$D$1:$L$1,1)))/(INDEX('Performance Curves'!$D$1:$L$1,1,MATCH('BMP P Tracking Table'!$BA303,'Performance Curves'!$D$1:$L$1,1)+1)-INDEX('Performance Curves'!$D$1:$L$1,1,MATCH('BMP P Tracking Table'!$BA303,'Performance Curves'!$D$1:$L$1,1))),"")</f>
        <v/>
      </c>
      <c r="BD303" s="103" t="str" cm="1">
        <f t="array" ref="BD303">IFERROR(IF('BMP P Tracking Table'!$BA303=2,VLOOKUP(CONCATENATE('BMP P Tracking Table'!$AW303," ",'BMP P Tracking Table'!$AY303),'Performance Curves'!$C$1:$L$44,_xlfn.SINGLE(MATCH('BMP P Tracking Table'!$BA303,'Performance Curves'!$D$1:$L$1,1))+1,FALSE),'BMP P Tracking Table'!$BB303*'BMP P Tracking Table'!$BC303+VLOOKUP(CONCATENATE('BMP P Tracking Table'!$AW303," ",'BMP P Tracking Table'!$AY303),'Performance Curves'!$C$1:$L$44,_xlfn.SINGLE(MATCH('BMP P Tracking Table'!$BA303,'Performance Curves'!$D$1:$L$1,1))+1,FALSE)),"")</f>
        <v/>
      </c>
      <c r="BE303" s="104" t="str">
        <f>IFERROR('BMP P Tracking Table'!$BD303*'BMP P Tracking Table'!$AZ303,"")</f>
        <v/>
      </c>
      <c r="BF303" s="98"/>
      <c r="BG303" s="37">
        <f t="shared" si="38"/>
        <v>0</v>
      </c>
    </row>
    <row r="304" spans="2:59" s="36" customFormat="1">
      <c r="B304" s="65"/>
      <c r="C304" s="65"/>
      <c r="D304" s="65"/>
      <c r="E304" s="65"/>
      <c r="F304" s="94"/>
      <c r="G304" s="94"/>
      <c r="H304" s="65"/>
      <c r="I304" s="65"/>
      <c r="J304" s="65"/>
      <c r="K304" s="95"/>
      <c r="L304" s="65"/>
      <c r="M304" s="65"/>
      <c r="N304" s="65"/>
      <c r="O304" s="65"/>
      <c r="P304" s="65"/>
      <c r="Q304" s="65"/>
      <c r="R304" s="65" t="str">
        <f>IFERROR(VLOOKUP('BMP P Tracking Table'!$Q304,Dropdowns!$C$2:$E$15,3,FALSE),"")</f>
        <v/>
      </c>
      <c r="S304" s="65" t="str">
        <f>IFERROR(VLOOKUP('BMP P Tracking Table'!$R304,Dropdowns!$Q$3:$R$23,2,FALSE),"")</f>
        <v/>
      </c>
      <c r="T304" s="65"/>
      <c r="U304" s="65"/>
      <c r="V304" s="65"/>
      <c r="W304" s="65"/>
      <c r="X304" s="65"/>
      <c r="Y304" s="65"/>
      <c r="Z304" s="65"/>
      <c r="AA304" s="65"/>
      <c r="AB304" s="65"/>
      <c r="AC304" s="97"/>
      <c r="AD304" s="65"/>
      <c r="AE304" s="104" t="str">
        <f>IFERROR('BMP P Tracking Table'!$V304*VLOOKUP('BMP P Tracking Table'!$R304,'Loading Rates'!$B$1:$L$24,4,FALSE)+IF('BMP P Tracking Table'!$W304="By HSG",'BMP P Tracking Table'!$X304*VLOOKUP('BMP P Tracking Table'!$R304,'Loading Rates'!$B$1:$L$24,6,FALSE)+'BMP P Tracking Table'!$Y304*VLOOKUP('BMP P Tracking Table'!$R304,'Loading Rates'!$B$1:$L$24,7,FALSE)+'BMP P Tracking Table'!$Z304*VLOOKUP('BMP P Tracking Table'!$R304,'Loading Rates'!$B$1:$L$24,8,FALSE)+'BMP P Tracking Table'!$AA304*VLOOKUP('BMP P Tracking Table'!$R304,'Loading Rates'!$B$1:$L$24,9,FALSE),'BMP P Tracking Table'!$AB304*VLOOKUP('BMP P Tracking Table'!$R304,'Loading Rates'!$B$1:$L$24,10,FALSE)),"")</f>
        <v/>
      </c>
      <c r="AF304" s="104" t="str">
        <f>IFERROR(MIN(2,IF('BMP P Tracking Table'!$W304="Total Pervious",(-(3630*'BMP P Tracking Table'!$V304+20.691*'BMP P Tracking Table'!$AB304)+SQRT((3630*'BMP P Tracking Table'!$V304+20.691*'BMP P Tracking Table'!$AB304)^2-(4*(996.798*'BMP P Tracking Table'!$AB304)*-'BMP P Tracking Table'!$AC304)))/(2*(996.798*'BMP P Tracking Table'!$AB304)),IF(SUM('BMP P Tracking Table'!$X304:$AA304)=0,'BMP P Tracking Table'!$AC304/(-3630*'BMP P Tracking Table'!$V304),(-(3630*'BMP P Tracking Table'!$V304+20.691*'BMP P Tracking Table'!$AA304-216.711*'BMP P Tracking Table'!$Z304-83.853*'BMP P Tracking Table'!$Y304-42.834*'BMP P Tracking Table'!$X304)+SQRT((3630*'BMP P Tracking Table'!$V304+20.691*'BMP P Tracking Table'!$AA304-216.711*'BMP P Tracking Table'!$Z304-83.853*'BMP P Tracking Table'!$Y304-42.834*'BMP P Tracking Table'!$X304)^2-(4*(149.919*'BMP P Tracking Table'!$X304+236.676*'BMP P Tracking Table'!$Y304+726*'BMP P Tracking Table'!$Z304+996.798*'BMP P Tracking Table'!$AA304)*-'BMP P Tracking Table'!$AC304)))/(2*(149.919*'BMP P Tracking Table'!$X304+236.676*'BMP P Tracking Table'!$Y304+726*'BMP P Tracking Table'!$Z304+996.798*'BMP P Tracking Table'!$AA304))))),"")</f>
        <v/>
      </c>
      <c r="AG304" s="104" t="str">
        <f>IFERROR((VLOOKUP(CONCATENATE('BMP P Tracking Table'!$U304," ",'BMP P Tracking Table'!$AD304),'Performance Curves'!$C$1:$L$46,_xlfn.SINGLE(MATCH('BMP P Tracking Table'!$AF304,'Performance Curves'!$D$1:$L$1,1))+2,FALSE)-VLOOKUP(CONCATENATE('BMP P Tracking Table'!$U304," ",'BMP P Tracking Table'!$AD304),'Performance Curves'!$C$1:$L$46,_xlfn.SINGLE(MATCH('BMP P Tracking Table'!$AF304,'Performance Curves'!$D$1:$L$1,1))+1,FALSE)),"")</f>
        <v/>
      </c>
      <c r="AH304" s="104" t="str">
        <f>IFERROR(('BMP P Tracking Table'!$AF304-INDEX('Performance Curves'!$D$1:$L$1,1,MATCH('BMP P Tracking Table'!$AF304,'Performance Curves'!$D$1:$L$1,1)))/(INDEX('Performance Curves'!$D$1:$L$1,1,MATCH('BMP P Tracking Table'!$AF304,'Performance Curves'!$D$1:$L$1,1)+1)-INDEX('Performance Curves'!$D$1:$L$1,1,MATCH('BMP P Tracking Table'!$AF304,'Performance Curves'!$D$1:$L$1,1))),"")</f>
        <v/>
      </c>
      <c r="AI304" s="103" t="str">
        <f>IFERROR(IF('BMP P Tracking Table'!$AF304=2,VLOOKUP(CONCATENATE('BMP P Tracking Table'!$U304," ",'BMP P Tracking Table'!$AD304),'Performance Curves'!$C$1:$L$46,_xlfn.SINGLE(MATCH('BMP P Tracking Table'!$AF304,'Performance Curves'!$D$1:$L$1,1))+1,FALSE),'BMP P Tracking Table'!$AG304*'BMP P Tracking Table'!$AH304+VLOOKUP(CONCATENATE('BMP P Tracking Table'!$U304," ",'BMP P Tracking Table'!$AD304),'Performance Curves'!$C$1:$L$46,_xlfn.SINGLE(MATCH('BMP P Tracking Table'!$AF304,'Performance Curves'!$D$1:$L$1,1))+1,FALSE)),"")</f>
        <v/>
      </c>
      <c r="AJ304" s="104" t="str">
        <f>IFERROR('BMP P Tracking Table'!$AI304*'BMP P Tracking Table'!$AE304,"")</f>
        <v/>
      </c>
      <c r="AK304" s="65"/>
      <c r="AL304" s="98"/>
      <c r="AM304" s="98"/>
      <c r="AN304" s="64">
        <v>1</v>
      </c>
      <c r="AO304" s="102" t="str">
        <f t="shared" si="37"/>
        <v/>
      </c>
      <c r="AP304" s="98"/>
      <c r="AQ304" s="98"/>
      <c r="AR304" s="98"/>
      <c r="AS304" s="98"/>
      <c r="AT304" s="98"/>
      <c r="AU304" s="98"/>
      <c r="AV304" s="98"/>
      <c r="AW304" s="65"/>
      <c r="AX304" s="99"/>
      <c r="AY304" s="99"/>
      <c r="AZ304" s="104" t="str">
        <f>IF('BMP P Tracking Table'!$AL304="Yes",IF('BMP P Tracking Table'!$AM304="No",'BMP P Tracking Table'!$V304*VLOOKUP('BMP P Tracking Table'!$R304,'Loading Rates'!$B$1:$L$24,4,FALSE)+IF('BMP P Tracking Table'!$W304="By HSG",'BMP P Tracking Table'!$X304*VLOOKUP('BMP P Tracking Table'!$R304,'Loading Rates'!$B$1:$L$24,6,FALSE)+'BMP P Tracking Table'!$Y304*VLOOKUP('BMP P Tracking Table'!$R304,'Loading Rates'!$B$1:$L$24,7,FALSE)+'BMP P Tracking Table'!$Z304*VLOOKUP('BMP P Tracking Table'!$R304,'Loading Rates'!$B$1:$L$24,8,FALSE)+'BMP P Tracking Table'!$AA304*VLOOKUP('BMP P Tracking Table'!$R304,'Loading Rates'!$B$1:$L$24,9,FALSE),'BMP P Tracking Table'!$AB304*VLOOKUP('BMP P Tracking Table'!$R304,'Loading Rates'!$B$1:$L$24,10,FALSE)),'BMP P Tracking Table'!$AP304*VLOOKUP('BMP P Tracking Table'!$R304,'Loading Rates'!$B$1:$L$24,4,FALSE)+IF('BMP P Tracking Table'!$AQ304="By HSG",'BMP P Tracking Table'!$AR304*VLOOKUP('BMP P Tracking Table'!$R304,'Loading Rates'!$B$1:$L$24,6,FALSE)+'BMP P Tracking Table'!$AS304*VLOOKUP('BMP P Tracking Table'!$R304,'Loading Rates'!$B$1:$L$24,7,FALSE)+'BMP P Tracking Table'!$AT304*VLOOKUP('BMP P Tracking Table'!$R304,'Loading Rates'!$B$1:$L$24,8,FALSE)+'BMP P Tracking Table'!$AU304*VLOOKUP('BMP P Tracking Table'!$R304,'Loading Rates'!$B$1:$L$24,9,FALSE),'BMP P Tracking Table'!$AV304*VLOOKUP('BMP P Tracking Table'!$R304,'Loading Rates'!$B$1:$L$24,10,FALSE))),"")</f>
        <v/>
      </c>
      <c r="BA304" s="104" t="str">
        <f>IFERROR(IF('BMP P Tracking Table'!$AM304="Yes",MIN(2,IF('BMP P Tracking Table'!$AQ304="Total Pervious",(-(3630*'BMP P Tracking Table'!$AP304+20.691*'BMP P Tracking Table'!$AV304)+SQRT((3630*'BMP P Tracking Table'!$AP304+20.691*'BMP P Tracking Table'!$AV304)^2-(4*(996.798*'BMP P Tracking Table'!$AV304)*-'BMP P Tracking Table'!$AX304)))/(2*(996.798*'BMP P Tracking Table'!$AV304)),IF(SUM('BMP P Tracking Table'!$AR304:$AU304)=0,'BMP P Tracking Table'!$AV304/(-3630*'BMP P Tracking Table'!$AP304),(-(3630*'BMP P Tracking Table'!$AP304+20.691*'BMP P Tracking Table'!$AU304-216.711*'BMP P Tracking Table'!$AT304-83.853*'BMP P Tracking Table'!$AS304-42.834*'BMP P Tracking Table'!$AR304)+SQRT((3630*'BMP P Tracking Table'!$AP304+20.691*'BMP P Tracking Table'!$AU304-216.711*'BMP P Tracking Table'!$AT304-83.853*'BMP P Tracking Table'!$AS304-42.834*'BMP P Tracking Table'!$AR304)^2-(4*(149.919*'BMP P Tracking Table'!$AR304+236.676*'BMP P Tracking Table'!$AS304+726*'BMP P Tracking Table'!$AT304+996.798*'BMP P Tracking Table'!$AU304)*-'BMP P Tracking Table'!$AX304)))/(2*(149.919*'BMP P Tracking Table'!$AR304+236.676*'BMP P Tracking Table'!$AS304+726*'BMP P Tracking Table'!$AT304+996.798*'BMP P Tracking Table'!$AU304))))),MIN(2,IF('BMP P Tracking Table'!$AQ304="Total Pervious",(-(3630*'BMP P Tracking Table'!$V304+20.691*'BMP P Tracking Table'!$AB304)+SQRT((3630*'BMP P Tracking Table'!$V304+20.691*'BMP P Tracking Table'!$AB304)^2-(4*(996.798*'BMP P Tracking Table'!$AB304)*-'BMP P Tracking Table'!$AX304)))/(2*(996.798*'BMP P Tracking Table'!$AB304)),IF(SUM('BMP P Tracking Table'!$X304:$AA304)=0,'BMP P Tracking Table'!$AX304/(-3630*'BMP P Tracking Table'!$V304),(-(3630*'BMP P Tracking Table'!$V304+20.691*'BMP P Tracking Table'!$AA304-216.711*'BMP P Tracking Table'!$Z304-83.853*'BMP P Tracking Table'!$Y304-42.834*'BMP P Tracking Table'!$X304)+SQRT((3630*'BMP P Tracking Table'!$V304+20.691*'BMP P Tracking Table'!$AA304-216.711*'BMP P Tracking Table'!$Z304-83.853*'BMP P Tracking Table'!$Y304-42.834*'BMP P Tracking Table'!$X304)^2-(4*(149.919*'BMP P Tracking Table'!$X304+236.676*'BMP P Tracking Table'!$Y304+726*'BMP P Tracking Table'!$Z304+996.798*'BMP P Tracking Table'!$AA304)*-'BMP P Tracking Table'!$AX304)))/(2*(149.919*'BMP P Tracking Table'!$X304+236.676*'BMP P Tracking Table'!$Y304+726*'BMP P Tracking Table'!$Z304+996.798*'BMP P Tracking Table'!$AA304)))))),"")</f>
        <v/>
      </c>
      <c r="BB304" s="102" t="str">
        <f>IFERROR((VLOOKUP(CONCATENATE('BMP P Tracking Table'!$AW304," ",'BMP P Tracking Table'!$AY304),'Performance Curves'!$C$1:$L$46,_xlfn.SINGLE(MATCH('BMP P Tracking Table'!$BA304,'Performance Curves'!$D$1:$L$1,1))+2,FALSE)-VLOOKUP(CONCATENATE('BMP P Tracking Table'!$AW304," ",'BMP P Tracking Table'!$AY304),'Performance Curves'!$C$1:$L$46,_xlfn.SINGLE(MATCH('BMP P Tracking Table'!$BA304,'Performance Curves'!$D$1:$L$1,1))+1,FALSE)),"")</f>
        <v/>
      </c>
      <c r="BC304" s="102" t="str">
        <f>IFERROR(('BMP P Tracking Table'!$BA304-INDEX('Performance Curves'!$D$1:$L$1,1,MATCH('BMP P Tracking Table'!$BA304,'Performance Curves'!$D$1:$L$1,1)))/(INDEX('Performance Curves'!$D$1:$L$1,1,MATCH('BMP P Tracking Table'!$BA304,'Performance Curves'!$D$1:$L$1,1)+1)-INDEX('Performance Curves'!$D$1:$L$1,1,MATCH('BMP P Tracking Table'!$BA304,'Performance Curves'!$D$1:$L$1,1))),"")</f>
        <v/>
      </c>
      <c r="BD304" s="103" t="str" cm="1">
        <f t="array" ref="BD304">IFERROR(IF('BMP P Tracking Table'!$BA304=2,VLOOKUP(CONCATENATE('BMP P Tracking Table'!$AW304," ",'BMP P Tracking Table'!$AY304),'Performance Curves'!$C$1:$L$44,_xlfn.SINGLE(MATCH('BMP P Tracking Table'!$BA304,'Performance Curves'!$D$1:$L$1,1))+1,FALSE),'BMP P Tracking Table'!$BB304*'BMP P Tracking Table'!$BC304+VLOOKUP(CONCATENATE('BMP P Tracking Table'!$AW304," ",'BMP P Tracking Table'!$AY304),'Performance Curves'!$C$1:$L$44,_xlfn.SINGLE(MATCH('BMP P Tracking Table'!$BA304,'Performance Curves'!$D$1:$L$1,1))+1,FALSE)),"")</f>
        <v/>
      </c>
      <c r="BE304" s="104" t="str">
        <f>IFERROR('BMP P Tracking Table'!$BD304*'BMP P Tracking Table'!$AZ304,"")</f>
        <v/>
      </c>
      <c r="BF304" s="98"/>
      <c r="BG304" s="37">
        <f t="shared" si="38"/>
        <v>0</v>
      </c>
    </row>
    <row r="305" spans="2:59" s="36" customFormat="1">
      <c r="B305" s="65"/>
      <c r="C305" s="65"/>
      <c r="D305" s="65"/>
      <c r="E305" s="65"/>
      <c r="F305" s="94"/>
      <c r="G305" s="94"/>
      <c r="H305" s="65"/>
      <c r="I305" s="65"/>
      <c r="J305" s="65"/>
      <c r="K305" s="95"/>
      <c r="L305" s="65"/>
      <c r="M305" s="65"/>
      <c r="N305" s="65"/>
      <c r="O305" s="65"/>
      <c r="P305" s="65"/>
      <c r="Q305" s="65"/>
      <c r="R305" s="65" t="str">
        <f>IFERROR(VLOOKUP('BMP P Tracking Table'!$Q305,Dropdowns!$C$2:$E$15,3,FALSE),"")</f>
        <v/>
      </c>
      <c r="S305" s="65" t="str">
        <f>IFERROR(VLOOKUP('BMP P Tracking Table'!$R305,Dropdowns!$Q$3:$R$23,2,FALSE),"")</f>
        <v/>
      </c>
      <c r="T305" s="65"/>
      <c r="U305" s="65"/>
      <c r="V305" s="65"/>
      <c r="W305" s="65"/>
      <c r="X305" s="65"/>
      <c r="Y305" s="65"/>
      <c r="Z305" s="65"/>
      <c r="AA305" s="65"/>
      <c r="AB305" s="65"/>
      <c r="AC305" s="97"/>
      <c r="AD305" s="65"/>
      <c r="AE305" s="104" t="str">
        <f>IFERROR('BMP P Tracking Table'!$V305*VLOOKUP('BMP P Tracking Table'!$R305,'Loading Rates'!$B$1:$L$24,4,FALSE)+IF('BMP P Tracking Table'!$W305="By HSG",'BMP P Tracking Table'!$X305*VLOOKUP('BMP P Tracking Table'!$R305,'Loading Rates'!$B$1:$L$24,6,FALSE)+'BMP P Tracking Table'!$Y305*VLOOKUP('BMP P Tracking Table'!$R305,'Loading Rates'!$B$1:$L$24,7,FALSE)+'BMP P Tracking Table'!$Z305*VLOOKUP('BMP P Tracking Table'!$R305,'Loading Rates'!$B$1:$L$24,8,FALSE)+'BMP P Tracking Table'!$AA305*VLOOKUP('BMP P Tracking Table'!$R305,'Loading Rates'!$B$1:$L$24,9,FALSE),'BMP P Tracking Table'!$AB305*VLOOKUP('BMP P Tracking Table'!$R305,'Loading Rates'!$B$1:$L$24,10,FALSE)),"")</f>
        <v/>
      </c>
      <c r="AF305" s="104" t="str">
        <f>IFERROR(MIN(2,IF('BMP P Tracking Table'!$W305="Total Pervious",(-(3630*'BMP P Tracking Table'!$V305+20.691*'BMP P Tracking Table'!$AB305)+SQRT((3630*'BMP P Tracking Table'!$V305+20.691*'BMP P Tracking Table'!$AB305)^2-(4*(996.798*'BMP P Tracking Table'!$AB305)*-'BMP P Tracking Table'!$AC305)))/(2*(996.798*'BMP P Tracking Table'!$AB305)),IF(SUM('BMP P Tracking Table'!$X305:$AA305)=0,'BMP P Tracking Table'!$AC305/(-3630*'BMP P Tracking Table'!$V305),(-(3630*'BMP P Tracking Table'!$V305+20.691*'BMP P Tracking Table'!$AA305-216.711*'BMP P Tracking Table'!$Z305-83.853*'BMP P Tracking Table'!$Y305-42.834*'BMP P Tracking Table'!$X305)+SQRT((3630*'BMP P Tracking Table'!$V305+20.691*'BMP P Tracking Table'!$AA305-216.711*'BMP P Tracking Table'!$Z305-83.853*'BMP P Tracking Table'!$Y305-42.834*'BMP P Tracking Table'!$X305)^2-(4*(149.919*'BMP P Tracking Table'!$X305+236.676*'BMP P Tracking Table'!$Y305+726*'BMP P Tracking Table'!$Z305+996.798*'BMP P Tracking Table'!$AA305)*-'BMP P Tracking Table'!$AC305)))/(2*(149.919*'BMP P Tracking Table'!$X305+236.676*'BMP P Tracking Table'!$Y305+726*'BMP P Tracking Table'!$Z305+996.798*'BMP P Tracking Table'!$AA305))))),"")</f>
        <v/>
      </c>
      <c r="AG305" s="104" t="str">
        <f>IFERROR((VLOOKUP(CONCATENATE('BMP P Tracking Table'!$U305," ",'BMP P Tracking Table'!$AD305),'Performance Curves'!$C$1:$L$46,_xlfn.SINGLE(MATCH('BMP P Tracking Table'!$AF305,'Performance Curves'!$D$1:$L$1,1))+2,FALSE)-VLOOKUP(CONCATENATE('BMP P Tracking Table'!$U305," ",'BMP P Tracking Table'!$AD305),'Performance Curves'!$C$1:$L$46,_xlfn.SINGLE(MATCH('BMP P Tracking Table'!$AF305,'Performance Curves'!$D$1:$L$1,1))+1,FALSE)),"")</f>
        <v/>
      </c>
      <c r="AH305" s="104" t="str">
        <f>IFERROR(('BMP P Tracking Table'!$AF305-INDEX('Performance Curves'!$D$1:$L$1,1,MATCH('BMP P Tracking Table'!$AF305,'Performance Curves'!$D$1:$L$1,1)))/(INDEX('Performance Curves'!$D$1:$L$1,1,MATCH('BMP P Tracking Table'!$AF305,'Performance Curves'!$D$1:$L$1,1)+1)-INDEX('Performance Curves'!$D$1:$L$1,1,MATCH('BMP P Tracking Table'!$AF305,'Performance Curves'!$D$1:$L$1,1))),"")</f>
        <v/>
      </c>
      <c r="AI305" s="103" t="str">
        <f>IFERROR(IF('BMP P Tracking Table'!$AF305=2,VLOOKUP(CONCATENATE('BMP P Tracking Table'!$U305," ",'BMP P Tracking Table'!$AD305),'Performance Curves'!$C$1:$L$46,_xlfn.SINGLE(MATCH('BMP P Tracking Table'!$AF305,'Performance Curves'!$D$1:$L$1,1))+1,FALSE),'BMP P Tracking Table'!$AG305*'BMP P Tracking Table'!$AH305+VLOOKUP(CONCATENATE('BMP P Tracking Table'!$U305," ",'BMP P Tracking Table'!$AD305),'Performance Curves'!$C$1:$L$46,_xlfn.SINGLE(MATCH('BMP P Tracking Table'!$AF305,'Performance Curves'!$D$1:$L$1,1))+1,FALSE)),"")</f>
        <v/>
      </c>
      <c r="AJ305" s="104" t="str">
        <f>IFERROR('BMP P Tracking Table'!$AI305*'BMP P Tracking Table'!$AE305,"")</f>
        <v/>
      </c>
      <c r="AK305" s="65"/>
      <c r="AL305" s="98"/>
      <c r="AM305" s="98"/>
      <c r="AN305" s="64">
        <v>1</v>
      </c>
      <c r="AO305" s="102" t="str">
        <f t="shared" si="37"/>
        <v/>
      </c>
      <c r="AP305" s="98"/>
      <c r="AQ305" s="98"/>
      <c r="AR305" s="98"/>
      <c r="AS305" s="98"/>
      <c r="AT305" s="98"/>
      <c r="AU305" s="98"/>
      <c r="AV305" s="98"/>
      <c r="AW305" s="65"/>
      <c r="AX305" s="99"/>
      <c r="AY305" s="99"/>
      <c r="AZ305" s="104" t="str">
        <f>IF('BMP P Tracking Table'!$AL305="Yes",IF('BMP P Tracking Table'!$AM305="No",'BMP P Tracking Table'!$V305*VLOOKUP('BMP P Tracking Table'!$R305,'Loading Rates'!$B$1:$L$24,4,FALSE)+IF('BMP P Tracking Table'!$W305="By HSG",'BMP P Tracking Table'!$X305*VLOOKUP('BMP P Tracking Table'!$R305,'Loading Rates'!$B$1:$L$24,6,FALSE)+'BMP P Tracking Table'!$Y305*VLOOKUP('BMP P Tracking Table'!$R305,'Loading Rates'!$B$1:$L$24,7,FALSE)+'BMP P Tracking Table'!$Z305*VLOOKUP('BMP P Tracking Table'!$R305,'Loading Rates'!$B$1:$L$24,8,FALSE)+'BMP P Tracking Table'!$AA305*VLOOKUP('BMP P Tracking Table'!$R305,'Loading Rates'!$B$1:$L$24,9,FALSE),'BMP P Tracking Table'!$AB305*VLOOKUP('BMP P Tracking Table'!$R305,'Loading Rates'!$B$1:$L$24,10,FALSE)),'BMP P Tracking Table'!$AP305*VLOOKUP('BMP P Tracking Table'!$R305,'Loading Rates'!$B$1:$L$24,4,FALSE)+IF('BMP P Tracking Table'!$AQ305="By HSG",'BMP P Tracking Table'!$AR305*VLOOKUP('BMP P Tracking Table'!$R305,'Loading Rates'!$B$1:$L$24,6,FALSE)+'BMP P Tracking Table'!$AS305*VLOOKUP('BMP P Tracking Table'!$R305,'Loading Rates'!$B$1:$L$24,7,FALSE)+'BMP P Tracking Table'!$AT305*VLOOKUP('BMP P Tracking Table'!$R305,'Loading Rates'!$B$1:$L$24,8,FALSE)+'BMP P Tracking Table'!$AU305*VLOOKUP('BMP P Tracking Table'!$R305,'Loading Rates'!$B$1:$L$24,9,FALSE),'BMP P Tracking Table'!$AV305*VLOOKUP('BMP P Tracking Table'!$R305,'Loading Rates'!$B$1:$L$24,10,FALSE))),"")</f>
        <v/>
      </c>
      <c r="BA305" s="104" t="str">
        <f>IFERROR(IF('BMP P Tracking Table'!$AM305="Yes",MIN(2,IF('BMP P Tracking Table'!$AQ305="Total Pervious",(-(3630*'BMP P Tracking Table'!$AP305+20.691*'BMP P Tracking Table'!$AV305)+SQRT((3630*'BMP P Tracking Table'!$AP305+20.691*'BMP P Tracking Table'!$AV305)^2-(4*(996.798*'BMP P Tracking Table'!$AV305)*-'BMP P Tracking Table'!$AX305)))/(2*(996.798*'BMP P Tracking Table'!$AV305)),IF(SUM('BMP P Tracking Table'!$AR305:$AU305)=0,'BMP P Tracking Table'!$AV305/(-3630*'BMP P Tracking Table'!$AP305),(-(3630*'BMP P Tracking Table'!$AP305+20.691*'BMP P Tracking Table'!$AU305-216.711*'BMP P Tracking Table'!$AT305-83.853*'BMP P Tracking Table'!$AS305-42.834*'BMP P Tracking Table'!$AR305)+SQRT((3630*'BMP P Tracking Table'!$AP305+20.691*'BMP P Tracking Table'!$AU305-216.711*'BMP P Tracking Table'!$AT305-83.853*'BMP P Tracking Table'!$AS305-42.834*'BMP P Tracking Table'!$AR305)^2-(4*(149.919*'BMP P Tracking Table'!$AR305+236.676*'BMP P Tracking Table'!$AS305+726*'BMP P Tracking Table'!$AT305+996.798*'BMP P Tracking Table'!$AU305)*-'BMP P Tracking Table'!$AX305)))/(2*(149.919*'BMP P Tracking Table'!$AR305+236.676*'BMP P Tracking Table'!$AS305+726*'BMP P Tracking Table'!$AT305+996.798*'BMP P Tracking Table'!$AU305))))),MIN(2,IF('BMP P Tracking Table'!$AQ305="Total Pervious",(-(3630*'BMP P Tracking Table'!$V305+20.691*'BMP P Tracking Table'!$AB305)+SQRT((3630*'BMP P Tracking Table'!$V305+20.691*'BMP P Tracking Table'!$AB305)^2-(4*(996.798*'BMP P Tracking Table'!$AB305)*-'BMP P Tracking Table'!$AX305)))/(2*(996.798*'BMP P Tracking Table'!$AB305)),IF(SUM('BMP P Tracking Table'!$X305:$AA305)=0,'BMP P Tracking Table'!$AX305/(-3630*'BMP P Tracking Table'!$V305),(-(3630*'BMP P Tracking Table'!$V305+20.691*'BMP P Tracking Table'!$AA305-216.711*'BMP P Tracking Table'!$Z305-83.853*'BMP P Tracking Table'!$Y305-42.834*'BMP P Tracking Table'!$X305)+SQRT((3630*'BMP P Tracking Table'!$V305+20.691*'BMP P Tracking Table'!$AA305-216.711*'BMP P Tracking Table'!$Z305-83.853*'BMP P Tracking Table'!$Y305-42.834*'BMP P Tracking Table'!$X305)^2-(4*(149.919*'BMP P Tracking Table'!$X305+236.676*'BMP P Tracking Table'!$Y305+726*'BMP P Tracking Table'!$Z305+996.798*'BMP P Tracking Table'!$AA305)*-'BMP P Tracking Table'!$AX305)))/(2*(149.919*'BMP P Tracking Table'!$X305+236.676*'BMP P Tracking Table'!$Y305+726*'BMP P Tracking Table'!$Z305+996.798*'BMP P Tracking Table'!$AA305)))))),"")</f>
        <v/>
      </c>
      <c r="BB305" s="102" t="str">
        <f>IFERROR((VLOOKUP(CONCATENATE('BMP P Tracking Table'!$AW305," ",'BMP P Tracking Table'!$AY305),'Performance Curves'!$C$1:$L$46,_xlfn.SINGLE(MATCH('BMP P Tracking Table'!$BA305,'Performance Curves'!$D$1:$L$1,1))+2,FALSE)-VLOOKUP(CONCATENATE('BMP P Tracking Table'!$AW305," ",'BMP P Tracking Table'!$AY305),'Performance Curves'!$C$1:$L$46,_xlfn.SINGLE(MATCH('BMP P Tracking Table'!$BA305,'Performance Curves'!$D$1:$L$1,1))+1,FALSE)),"")</f>
        <v/>
      </c>
      <c r="BC305" s="102" t="str">
        <f>IFERROR(('BMP P Tracking Table'!$BA305-INDEX('Performance Curves'!$D$1:$L$1,1,MATCH('BMP P Tracking Table'!$BA305,'Performance Curves'!$D$1:$L$1,1)))/(INDEX('Performance Curves'!$D$1:$L$1,1,MATCH('BMP P Tracking Table'!$BA305,'Performance Curves'!$D$1:$L$1,1)+1)-INDEX('Performance Curves'!$D$1:$L$1,1,MATCH('BMP P Tracking Table'!$BA305,'Performance Curves'!$D$1:$L$1,1))),"")</f>
        <v/>
      </c>
      <c r="BD305" s="103" t="str" cm="1">
        <f t="array" ref="BD305">IFERROR(IF('BMP P Tracking Table'!$BA305=2,VLOOKUP(CONCATENATE('BMP P Tracking Table'!$AW305," ",'BMP P Tracking Table'!$AY305),'Performance Curves'!$C$1:$L$44,_xlfn.SINGLE(MATCH('BMP P Tracking Table'!$BA305,'Performance Curves'!$D$1:$L$1,1))+1,FALSE),'BMP P Tracking Table'!$BB305*'BMP P Tracking Table'!$BC305+VLOOKUP(CONCATENATE('BMP P Tracking Table'!$AW305," ",'BMP P Tracking Table'!$AY305),'Performance Curves'!$C$1:$L$44,_xlfn.SINGLE(MATCH('BMP P Tracking Table'!$BA305,'Performance Curves'!$D$1:$L$1,1))+1,FALSE)),"")</f>
        <v/>
      </c>
      <c r="BE305" s="104" t="str">
        <f>IFERROR('BMP P Tracking Table'!$BD305*'BMP P Tracking Table'!$AZ305,"")</f>
        <v/>
      </c>
      <c r="BF305" s="98"/>
      <c r="BG305" s="37">
        <f t="shared" si="38"/>
        <v>0</v>
      </c>
    </row>
    <row r="306" spans="2:59" s="36" customFormat="1">
      <c r="B306" s="65"/>
      <c r="C306" s="65"/>
      <c r="D306" s="65"/>
      <c r="E306" s="65"/>
      <c r="F306" s="94"/>
      <c r="G306" s="94"/>
      <c r="H306" s="65"/>
      <c r="I306" s="65"/>
      <c r="J306" s="65"/>
      <c r="K306" s="95"/>
      <c r="L306" s="65"/>
      <c r="M306" s="65"/>
      <c r="N306" s="65"/>
      <c r="O306" s="65"/>
      <c r="P306" s="65"/>
      <c r="Q306" s="65"/>
      <c r="R306" s="65" t="str">
        <f>IFERROR(VLOOKUP('BMP P Tracking Table'!$Q306,Dropdowns!$C$2:$E$15,3,FALSE),"")</f>
        <v/>
      </c>
      <c r="S306" s="65" t="str">
        <f>IFERROR(VLOOKUP('BMP P Tracking Table'!$R306,Dropdowns!$Q$3:$R$23,2,FALSE),"")</f>
        <v/>
      </c>
      <c r="T306" s="65"/>
      <c r="U306" s="65"/>
      <c r="V306" s="65"/>
      <c r="W306" s="65"/>
      <c r="X306" s="65"/>
      <c r="Y306" s="65"/>
      <c r="Z306" s="65"/>
      <c r="AA306" s="65"/>
      <c r="AB306" s="65"/>
      <c r="AC306" s="97"/>
      <c r="AD306" s="65"/>
      <c r="AE306" s="104" t="str">
        <f>IFERROR('BMP P Tracking Table'!$V306*VLOOKUP('BMP P Tracking Table'!$R306,'Loading Rates'!$B$1:$L$24,4,FALSE)+IF('BMP P Tracking Table'!$W306="By HSG",'BMP P Tracking Table'!$X306*VLOOKUP('BMP P Tracking Table'!$R306,'Loading Rates'!$B$1:$L$24,6,FALSE)+'BMP P Tracking Table'!$Y306*VLOOKUP('BMP P Tracking Table'!$R306,'Loading Rates'!$B$1:$L$24,7,FALSE)+'BMP P Tracking Table'!$Z306*VLOOKUP('BMP P Tracking Table'!$R306,'Loading Rates'!$B$1:$L$24,8,FALSE)+'BMP P Tracking Table'!$AA306*VLOOKUP('BMP P Tracking Table'!$R306,'Loading Rates'!$B$1:$L$24,9,FALSE),'BMP P Tracking Table'!$AB306*VLOOKUP('BMP P Tracking Table'!$R306,'Loading Rates'!$B$1:$L$24,10,FALSE)),"")</f>
        <v/>
      </c>
      <c r="AF306" s="104" t="str">
        <f>IFERROR(MIN(2,IF('BMP P Tracking Table'!$W306="Total Pervious",(-(3630*'BMP P Tracking Table'!$V306+20.691*'BMP P Tracking Table'!$AB306)+SQRT((3630*'BMP P Tracking Table'!$V306+20.691*'BMP P Tracking Table'!$AB306)^2-(4*(996.798*'BMP P Tracking Table'!$AB306)*-'BMP P Tracking Table'!$AC306)))/(2*(996.798*'BMP P Tracking Table'!$AB306)),IF(SUM('BMP P Tracking Table'!$X306:$AA306)=0,'BMP P Tracking Table'!$AC306/(-3630*'BMP P Tracking Table'!$V306),(-(3630*'BMP P Tracking Table'!$V306+20.691*'BMP P Tracking Table'!$AA306-216.711*'BMP P Tracking Table'!$Z306-83.853*'BMP P Tracking Table'!$Y306-42.834*'BMP P Tracking Table'!$X306)+SQRT((3630*'BMP P Tracking Table'!$V306+20.691*'BMP P Tracking Table'!$AA306-216.711*'BMP P Tracking Table'!$Z306-83.853*'BMP P Tracking Table'!$Y306-42.834*'BMP P Tracking Table'!$X306)^2-(4*(149.919*'BMP P Tracking Table'!$X306+236.676*'BMP P Tracking Table'!$Y306+726*'BMP P Tracking Table'!$Z306+996.798*'BMP P Tracking Table'!$AA306)*-'BMP P Tracking Table'!$AC306)))/(2*(149.919*'BMP P Tracking Table'!$X306+236.676*'BMP P Tracking Table'!$Y306+726*'BMP P Tracking Table'!$Z306+996.798*'BMP P Tracking Table'!$AA306))))),"")</f>
        <v/>
      </c>
      <c r="AG306" s="104" t="str">
        <f>IFERROR((VLOOKUP(CONCATENATE('BMP P Tracking Table'!$U306," ",'BMP P Tracking Table'!$AD306),'Performance Curves'!$C$1:$L$46,_xlfn.SINGLE(MATCH('BMP P Tracking Table'!$AF306,'Performance Curves'!$D$1:$L$1,1))+2,FALSE)-VLOOKUP(CONCATENATE('BMP P Tracking Table'!$U306," ",'BMP P Tracking Table'!$AD306),'Performance Curves'!$C$1:$L$46,_xlfn.SINGLE(MATCH('BMP P Tracking Table'!$AF306,'Performance Curves'!$D$1:$L$1,1))+1,FALSE)),"")</f>
        <v/>
      </c>
      <c r="AH306" s="104" t="str">
        <f>IFERROR(('BMP P Tracking Table'!$AF306-INDEX('Performance Curves'!$D$1:$L$1,1,MATCH('BMP P Tracking Table'!$AF306,'Performance Curves'!$D$1:$L$1,1)))/(INDEX('Performance Curves'!$D$1:$L$1,1,MATCH('BMP P Tracking Table'!$AF306,'Performance Curves'!$D$1:$L$1,1)+1)-INDEX('Performance Curves'!$D$1:$L$1,1,MATCH('BMP P Tracking Table'!$AF306,'Performance Curves'!$D$1:$L$1,1))),"")</f>
        <v/>
      </c>
      <c r="AI306" s="103" t="str">
        <f>IFERROR(IF('BMP P Tracking Table'!$AF306=2,VLOOKUP(CONCATENATE('BMP P Tracking Table'!$U306," ",'BMP P Tracking Table'!$AD306),'Performance Curves'!$C$1:$L$46,_xlfn.SINGLE(MATCH('BMP P Tracking Table'!$AF306,'Performance Curves'!$D$1:$L$1,1))+1,FALSE),'BMP P Tracking Table'!$AG306*'BMP P Tracking Table'!$AH306+VLOOKUP(CONCATENATE('BMP P Tracking Table'!$U306," ",'BMP P Tracking Table'!$AD306),'Performance Curves'!$C$1:$L$46,_xlfn.SINGLE(MATCH('BMP P Tracking Table'!$AF306,'Performance Curves'!$D$1:$L$1,1))+1,FALSE)),"")</f>
        <v/>
      </c>
      <c r="AJ306" s="104" t="str">
        <f>IFERROR('BMP P Tracking Table'!$AI306*'BMP P Tracking Table'!$AE306,"")</f>
        <v/>
      </c>
      <c r="AK306" s="65"/>
      <c r="AL306" s="98"/>
      <c r="AM306" s="98"/>
      <c r="AN306" s="64">
        <v>1</v>
      </c>
      <c r="AO306" s="102" t="str">
        <f t="shared" si="37"/>
        <v/>
      </c>
      <c r="AP306" s="98"/>
      <c r="AQ306" s="98"/>
      <c r="AR306" s="98"/>
      <c r="AS306" s="98"/>
      <c r="AT306" s="98"/>
      <c r="AU306" s="98"/>
      <c r="AV306" s="98"/>
      <c r="AW306" s="65"/>
      <c r="AX306" s="99"/>
      <c r="AY306" s="99"/>
      <c r="AZ306" s="104" t="str">
        <f>IF('BMP P Tracking Table'!$AL306="Yes",IF('BMP P Tracking Table'!$AM306="No",'BMP P Tracking Table'!$V306*VLOOKUP('BMP P Tracking Table'!$R306,'Loading Rates'!$B$1:$L$24,4,FALSE)+IF('BMP P Tracking Table'!$W306="By HSG",'BMP P Tracking Table'!$X306*VLOOKUP('BMP P Tracking Table'!$R306,'Loading Rates'!$B$1:$L$24,6,FALSE)+'BMP P Tracking Table'!$Y306*VLOOKUP('BMP P Tracking Table'!$R306,'Loading Rates'!$B$1:$L$24,7,FALSE)+'BMP P Tracking Table'!$Z306*VLOOKUP('BMP P Tracking Table'!$R306,'Loading Rates'!$B$1:$L$24,8,FALSE)+'BMP P Tracking Table'!$AA306*VLOOKUP('BMP P Tracking Table'!$R306,'Loading Rates'!$B$1:$L$24,9,FALSE),'BMP P Tracking Table'!$AB306*VLOOKUP('BMP P Tracking Table'!$R306,'Loading Rates'!$B$1:$L$24,10,FALSE)),'BMP P Tracking Table'!$AP306*VLOOKUP('BMP P Tracking Table'!$R306,'Loading Rates'!$B$1:$L$24,4,FALSE)+IF('BMP P Tracking Table'!$AQ306="By HSG",'BMP P Tracking Table'!$AR306*VLOOKUP('BMP P Tracking Table'!$R306,'Loading Rates'!$B$1:$L$24,6,FALSE)+'BMP P Tracking Table'!$AS306*VLOOKUP('BMP P Tracking Table'!$R306,'Loading Rates'!$B$1:$L$24,7,FALSE)+'BMP P Tracking Table'!$AT306*VLOOKUP('BMP P Tracking Table'!$R306,'Loading Rates'!$B$1:$L$24,8,FALSE)+'BMP P Tracking Table'!$AU306*VLOOKUP('BMP P Tracking Table'!$R306,'Loading Rates'!$B$1:$L$24,9,FALSE),'BMP P Tracking Table'!$AV306*VLOOKUP('BMP P Tracking Table'!$R306,'Loading Rates'!$B$1:$L$24,10,FALSE))),"")</f>
        <v/>
      </c>
      <c r="BA306" s="104" t="str">
        <f>IFERROR(IF('BMP P Tracking Table'!$AM306="Yes",MIN(2,IF('BMP P Tracking Table'!$AQ306="Total Pervious",(-(3630*'BMP P Tracking Table'!$AP306+20.691*'BMP P Tracking Table'!$AV306)+SQRT((3630*'BMP P Tracking Table'!$AP306+20.691*'BMP P Tracking Table'!$AV306)^2-(4*(996.798*'BMP P Tracking Table'!$AV306)*-'BMP P Tracking Table'!$AX306)))/(2*(996.798*'BMP P Tracking Table'!$AV306)),IF(SUM('BMP P Tracking Table'!$AR306:$AU306)=0,'BMP P Tracking Table'!$AV306/(-3630*'BMP P Tracking Table'!$AP306),(-(3630*'BMP P Tracking Table'!$AP306+20.691*'BMP P Tracking Table'!$AU306-216.711*'BMP P Tracking Table'!$AT306-83.853*'BMP P Tracking Table'!$AS306-42.834*'BMP P Tracking Table'!$AR306)+SQRT((3630*'BMP P Tracking Table'!$AP306+20.691*'BMP P Tracking Table'!$AU306-216.711*'BMP P Tracking Table'!$AT306-83.853*'BMP P Tracking Table'!$AS306-42.834*'BMP P Tracking Table'!$AR306)^2-(4*(149.919*'BMP P Tracking Table'!$AR306+236.676*'BMP P Tracking Table'!$AS306+726*'BMP P Tracking Table'!$AT306+996.798*'BMP P Tracking Table'!$AU306)*-'BMP P Tracking Table'!$AX306)))/(2*(149.919*'BMP P Tracking Table'!$AR306+236.676*'BMP P Tracking Table'!$AS306+726*'BMP P Tracking Table'!$AT306+996.798*'BMP P Tracking Table'!$AU306))))),MIN(2,IF('BMP P Tracking Table'!$AQ306="Total Pervious",(-(3630*'BMP P Tracking Table'!$V306+20.691*'BMP P Tracking Table'!$AB306)+SQRT((3630*'BMP P Tracking Table'!$V306+20.691*'BMP P Tracking Table'!$AB306)^2-(4*(996.798*'BMP P Tracking Table'!$AB306)*-'BMP P Tracking Table'!$AX306)))/(2*(996.798*'BMP P Tracking Table'!$AB306)),IF(SUM('BMP P Tracking Table'!$X306:$AA306)=0,'BMP P Tracking Table'!$AX306/(-3630*'BMP P Tracking Table'!$V306),(-(3630*'BMP P Tracking Table'!$V306+20.691*'BMP P Tracking Table'!$AA306-216.711*'BMP P Tracking Table'!$Z306-83.853*'BMP P Tracking Table'!$Y306-42.834*'BMP P Tracking Table'!$X306)+SQRT((3630*'BMP P Tracking Table'!$V306+20.691*'BMP P Tracking Table'!$AA306-216.711*'BMP P Tracking Table'!$Z306-83.853*'BMP P Tracking Table'!$Y306-42.834*'BMP P Tracking Table'!$X306)^2-(4*(149.919*'BMP P Tracking Table'!$X306+236.676*'BMP P Tracking Table'!$Y306+726*'BMP P Tracking Table'!$Z306+996.798*'BMP P Tracking Table'!$AA306)*-'BMP P Tracking Table'!$AX306)))/(2*(149.919*'BMP P Tracking Table'!$X306+236.676*'BMP P Tracking Table'!$Y306+726*'BMP P Tracking Table'!$Z306+996.798*'BMP P Tracking Table'!$AA306)))))),"")</f>
        <v/>
      </c>
      <c r="BB306" s="102" t="str">
        <f>IFERROR((VLOOKUP(CONCATENATE('BMP P Tracking Table'!$AW306," ",'BMP P Tracking Table'!$AY306),'Performance Curves'!$C$1:$L$46,_xlfn.SINGLE(MATCH('BMP P Tracking Table'!$BA306,'Performance Curves'!$D$1:$L$1,1))+2,FALSE)-VLOOKUP(CONCATENATE('BMP P Tracking Table'!$AW306," ",'BMP P Tracking Table'!$AY306),'Performance Curves'!$C$1:$L$46,_xlfn.SINGLE(MATCH('BMP P Tracking Table'!$BA306,'Performance Curves'!$D$1:$L$1,1))+1,FALSE)),"")</f>
        <v/>
      </c>
      <c r="BC306" s="102" t="str">
        <f>IFERROR(('BMP P Tracking Table'!$BA306-INDEX('Performance Curves'!$D$1:$L$1,1,MATCH('BMP P Tracking Table'!$BA306,'Performance Curves'!$D$1:$L$1,1)))/(INDEX('Performance Curves'!$D$1:$L$1,1,MATCH('BMP P Tracking Table'!$BA306,'Performance Curves'!$D$1:$L$1,1)+1)-INDEX('Performance Curves'!$D$1:$L$1,1,MATCH('BMP P Tracking Table'!$BA306,'Performance Curves'!$D$1:$L$1,1))),"")</f>
        <v/>
      </c>
      <c r="BD306" s="103" t="str" cm="1">
        <f t="array" ref="BD306">IFERROR(IF('BMP P Tracking Table'!$BA306=2,VLOOKUP(CONCATENATE('BMP P Tracking Table'!$AW306," ",'BMP P Tracking Table'!$AY306),'Performance Curves'!$C$1:$L$44,_xlfn.SINGLE(MATCH('BMP P Tracking Table'!$BA306,'Performance Curves'!$D$1:$L$1,1))+1,FALSE),'BMP P Tracking Table'!$BB306*'BMP P Tracking Table'!$BC306+VLOOKUP(CONCATENATE('BMP P Tracking Table'!$AW306," ",'BMP P Tracking Table'!$AY306),'Performance Curves'!$C$1:$L$44,_xlfn.SINGLE(MATCH('BMP P Tracking Table'!$BA306,'Performance Curves'!$D$1:$L$1,1))+1,FALSE)),"")</f>
        <v/>
      </c>
      <c r="BE306" s="104" t="str">
        <f>IFERROR('BMP P Tracking Table'!$BD306*'BMP P Tracking Table'!$AZ306,"")</f>
        <v/>
      </c>
      <c r="BF306" s="98"/>
      <c r="BG306" s="37">
        <f t="shared" si="38"/>
        <v>0</v>
      </c>
    </row>
    <row r="307" spans="2:59" s="36" customFormat="1">
      <c r="B307" s="65"/>
      <c r="C307" s="65"/>
      <c r="D307" s="65"/>
      <c r="E307" s="65"/>
      <c r="F307" s="94"/>
      <c r="G307" s="94"/>
      <c r="H307" s="65"/>
      <c r="I307" s="65"/>
      <c r="J307" s="65"/>
      <c r="K307" s="95"/>
      <c r="L307" s="65"/>
      <c r="M307" s="65"/>
      <c r="N307" s="65"/>
      <c r="O307" s="65"/>
      <c r="P307" s="65"/>
      <c r="Q307" s="65"/>
      <c r="R307" s="65" t="str">
        <f>IFERROR(VLOOKUP('BMP P Tracking Table'!$Q307,Dropdowns!$C$2:$E$15,3,FALSE),"")</f>
        <v/>
      </c>
      <c r="S307" s="65" t="str">
        <f>IFERROR(VLOOKUP('BMP P Tracking Table'!$R307,Dropdowns!$Q$3:$R$23,2,FALSE),"")</f>
        <v/>
      </c>
      <c r="T307" s="65"/>
      <c r="U307" s="65"/>
      <c r="V307" s="65"/>
      <c r="W307" s="65"/>
      <c r="X307" s="65"/>
      <c r="Y307" s="65"/>
      <c r="Z307" s="65"/>
      <c r="AA307" s="65"/>
      <c r="AB307" s="65"/>
      <c r="AC307" s="97"/>
      <c r="AD307" s="65"/>
      <c r="AE307" s="104" t="str">
        <f>IFERROR('BMP P Tracking Table'!$V307*VLOOKUP('BMP P Tracking Table'!$R307,'Loading Rates'!$B$1:$L$24,4,FALSE)+IF('BMP P Tracking Table'!$W307="By HSG",'BMP P Tracking Table'!$X307*VLOOKUP('BMP P Tracking Table'!$R307,'Loading Rates'!$B$1:$L$24,6,FALSE)+'BMP P Tracking Table'!$Y307*VLOOKUP('BMP P Tracking Table'!$R307,'Loading Rates'!$B$1:$L$24,7,FALSE)+'BMP P Tracking Table'!$Z307*VLOOKUP('BMP P Tracking Table'!$R307,'Loading Rates'!$B$1:$L$24,8,FALSE)+'BMP P Tracking Table'!$AA307*VLOOKUP('BMP P Tracking Table'!$R307,'Loading Rates'!$B$1:$L$24,9,FALSE),'BMP P Tracking Table'!$AB307*VLOOKUP('BMP P Tracking Table'!$R307,'Loading Rates'!$B$1:$L$24,10,FALSE)),"")</f>
        <v/>
      </c>
      <c r="AF307" s="104" t="str">
        <f>IFERROR(MIN(2,IF('BMP P Tracking Table'!$W307="Total Pervious",(-(3630*'BMP P Tracking Table'!$V307+20.691*'BMP P Tracking Table'!$AB307)+SQRT((3630*'BMP P Tracking Table'!$V307+20.691*'BMP P Tracking Table'!$AB307)^2-(4*(996.798*'BMP P Tracking Table'!$AB307)*-'BMP P Tracking Table'!$AC307)))/(2*(996.798*'BMP P Tracking Table'!$AB307)),IF(SUM('BMP P Tracking Table'!$X307:$AA307)=0,'BMP P Tracking Table'!$AC307/(-3630*'BMP P Tracking Table'!$V307),(-(3630*'BMP P Tracking Table'!$V307+20.691*'BMP P Tracking Table'!$AA307-216.711*'BMP P Tracking Table'!$Z307-83.853*'BMP P Tracking Table'!$Y307-42.834*'BMP P Tracking Table'!$X307)+SQRT((3630*'BMP P Tracking Table'!$V307+20.691*'BMP P Tracking Table'!$AA307-216.711*'BMP P Tracking Table'!$Z307-83.853*'BMP P Tracking Table'!$Y307-42.834*'BMP P Tracking Table'!$X307)^2-(4*(149.919*'BMP P Tracking Table'!$X307+236.676*'BMP P Tracking Table'!$Y307+726*'BMP P Tracking Table'!$Z307+996.798*'BMP P Tracking Table'!$AA307)*-'BMP P Tracking Table'!$AC307)))/(2*(149.919*'BMP P Tracking Table'!$X307+236.676*'BMP P Tracking Table'!$Y307+726*'BMP P Tracking Table'!$Z307+996.798*'BMP P Tracking Table'!$AA307))))),"")</f>
        <v/>
      </c>
      <c r="AG307" s="104" t="str">
        <f>IFERROR((VLOOKUP(CONCATENATE('BMP P Tracking Table'!$U307," ",'BMP P Tracking Table'!$AD307),'Performance Curves'!$C$1:$L$46,_xlfn.SINGLE(MATCH('BMP P Tracking Table'!$AF307,'Performance Curves'!$D$1:$L$1,1))+2,FALSE)-VLOOKUP(CONCATENATE('BMP P Tracking Table'!$U307," ",'BMP P Tracking Table'!$AD307),'Performance Curves'!$C$1:$L$46,_xlfn.SINGLE(MATCH('BMP P Tracking Table'!$AF307,'Performance Curves'!$D$1:$L$1,1))+1,FALSE)),"")</f>
        <v/>
      </c>
      <c r="AH307" s="104" t="str">
        <f>IFERROR(('BMP P Tracking Table'!$AF307-INDEX('Performance Curves'!$D$1:$L$1,1,MATCH('BMP P Tracking Table'!$AF307,'Performance Curves'!$D$1:$L$1,1)))/(INDEX('Performance Curves'!$D$1:$L$1,1,MATCH('BMP P Tracking Table'!$AF307,'Performance Curves'!$D$1:$L$1,1)+1)-INDEX('Performance Curves'!$D$1:$L$1,1,MATCH('BMP P Tracking Table'!$AF307,'Performance Curves'!$D$1:$L$1,1))),"")</f>
        <v/>
      </c>
      <c r="AI307" s="103" t="str">
        <f>IFERROR(IF('BMP P Tracking Table'!$AF307=2,VLOOKUP(CONCATENATE('BMP P Tracking Table'!$U307," ",'BMP P Tracking Table'!$AD307),'Performance Curves'!$C$1:$L$46,_xlfn.SINGLE(MATCH('BMP P Tracking Table'!$AF307,'Performance Curves'!$D$1:$L$1,1))+1,FALSE),'BMP P Tracking Table'!$AG307*'BMP P Tracking Table'!$AH307+VLOOKUP(CONCATENATE('BMP P Tracking Table'!$U307," ",'BMP P Tracking Table'!$AD307),'Performance Curves'!$C$1:$L$46,_xlfn.SINGLE(MATCH('BMP P Tracking Table'!$AF307,'Performance Curves'!$D$1:$L$1,1))+1,FALSE)),"")</f>
        <v/>
      </c>
      <c r="AJ307" s="104" t="str">
        <f>IFERROR('BMP P Tracking Table'!$AI307*'BMP P Tracking Table'!$AE307,"")</f>
        <v/>
      </c>
      <c r="AK307" s="65"/>
      <c r="AL307" s="98"/>
      <c r="AM307" s="98"/>
      <c r="AN307" s="64">
        <v>1</v>
      </c>
      <c r="AO307" s="102" t="str">
        <f t="shared" si="37"/>
        <v/>
      </c>
      <c r="AP307" s="98"/>
      <c r="AQ307" s="98"/>
      <c r="AR307" s="98"/>
      <c r="AS307" s="98"/>
      <c r="AT307" s="98"/>
      <c r="AU307" s="98"/>
      <c r="AV307" s="98"/>
      <c r="AW307" s="65"/>
      <c r="AX307" s="99"/>
      <c r="AY307" s="99"/>
      <c r="AZ307" s="104" t="str">
        <f>IF('BMP P Tracking Table'!$AL307="Yes",IF('BMP P Tracking Table'!$AM307="No",'BMP P Tracking Table'!$V307*VLOOKUP('BMP P Tracking Table'!$R307,'Loading Rates'!$B$1:$L$24,4,FALSE)+IF('BMP P Tracking Table'!$W307="By HSG",'BMP P Tracking Table'!$X307*VLOOKUP('BMP P Tracking Table'!$R307,'Loading Rates'!$B$1:$L$24,6,FALSE)+'BMP P Tracking Table'!$Y307*VLOOKUP('BMP P Tracking Table'!$R307,'Loading Rates'!$B$1:$L$24,7,FALSE)+'BMP P Tracking Table'!$Z307*VLOOKUP('BMP P Tracking Table'!$R307,'Loading Rates'!$B$1:$L$24,8,FALSE)+'BMP P Tracking Table'!$AA307*VLOOKUP('BMP P Tracking Table'!$R307,'Loading Rates'!$B$1:$L$24,9,FALSE),'BMP P Tracking Table'!$AB307*VLOOKUP('BMP P Tracking Table'!$R307,'Loading Rates'!$B$1:$L$24,10,FALSE)),'BMP P Tracking Table'!$AP307*VLOOKUP('BMP P Tracking Table'!$R307,'Loading Rates'!$B$1:$L$24,4,FALSE)+IF('BMP P Tracking Table'!$AQ307="By HSG",'BMP P Tracking Table'!$AR307*VLOOKUP('BMP P Tracking Table'!$R307,'Loading Rates'!$B$1:$L$24,6,FALSE)+'BMP P Tracking Table'!$AS307*VLOOKUP('BMP P Tracking Table'!$R307,'Loading Rates'!$B$1:$L$24,7,FALSE)+'BMP P Tracking Table'!$AT307*VLOOKUP('BMP P Tracking Table'!$R307,'Loading Rates'!$B$1:$L$24,8,FALSE)+'BMP P Tracking Table'!$AU307*VLOOKUP('BMP P Tracking Table'!$R307,'Loading Rates'!$B$1:$L$24,9,FALSE),'BMP P Tracking Table'!$AV307*VLOOKUP('BMP P Tracking Table'!$R307,'Loading Rates'!$B$1:$L$24,10,FALSE))),"")</f>
        <v/>
      </c>
      <c r="BA307" s="104" t="str">
        <f>IFERROR(IF('BMP P Tracking Table'!$AM307="Yes",MIN(2,IF('BMP P Tracking Table'!$AQ307="Total Pervious",(-(3630*'BMP P Tracking Table'!$AP307+20.691*'BMP P Tracking Table'!$AV307)+SQRT((3630*'BMP P Tracking Table'!$AP307+20.691*'BMP P Tracking Table'!$AV307)^2-(4*(996.798*'BMP P Tracking Table'!$AV307)*-'BMP P Tracking Table'!$AX307)))/(2*(996.798*'BMP P Tracking Table'!$AV307)),IF(SUM('BMP P Tracking Table'!$AR307:$AU307)=0,'BMP P Tracking Table'!$AV307/(-3630*'BMP P Tracking Table'!$AP307),(-(3630*'BMP P Tracking Table'!$AP307+20.691*'BMP P Tracking Table'!$AU307-216.711*'BMP P Tracking Table'!$AT307-83.853*'BMP P Tracking Table'!$AS307-42.834*'BMP P Tracking Table'!$AR307)+SQRT((3630*'BMP P Tracking Table'!$AP307+20.691*'BMP P Tracking Table'!$AU307-216.711*'BMP P Tracking Table'!$AT307-83.853*'BMP P Tracking Table'!$AS307-42.834*'BMP P Tracking Table'!$AR307)^2-(4*(149.919*'BMP P Tracking Table'!$AR307+236.676*'BMP P Tracking Table'!$AS307+726*'BMP P Tracking Table'!$AT307+996.798*'BMP P Tracking Table'!$AU307)*-'BMP P Tracking Table'!$AX307)))/(2*(149.919*'BMP P Tracking Table'!$AR307+236.676*'BMP P Tracking Table'!$AS307+726*'BMP P Tracking Table'!$AT307+996.798*'BMP P Tracking Table'!$AU307))))),MIN(2,IF('BMP P Tracking Table'!$AQ307="Total Pervious",(-(3630*'BMP P Tracking Table'!$V307+20.691*'BMP P Tracking Table'!$AB307)+SQRT((3630*'BMP P Tracking Table'!$V307+20.691*'BMP P Tracking Table'!$AB307)^2-(4*(996.798*'BMP P Tracking Table'!$AB307)*-'BMP P Tracking Table'!$AX307)))/(2*(996.798*'BMP P Tracking Table'!$AB307)),IF(SUM('BMP P Tracking Table'!$X307:$AA307)=0,'BMP P Tracking Table'!$AX307/(-3630*'BMP P Tracking Table'!$V307),(-(3630*'BMP P Tracking Table'!$V307+20.691*'BMP P Tracking Table'!$AA307-216.711*'BMP P Tracking Table'!$Z307-83.853*'BMP P Tracking Table'!$Y307-42.834*'BMP P Tracking Table'!$X307)+SQRT((3630*'BMP P Tracking Table'!$V307+20.691*'BMP P Tracking Table'!$AA307-216.711*'BMP P Tracking Table'!$Z307-83.853*'BMP P Tracking Table'!$Y307-42.834*'BMP P Tracking Table'!$X307)^2-(4*(149.919*'BMP P Tracking Table'!$X307+236.676*'BMP P Tracking Table'!$Y307+726*'BMP P Tracking Table'!$Z307+996.798*'BMP P Tracking Table'!$AA307)*-'BMP P Tracking Table'!$AX307)))/(2*(149.919*'BMP P Tracking Table'!$X307+236.676*'BMP P Tracking Table'!$Y307+726*'BMP P Tracking Table'!$Z307+996.798*'BMP P Tracking Table'!$AA307)))))),"")</f>
        <v/>
      </c>
      <c r="BB307" s="102" t="str">
        <f>IFERROR((VLOOKUP(CONCATENATE('BMP P Tracking Table'!$AW307," ",'BMP P Tracking Table'!$AY307),'Performance Curves'!$C$1:$L$46,_xlfn.SINGLE(MATCH('BMP P Tracking Table'!$BA307,'Performance Curves'!$D$1:$L$1,1))+2,FALSE)-VLOOKUP(CONCATENATE('BMP P Tracking Table'!$AW307," ",'BMP P Tracking Table'!$AY307),'Performance Curves'!$C$1:$L$46,_xlfn.SINGLE(MATCH('BMP P Tracking Table'!$BA307,'Performance Curves'!$D$1:$L$1,1))+1,FALSE)),"")</f>
        <v/>
      </c>
      <c r="BC307" s="102" t="str">
        <f>IFERROR(('BMP P Tracking Table'!$BA307-INDEX('Performance Curves'!$D$1:$L$1,1,MATCH('BMP P Tracking Table'!$BA307,'Performance Curves'!$D$1:$L$1,1)))/(INDEX('Performance Curves'!$D$1:$L$1,1,MATCH('BMP P Tracking Table'!$BA307,'Performance Curves'!$D$1:$L$1,1)+1)-INDEX('Performance Curves'!$D$1:$L$1,1,MATCH('BMP P Tracking Table'!$BA307,'Performance Curves'!$D$1:$L$1,1))),"")</f>
        <v/>
      </c>
      <c r="BD307" s="103" t="str" cm="1">
        <f t="array" ref="BD307">IFERROR(IF('BMP P Tracking Table'!$BA307=2,VLOOKUP(CONCATENATE('BMP P Tracking Table'!$AW307," ",'BMP P Tracking Table'!$AY307),'Performance Curves'!$C$1:$L$44,_xlfn.SINGLE(MATCH('BMP P Tracking Table'!$BA307,'Performance Curves'!$D$1:$L$1,1))+1,FALSE),'BMP P Tracking Table'!$BB307*'BMP P Tracking Table'!$BC307+VLOOKUP(CONCATENATE('BMP P Tracking Table'!$AW307," ",'BMP P Tracking Table'!$AY307),'Performance Curves'!$C$1:$L$44,_xlfn.SINGLE(MATCH('BMP P Tracking Table'!$BA307,'Performance Curves'!$D$1:$L$1,1))+1,FALSE)),"")</f>
        <v/>
      </c>
      <c r="BE307" s="104" t="str">
        <f>IFERROR('BMP P Tracking Table'!$BD307*'BMP P Tracking Table'!$AZ307,"")</f>
        <v/>
      </c>
      <c r="BF307" s="98"/>
      <c r="BG307" s="37">
        <f t="shared" si="38"/>
        <v>0</v>
      </c>
    </row>
    <row r="308" spans="2:59" s="36" customFormat="1">
      <c r="B308" s="65"/>
      <c r="C308" s="65"/>
      <c r="D308" s="65"/>
      <c r="E308" s="65"/>
      <c r="F308" s="94"/>
      <c r="G308" s="94"/>
      <c r="H308" s="65"/>
      <c r="I308" s="65"/>
      <c r="J308" s="65"/>
      <c r="K308" s="95"/>
      <c r="L308" s="65"/>
      <c r="M308" s="65"/>
      <c r="N308" s="65"/>
      <c r="O308" s="65"/>
      <c r="P308" s="65"/>
      <c r="Q308" s="65"/>
      <c r="R308" s="65" t="str">
        <f>IFERROR(VLOOKUP('BMP P Tracking Table'!$Q308,Dropdowns!$C$2:$E$15,3,FALSE),"")</f>
        <v/>
      </c>
      <c r="S308" s="65" t="str">
        <f>IFERROR(VLOOKUP('BMP P Tracking Table'!$R308,Dropdowns!$Q$3:$R$23,2,FALSE),"")</f>
        <v/>
      </c>
      <c r="T308" s="65"/>
      <c r="U308" s="65"/>
      <c r="V308" s="65"/>
      <c r="W308" s="65"/>
      <c r="X308" s="65"/>
      <c r="Y308" s="65"/>
      <c r="Z308" s="65"/>
      <c r="AA308" s="65"/>
      <c r="AB308" s="65"/>
      <c r="AC308" s="97"/>
      <c r="AD308" s="65"/>
      <c r="AE308" s="104" t="str">
        <f>IFERROR('BMP P Tracking Table'!$V308*VLOOKUP('BMP P Tracking Table'!$R308,'Loading Rates'!$B$1:$L$24,4,FALSE)+IF('BMP P Tracking Table'!$W308="By HSG",'BMP P Tracking Table'!$X308*VLOOKUP('BMP P Tracking Table'!$R308,'Loading Rates'!$B$1:$L$24,6,FALSE)+'BMP P Tracking Table'!$Y308*VLOOKUP('BMP P Tracking Table'!$R308,'Loading Rates'!$B$1:$L$24,7,FALSE)+'BMP P Tracking Table'!$Z308*VLOOKUP('BMP P Tracking Table'!$R308,'Loading Rates'!$B$1:$L$24,8,FALSE)+'BMP P Tracking Table'!$AA308*VLOOKUP('BMP P Tracking Table'!$R308,'Loading Rates'!$B$1:$L$24,9,FALSE),'BMP P Tracking Table'!$AB308*VLOOKUP('BMP P Tracking Table'!$R308,'Loading Rates'!$B$1:$L$24,10,FALSE)),"")</f>
        <v/>
      </c>
      <c r="AF308" s="104" t="str">
        <f>IFERROR(MIN(2,IF('BMP P Tracking Table'!$W308="Total Pervious",(-(3630*'BMP P Tracking Table'!$V308+20.691*'BMP P Tracking Table'!$AB308)+SQRT((3630*'BMP P Tracking Table'!$V308+20.691*'BMP P Tracking Table'!$AB308)^2-(4*(996.798*'BMP P Tracking Table'!$AB308)*-'BMP P Tracking Table'!$AC308)))/(2*(996.798*'BMP P Tracking Table'!$AB308)),IF(SUM('BMP P Tracking Table'!$X308:$AA308)=0,'BMP P Tracking Table'!$AC308/(-3630*'BMP P Tracking Table'!$V308),(-(3630*'BMP P Tracking Table'!$V308+20.691*'BMP P Tracking Table'!$AA308-216.711*'BMP P Tracking Table'!$Z308-83.853*'BMP P Tracking Table'!$Y308-42.834*'BMP P Tracking Table'!$X308)+SQRT((3630*'BMP P Tracking Table'!$V308+20.691*'BMP P Tracking Table'!$AA308-216.711*'BMP P Tracking Table'!$Z308-83.853*'BMP P Tracking Table'!$Y308-42.834*'BMP P Tracking Table'!$X308)^2-(4*(149.919*'BMP P Tracking Table'!$X308+236.676*'BMP P Tracking Table'!$Y308+726*'BMP P Tracking Table'!$Z308+996.798*'BMP P Tracking Table'!$AA308)*-'BMP P Tracking Table'!$AC308)))/(2*(149.919*'BMP P Tracking Table'!$X308+236.676*'BMP P Tracking Table'!$Y308+726*'BMP P Tracking Table'!$Z308+996.798*'BMP P Tracking Table'!$AA308))))),"")</f>
        <v/>
      </c>
      <c r="AG308" s="104" t="str">
        <f>IFERROR((VLOOKUP(CONCATENATE('BMP P Tracking Table'!$U308," ",'BMP P Tracking Table'!$AD308),'Performance Curves'!$C$1:$L$46,_xlfn.SINGLE(MATCH('BMP P Tracking Table'!$AF308,'Performance Curves'!$D$1:$L$1,1))+2,FALSE)-VLOOKUP(CONCATENATE('BMP P Tracking Table'!$U308," ",'BMP P Tracking Table'!$AD308),'Performance Curves'!$C$1:$L$46,_xlfn.SINGLE(MATCH('BMP P Tracking Table'!$AF308,'Performance Curves'!$D$1:$L$1,1))+1,FALSE)),"")</f>
        <v/>
      </c>
      <c r="AH308" s="104" t="str">
        <f>IFERROR(('BMP P Tracking Table'!$AF308-INDEX('Performance Curves'!$D$1:$L$1,1,MATCH('BMP P Tracking Table'!$AF308,'Performance Curves'!$D$1:$L$1,1)))/(INDEX('Performance Curves'!$D$1:$L$1,1,MATCH('BMP P Tracking Table'!$AF308,'Performance Curves'!$D$1:$L$1,1)+1)-INDEX('Performance Curves'!$D$1:$L$1,1,MATCH('BMP P Tracking Table'!$AF308,'Performance Curves'!$D$1:$L$1,1))),"")</f>
        <v/>
      </c>
      <c r="AI308" s="103" t="str">
        <f>IFERROR(IF('BMP P Tracking Table'!$AF308=2,VLOOKUP(CONCATENATE('BMP P Tracking Table'!$U308," ",'BMP P Tracking Table'!$AD308),'Performance Curves'!$C$1:$L$46,_xlfn.SINGLE(MATCH('BMP P Tracking Table'!$AF308,'Performance Curves'!$D$1:$L$1,1))+1,FALSE),'BMP P Tracking Table'!$AG308*'BMP P Tracking Table'!$AH308+VLOOKUP(CONCATENATE('BMP P Tracking Table'!$U308," ",'BMP P Tracking Table'!$AD308),'Performance Curves'!$C$1:$L$46,_xlfn.SINGLE(MATCH('BMP P Tracking Table'!$AF308,'Performance Curves'!$D$1:$L$1,1))+1,FALSE)),"")</f>
        <v/>
      </c>
      <c r="AJ308" s="104" t="str">
        <f>IFERROR('BMP P Tracking Table'!$AI308*'BMP P Tracking Table'!$AE308,"")</f>
        <v/>
      </c>
      <c r="AK308" s="65"/>
      <c r="AL308" s="98"/>
      <c r="AM308" s="98"/>
      <c r="AN308" s="64">
        <v>1</v>
      </c>
      <c r="AO308" s="102" t="str">
        <f t="shared" si="37"/>
        <v/>
      </c>
      <c r="AP308" s="98"/>
      <c r="AQ308" s="98"/>
      <c r="AR308" s="98"/>
      <c r="AS308" s="98"/>
      <c r="AT308" s="98"/>
      <c r="AU308" s="98"/>
      <c r="AV308" s="98"/>
      <c r="AW308" s="65"/>
      <c r="AX308" s="99"/>
      <c r="AY308" s="99"/>
      <c r="AZ308" s="104" t="str">
        <f>IF('BMP P Tracking Table'!$AL308="Yes",IF('BMP P Tracking Table'!$AM308="No",'BMP P Tracking Table'!$V308*VLOOKUP('BMP P Tracking Table'!$R308,'Loading Rates'!$B$1:$L$24,4,FALSE)+IF('BMP P Tracking Table'!$W308="By HSG",'BMP P Tracking Table'!$X308*VLOOKUP('BMP P Tracking Table'!$R308,'Loading Rates'!$B$1:$L$24,6,FALSE)+'BMP P Tracking Table'!$Y308*VLOOKUP('BMP P Tracking Table'!$R308,'Loading Rates'!$B$1:$L$24,7,FALSE)+'BMP P Tracking Table'!$Z308*VLOOKUP('BMP P Tracking Table'!$R308,'Loading Rates'!$B$1:$L$24,8,FALSE)+'BMP P Tracking Table'!$AA308*VLOOKUP('BMP P Tracking Table'!$R308,'Loading Rates'!$B$1:$L$24,9,FALSE),'BMP P Tracking Table'!$AB308*VLOOKUP('BMP P Tracking Table'!$R308,'Loading Rates'!$B$1:$L$24,10,FALSE)),'BMP P Tracking Table'!$AP308*VLOOKUP('BMP P Tracking Table'!$R308,'Loading Rates'!$B$1:$L$24,4,FALSE)+IF('BMP P Tracking Table'!$AQ308="By HSG",'BMP P Tracking Table'!$AR308*VLOOKUP('BMP P Tracking Table'!$R308,'Loading Rates'!$B$1:$L$24,6,FALSE)+'BMP P Tracking Table'!$AS308*VLOOKUP('BMP P Tracking Table'!$R308,'Loading Rates'!$B$1:$L$24,7,FALSE)+'BMP P Tracking Table'!$AT308*VLOOKUP('BMP P Tracking Table'!$R308,'Loading Rates'!$B$1:$L$24,8,FALSE)+'BMP P Tracking Table'!$AU308*VLOOKUP('BMP P Tracking Table'!$R308,'Loading Rates'!$B$1:$L$24,9,FALSE),'BMP P Tracking Table'!$AV308*VLOOKUP('BMP P Tracking Table'!$R308,'Loading Rates'!$B$1:$L$24,10,FALSE))),"")</f>
        <v/>
      </c>
      <c r="BA308" s="104" t="str">
        <f>IFERROR(IF('BMP P Tracking Table'!$AM308="Yes",MIN(2,IF('BMP P Tracking Table'!$AQ308="Total Pervious",(-(3630*'BMP P Tracking Table'!$AP308+20.691*'BMP P Tracking Table'!$AV308)+SQRT((3630*'BMP P Tracking Table'!$AP308+20.691*'BMP P Tracking Table'!$AV308)^2-(4*(996.798*'BMP P Tracking Table'!$AV308)*-'BMP P Tracking Table'!$AX308)))/(2*(996.798*'BMP P Tracking Table'!$AV308)),IF(SUM('BMP P Tracking Table'!$AR308:$AU308)=0,'BMP P Tracking Table'!$AV308/(-3630*'BMP P Tracking Table'!$AP308),(-(3630*'BMP P Tracking Table'!$AP308+20.691*'BMP P Tracking Table'!$AU308-216.711*'BMP P Tracking Table'!$AT308-83.853*'BMP P Tracking Table'!$AS308-42.834*'BMP P Tracking Table'!$AR308)+SQRT((3630*'BMP P Tracking Table'!$AP308+20.691*'BMP P Tracking Table'!$AU308-216.711*'BMP P Tracking Table'!$AT308-83.853*'BMP P Tracking Table'!$AS308-42.834*'BMP P Tracking Table'!$AR308)^2-(4*(149.919*'BMP P Tracking Table'!$AR308+236.676*'BMP P Tracking Table'!$AS308+726*'BMP P Tracking Table'!$AT308+996.798*'BMP P Tracking Table'!$AU308)*-'BMP P Tracking Table'!$AX308)))/(2*(149.919*'BMP P Tracking Table'!$AR308+236.676*'BMP P Tracking Table'!$AS308+726*'BMP P Tracking Table'!$AT308+996.798*'BMP P Tracking Table'!$AU308))))),MIN(2,IF('BMP P Tracking Table'!$AQ308="Total Pervious",(-(3630*'BMP P Tracking Table'!$V308+20.691*'BMP P Tracking Table'!$AB308)+SQRT((3630*'BMP P Tracking Table'!$V308+20.691*'BMP P Tracking Table'!$AB308)^2-(4*(996.798*'BMP P Tracking Table'!$AB308)*-'BMP P Tracking Table'!$AX308)))/(2*(996.798*'BMP P Tracking Table'!$AB308)),IF(SUM('BMP P Tracking Table'!$X308:$AA308)=0,'BMP P Tracking Table'!$AX308/(-3630*'BMP P Tracking Table'!$V308),(-(3630*'BMP P Tracking Table'!$V308+20.691*'BMP P Tracking Table'!$AA308-216.711*'BMP P Tracking Table'!$Z308-83.853*'BMP P Tracking Table'!$Y308-42.834*'BMP P Tracking Table'!$X308)+SQRT((3630*'BMP P Tracking Table'!$V308+20.691*'BMP P Tracking Table'!$AA308-216.711*'BMP P Tracking Table'!$Z308-83.853*'BMP P Tracking Table'!$Y308-42.834*'BMP P Tracking Table'!$X308)^2-(4*(149.919*'BMP P Tracking Table'!$X308+236.676*'BMP P Tracking Table'!$Y308+726*'BMP P Tracking Table'!$Z308+996.798*'BMP P Tracking Table'!$AA308)*-'BMP P Tracking Table'!$AX308)))/(2*(149.919*'BMP P Tracking Table'!$X308+236.676*'BMP P Tracking Table'!$Y308+726*'BMP P Tracking Table'!$Z308+996.798*'BMP P Tracking Table'!$AA308)))))),"")</f>
        <v/>
      </c>
      <c r="BB308" s="102" t="str">
        <f>IFERROR((VLOOKUP(CONCATENATE('BMP P Tracking Table'!$AW308," ",'BMP P Tracking Table'!$AY308),'Performance Curves'!$C$1:$L$46,_xlfn.SINGLE(MATCH('BMP P Tracking Table'!$BA308,'Performance Curves'!$D$1:$L$1,1))+2,FALSE)-VLOOKUP(CONCATENATE('BMP P Tracking Table'!$AW308," ",'BMP P Tracking Table'!$AY308),'Performance Curves'!$C$1:$L$46,_xlfn.SINGLE(MATCH('BMP P Tracking Table'!$BA308,'Performance Curves'!$D$1:$L$1,1))+1,FALSE)),"")</f>
        <v/>
      </c>
      <c r="BC308" s="102" t="str">
        <f>IFERROR(('BMP P Tracking Table'!$BA308-INDEX('Performance Curves'!$D$1:$L$1,1,MATCH('BMP P Tracking Table'!$BA308,'Performance Curves'!$D$1:$L$1,1)))/(INDEX('Performance Curves'!$D$1:$L$1,1,MATCH('BMP P Tracking Table'!$BA308,'Performance Curves'!$D$1:$L$1,1)+1)-INDEX('Performance Curves'!$D$1:$L$1,1,MATCH('BMP P Tracking Table'!$BA308,'Performance Curves'!$D$1:$L$1,1))),"")</f>
        <v/>
      </c>
      <c r="BD308" s="103" t="str" cm="1">
        <f t="array" ref="BD308">IFERROR(IF('BMP P Tracking Table'!$BA308=2,VLOOKUP(CONCATENATE('BMP P Tracking Table'!$AW308," ",'BMP P Tracking Table'!$AY308),'Performance Curves'!$C$1:$L$44,_xlfn.SINGLE(MATCH('BMP P Tracking Table'!$BA308,'Performance Curves'!$D$1:$L$1,1))+1,FALSE),'BMP P Tracking Table'!$BB308*'BMP P Tracking Table'!$BC308+VLOOKUP(CONCATENATE('BMP P Tracking Table'!$AW308," ",'BMP P Tracking Table'!$AY308),'Performance Curves'!$C$1:$L$44,_xlfn.SINGLE(MATCH('BMP P Tracking Table'!$BA308,'Performance Curves'!$D$1:$L$1,1))+1,FALSE)),"")</f>
        <v/>
      </c>
      <c r="BE308" s="104" t="str">
        <f>IFERROR('BMP P Tracking Table'!$BD308*'BMP P Tracking Table'!$AZ308,"")</f>
        <v/>
      </c>
      <c r="BF308" s="92"/>
      <c r="BG308" s="37">
        <f t="shared" si="38"/>
        <v>0</v>
      </c>
    </row>
    <row r="309" spans="2:59" s="36" customFormat="1">
      <c r="B309" s="65"/>
      <c r="C309" s="65"/>
      <c r="D309" s="65"/>
      <c r="E309" s="65"/>
      <c r="F309" s="94"/>
      <c r="G309" s="94"/>
      <c r="H309" s="65"/>
      <c r="I309" s="65"/>
      <c r="J309" s="65"/>
      <c r="K309" s="95"/>
      <c r="L309" s="65"/>
      <c r="M309" s="65"/>
      <c r="N309" s="65"/>
      <c r="O309" s="65"/>
      <c r="P309" s="65"/>
      <c r="Q309" s="65"/>
      <c r="R309" s="65" t="str">
        <f>IFERROR(VLOOKUP('BMP P Tracking Table'!$Q309,Dropdowns!$C$2:$E$15,3,FALSE),"")</f>
        <v/>
      </c>
      <c r="S309" s="65" t="str">
        <f>IFERROR(VLOOKUP('BMP P Tracking Table'!$R309,Dropdowns!$Q$3:$R$23,2,FALSE),"")</f>
        <v/>
      </c>
      <c r="T309" s="65"/>
      <c r="U309" s="65"/>
      <c r="V309" s="65"/>
      <c r="W309" s="65"/>
      <c r="X309" s="65"/>
      <c r="Y309" s="65"/>
      <c r="Z309" s="65"/>
      <c r="AA309" s="65"/>
      <c r="AB309" s="65"/>
      <c r="AC309" s="97"/>
      <c r="AD309" s="65"/>
      <c r="AE309" s="104" t="str">
        <f>IFERROR('BMP P Tracking Table'!$V309*VLOOKUP('BMP P Tracking Table'!$R309,'Loading Rates'!$B$1:$L$24,4,FALSE)+IF('BMP P Tracking Table'!$W309="By HSG",'BMP P Tracking Table'!$X309*VLOOKUP('BMP P Tracking Table'!$R309,'Loading Rates'!$B$1:$L$24,6,FALSE)+'BMP P Tracking Table'!$Y309*VLOOKUP('BMP P Tracking Table'!$R309,'Loading Rates'!$B$1:$L$24,7,FALSE)+'BMP P Tracking Table'!$Z309*VLOOKUP('BMP P Tracking Table'!$R309,'Loading Rates'!$B$1:$L$24,8,FALSE)+'BMP P Tracking Table'!$AA309*VLOOKUP('BMP P Tracking Table'!$R309,'Loading Rates'!$B$1:$L$24,9,FALSE),'BMP P Tracking Table'!$AB309*VLOOKUP('BMP P Tracking Table'!$R309,'Loading Rates'!$B$1:$L$24,10,FALSE)),"")</f>
        <v/>
      </c>
      <c r="AF309" s="104" t="str">
        <f>IFERROR(MIN(2,IF('BMP P Tracking Table'!$W309="Total Pervious",(-(3630*'BMP P Tracking Table'!$V309+20.691*'BMP P Tracking Table'!$AB309)+SQRT((3630*'BMP P Tracking Table'!$V309+20.691*'BMP P Tracking Table'!$AB309)^2-(4*(996.798*'BMP P Tracking Table'!$AB309)*-'BMP P Tracking Table'!$AC309)))/(2*(996.798*'BMP P Tracking Table'!$AB309)),IF(SUM('BMP P Tracking Table'!$X309:$AA309)=0,'BMP P Tracking Table'!$AC309/(-3630*'BMP P Tracking Table'!$V309),(-(3630*'BMP P Tracking Table'!$V309+20.691*'BMP P Tracking Table'!$AA309-216.711*'BMP P Tracking Table'!$Z309-83.853*'BMP P Tracking Table'!$Y309-42.834*'BMP P Tracking Table'!$X309)+SQRT((3630*'BMP P Tracking Table'!$V309+20.691*'BMP P Tracking Table'!$AA309-216.711*'BMP P Tracking Table'!$Z309-83.853*'BMP P Tracking Table'!$Y309-42.834*'BMP P Tracking Table'!$X309)^2-(4*(149.919*'BMP P Tracking Table'!$X309+236.676*'BMP P Tracking Table'!$Y309+726*'BMP P Tracking Table'!$Z309+996.798*'BMP P Tracking Table'!$AA309)*-'BMP P Tracking Table'!$AC309)))/(2*(149.919*'BMP P Tracking Table'!$X309+236.676*'BMP P Tracking Table'!$Y309+726*'BMP P Tracking Table'!$Z309+996.798*'BMP P Tracking Table'!$AA309))))),"")</f>
        <v/>
      </c>
      <c r="AG309" s="104" t="str">
        <f>IFERROR((VLOOKUP(CONCATENATE('BMP P Tracking Table'!$U309," ",'BMP P Tracking Table'!$AD309),'Performance Curves'!$C$1:$L$46,_xlfn.SINGLE(MATCH('BMP P Tracking Table'!$AF309,'Performance Curves'!$D$1:$L$1,1))+2,FALSE)-VLOOKUP(CONCATENATE('BMP P Tracking Table'!$U309," ",'BMP P Tracking Table'!$AD309),'Performance Curves'!$C$1:$L$46,_xlfn.SINGLE(MATCH('BMP P Tracking Table'!$AF309,'Performance Curves'!$D$1:$L$1,1))+1,FALSE)),"")</f>
        <v/>
      </c>
      <c r="AH309" s="104" t="str">
        <f>IFERROR(('BMP P Tracking Table'!$AF309-INDEX('Performance Curves'!$D$1:$L$1,1,MATCH('BMP P Tracking Table'!$AF309,'Performance Curves'!$D$1:$L$1,1)))/(INDEX('Performance Curves'!$D$1:$L$1,1,MATCH('BMP P Tracking Table'!$AF309,'Performance Curves'!$D$1:$L$1,1)+1)-INDEX('Performance Curves'!$D$1:$L$1,1,MATCH('BMP P Tracking Table'!$AF309,'Performance Curves'!$D$1:$L$1,1))),"")</f>
        <v/>
      </c>
      <c r="AI309" s="103" t="str">
        <f>IFERROR(IF('BMP P Tracking Table'!$AF309=2,VLOOKUP(CONCATENATE('BMP P Tracking Table'!$U309," ",'BMP P Tracking Table'!$AD309),'Performance Curves'!$C$1:$L$46,_xlfn.SINGLE(MATCH('BMP P Tracking Table'!$AF309,'Performance Curves'!$D$1:$L$1,1))+1,FALSE),'BMP P Tracking Table'!$AG309*'BMP P Tracking Table'!$AH309+VLOOKUP(CONCATENATE('BMP P Tracking Table'!$U309," ",'BMP P Tracking Table'!$AD309),'Performance Curves'!$C$1:$L$46,_xlfn.SINGLE(MATCH('BMP P Tracking Table'!$AF309,'Performance Curves'!$D$1:$L$1,1))+1,FALSE)),"")</f>
        <v/>
      </c>
      <c r="AJ309" s="104" t="str">
        <f>IFERROR('BMP P Tracking Table'!$AI309*'BMP P Tracking Table'!$AE309,"")</f>
        <v/>
      </c>
      <c r="AK309" s="65"/>
      <c r="AL309" s="98"/>
      <c r="AM309" s="98"/>
      <c r="AN309" s="64">
        <v>1</v>
      </c>
      <c r="AO309" s="102" t="str">
        <f t="shared" si="37"/>
        <v/>
      </c>
      <c r="AP309" s="98"/>
      <c r="AQ309" s="98"/>
      <c r="AR309" s="98"/>
      <c r="AS309" s="98"/>
      <c r="AT309" s="98"/>
      <c r="AU309" s="98"/>
      <c r="AV309" s="98"/>
      <c r="AW309" s="65"/>
      <c r="AX309" s="99"/>
      <c r="AY309" s="99"/>
      <c r="AZ309" s="104" t="str">
        <f>IF('BMP P Tracking Table'!$AL309="Yes",IF('BMP P Tracking Table'!$AM309="No",'BMP P Tracking Table'!$V309*VLOOKUP('BMP P Tracking Table'!$R309,'Loading Rates'!$B$1:$L$24,4,FALSE)+IF('BMP P Tracking Table'!$W309="By HSG",'BMP P Tracking Table'!$X309*VLOOKUP('BMP P Tracking Table'!$R309,'Loading Rates'!$B$1:$L$24,6,FALSE)+'BMP P Tracking Table'!$Y309*VLOOKUP('BMP P Tracking Table'!$R309,'Loading Rates'!$B$1:$L$24,7,FALSE)+'BMP P Tracking Table'!$Z309*VLOOKUP('BMP P Tracking Table'!$R309,'Loading Rates'!$B$1:$L$24,8,FALSE)+'BMP P Tracking Table'!$AA309*VLOOKUP('BMP P Tracking Table'!$R309,'Loading Rates'!$B$1:$L$24,9,FALSE),'BMP P Tracking Table'!$AB309*VLOOKUP('BMP P Tracking Table'!$R309,'Loading Rates'!$B$1:$L$24,10,FALSE)),'BMP P Tracking Table'!$AP309*VLOOKUP('BMP P Tracking Table'!$R309,'Loading Rates'!$B$1:$L$24,4,FALSE)+IF('BMP P Tracking Table'!$AQ309="By HSG",'BMP P Tracking Table'!$AR309*VLOOKUP('BMP P Tracking Table'!$R309,'Loading Rates'!$B$1:$L$24,6,FALSE)+'BMP P Tracking Table'!$AS309*VLOOKUP('BMP P Tracking Table'!$R309,'Loading Rates'!$B$1:$L$24,7,FALSE)+'BMP P Tracking Table'!$AT309*VLOOKUP('BMP P Tracking Table'!$R309,'Loading Rates'!$B$1:$L$24,8,FALSE)+'BMP P Tracking Table'!$AU309*VLOOKUP('BMP P Tracking Table'!$R309,'Loading Rates'!$B$1:$L$24,9,FALSE),'BMP P Tracking Table'!$AV309*VLOOKUP('BMP P Tracking Table'!$R309,'Loading Rates'!$B$1:$L$24,10,FALSE))),"")</f>
        <v/>
      </c>
      <c r="BA309" s="104" t="str">
        <f>IFERROR(IF('BMP P Tracking Table'!$AM309="Yes",MIN(2,IF('BMP P Tracking Table'!$AQ309="Total Pervious",(-(3630*'BMP P Tracking Table'!$AP309+20.691*'BMP P Tracking Table'!$AV309)+SQRT((3630*'BMP P Tracking Table'!$AP309+20.691*'BMP P Tracking Table'!$AV309)^2-(4*(996.798*'BMP P Tracking Table'!$AV309)*-'BMP P Tracking Table'!$AX309)))/(2*(996.798*'BMP P Tracking Table'!$AV309)),IF(SUM('BMP P Tracking Table'!$AR309:$AU309)=0,'BMP P Tracking Table'!$AV309/(-3630*'BMP P Tracking Table'!$AP309),(-(3630*'BMP P Tracking Table'!$AP309+20.691*'BMP P Tracking Table'!$AU309-216.711*'BMP P Tracking Table'!$AT309-83.853*'BMP P Tracking Table'!$AS309-42.834*'BMP P Tracking Table'!$AR309)+SQRT((3630*'BMP P Tracking Table'!$AP309+20.691*'BMP P Tracking Table'!$AU309-216.711*'BMP P Tracking Table'!$AT309-83.853*'BMP P Tracking Table'!$AS309-42.834*'BMP P Tracking Table'!$AR309)^2-(4*(149.919*'BMP P Tracking Table'!$AR309+236.676*'BMP P Tracking Table'!$AS309+726*'BMP P Tracking Table'!$AT309+996.798*'BMP P Tracking Table'!$AU309)*-'BMP P Tracking Table'!$AX309)))/(2*(149.919*'BMP P Tracking Table'!$AR309+236.676*'BMP P Tracking Table'!$AS309+726*'BMP P Tracking Table'!$AT309+996.798*'BMP P Tracking Table'!$AU309))))),MIN(2,IF('BMP P Tracking Table'!$AQ309="Total Pervious",(-(3630*'BMP P Tracking Table'!$V309+20.691*'BMP P Tracking Table'!$AB309)+SQRT((3630*'BMP P Tracking Table'!$V309+20.691*'BMP P Tracking Table'!$AB309)^2-(4*(996.798*'BMP P Tracking Table'!$AB309)*-'BMP P Tracking Table'!$AX309)))/(2*(996.798*'BMP P Tracking Table'!$AB309)),IF(SUM('BMP P Tracking Table'!$X309:$AA309)=0,'BMP P Tracking Table'!$AX309/(-3630*'BMP P Tracking Table'!$V309),(-(3630*'BMP P Tracking Table'!$V309+20.691*'BMP P Tracking Table'!$AA309-216.711*'BMP P Tracking Table'!$Z309-83.853*'BMP P Tracking Table'!$Y309-42.834*'BMP P Tracking Table'!$X309)+SQRT((3630*'BMP P Tracking Table'!$V309+20.691*'BMP P Tracking Table'!$AA309-216.711*'BMP P Tracking Table'!$Z309-83.853*'BMP P Tracking Table'!$Y309-42.834*'BMP P Tracking Table'!$X309)^2-(4*(149.919*'BMP P Tracking Table'!$X309+236.676*'BMP P Tracking Table'!$Y309+726*'BMP P Tracking Table'!$Z309+996.798*'BMP P Tracking Table'!$AA309)*-'BMP P Tracking Table'!$AX309)))/(2*(149.919*'BMP P Tracking Table'!$X309+236.676*'BMP P Tracking Table'!$Y309+726*'BMP P Tracking Table'!$Z309+996.798*'BMP P Tracking Table'!$AA309)))))),"")</f>
        <v/>
      </c>
      <c r="BB309" s="102" t="str">
        <f>IFERROR((VLOOKUP(CONCATENATE('BMP P Tracking Table'!$AW309," ",'BMP P Tracking Table'!$AY309),'Performance Curves'!$C$1:$L$46,_xlfn.SINGLE(MATCH('BMP P Tracking Table'!$BA309,'Performance Curves'!$D$1:$L$1,1))+2,FALSE)-VLOOKUP(CONCATENATE('BMP P Tracking Table'!$AW309," ",'BMP P Tracking Table'!$AY309),'Performance Curves'!$C$1:$L$46,_xlfn.SINGLE(MATCH('BMP P Tracking Table'!$BA309,'Performance Curves'!$D$1:$L$1,1))+1,FALSE)),"")</f>
        <v/>
      </c>
      <c r="BC309" s="102" t="str">
        <f>IFERROR(('BMP P Tracking Table'!$BA309-INDEX('Performance Curves'!$D$1:$L$1,1,MATCH('BMP P Tracking Table'!$BA309,'Performance Curves'!$D$1:$L$1,1)))/(INDEX('Performance Curves'!$D$1:$L$1,1,MATCH('BMP P Tracking Table'!$BA309,'Performance Curves'!$D$1:$L$1,1)+1)-INDEX('Performance Curves'!$D$1:$L$1,1,MATCH('BMP P Tracking Table'!$BA309,'Performance Curves'!$D$1:$L$1,1))),"")</f>
        <v/>
      </c>
      <c r="BD309" s="103" t="str" cm="1">
        <f t="array" ref="BD309">IFERROR(IF('BMP P Tracking Table'!$BA309=2,VLOOKUP(CONCATENATE('BMP P Tracking Table'!$AW309," ",'BMP P Tracking Table'!$AY309),'Performance Curves'!$C$1:$L$44,_xlfn.SINGLE(MATCH('BMP P Tracking Table'!$BA309,'Performance Curves'!$D$1:$L$1,1))+1,FALSE),'BMP P Tracking Table'!$BB309*'BMP P Tracking Table'!$BC309+VLOOKUP(CONCATENATE('BMP P Tracking Table'!$AW309," ",'BMP P Tracking Table'!$AY309),'Performance Curves'!$C$1:$L$44,_xlfn.SINGLE(MATCH('BMP P Tracking Table'!$BA309,'Performance Curves'!$D$1:$L$1,1))+1,FALSE)),"")</f>
        <v/>
      </c>
      <c r="BE309" s="104" t="str">
        <f>IFERROR('BMP P Tracking Table'!$BD309*'BMP P Tracking Table'!$AZ309,"")</f>
        <v/>
      </c>
      <c r="BF309" s="98"/>
      <c r="BG309" s="37">
        <f t="shared" si="38"/>
        <v>0</v>
      </c>
    </row>
    <row r="310" spans="2:59" s="36" customFormat="1">
      <c r="B310" s="65"/>
      <c r="C310" s="65"/>
      <c r="D310" s="65"/>
      <c r="E310" s="65"/>
      <c r="F310" s="94"/>
      <c r="G310" s="94"/>
      <c r="H310" s="65"/>
      <c r="I310" s="65"/>
      <c r="J310" s="65"/>
      <c r="K310" s="95"/>
      <c r="L310" s="65"/>
      <c r="M310" s="65"/>
      <c r="N310" s="65"/>
      <c r="O310" s="65"/>
      <c r="P310" s="65"/>
      <c r="Q310" s="65"/>
      <c r="R310" s="65" t="str">
        <f>IFERROR(VLOOKUP('BMP P Tracking Table'!$Q310,Dropdowns!$C$2:$E$15,3,FALSE),"")</f>
        <v/>
      </c>
      <c r="S310" s="65" t="str">
        <f>IFERROR(VLOOKUP('BMP P Tracking Table'!$R310,Dropdowns!$Q$3:$R$23,2,FALSE),"")</f>
        <v/>
      </c>
      <c r="T310" s="65"/>
      <c r="U310" s="65"/>
      <c r="V310" s="65"/>
      <c r="W310" s="65"/>
      <c r="X310" s="65"/>
      <c r="Y310" s="65"/>
      <c r="Z310" s="65"/>
      <c r="AA310" s="65"/>
      <c r="AB310" s="65"/>
      <c r="AC310" s="97"/>
      <c r="AD310" s="65"/>
      <c r="AE310" s="104" t="str">
        <f>IFERROR('BMP P Tracking Table'!$V310*VLOOKUP('BMP P Tracking Table'!$R310,'Loading Rates'!$B$1:$L$24,4,FALSE)+IF('BMP P Tracking Table'!$W310="By HSG",'BMP P Tracking Table'!$X310*VLOOKUP('BMP P Tracking Table'!$R310,'Loading Rates'!$B$1:$L$24,6,FALSE)+'BMP P Tracking Table'!$Y310*VLOOKUP('BMP P Tracking Table'!$R310,'Loading Rates'!$B$1:$L$24,7,FALSE)+'BMP P Tracking Table'!$Z310*VLOOKUP('BMP P Tracking Table'!$R310,'Loading Rates'!$B$1:$L$24,8,FALSE)+'BMP P Tracking Table'!$AA310*VLOOKUP('BMP P Tracking Table'!$R310,'Loading Rates'!$B$1:$L$24,9,FALSE),'BMP P Tracking Table'!$AB310*VLOOKUP('BMP P Tracking Table'!$R310,'Loading Rates'!$B$1:$L$24,10,FALSE)),"")</f>
        <v/>
      </c>
      <c r="AF310" s="104" t="str">
        <f>IFERROR(MIN(2,IF('BMP P Tracking Table'!$W310="Total Pervious",(-(3630*'BMP P Tracking Table'!$V310+20.691*'BMP P Tracking Table'!$AB310)+SQRT((3630*'BMP P Tracking Table'!$V310+20.691*'BMP P Tracking Table'!$AB310)^2-(4*(996.798*'BMP P Tracking Table'!$AB310)*-'BMP P Tracking Table'!$AC310)))/(2*(996.798*'BMP P Tracking Table'!$AB310)),IF(SUM('BMP P Tracking Table'!$X310:$AA310)=0,'BMP P Tracking Table'!$AC310/(-3630*'BMP P Tracking Table'!$V310),(-(3630*'BMP P Tracking Table'!$V310+20.691*'BMP P Tracking Table'!$AA310-216.711*'BMP P Tracking Table'!$Z310-83.853*'BMP P Tracking Table'!$Y310-42.834*'BMP P Tracking Table'!$X310)+SQRT((3630*'BMP P Tracking Table'!$V310+20.691*'BMP P Tracking Table'!$AA310-216.711*'BMP P Tracking Table'!$Z310-83.853*'BMP P Tracking Table'!$Y310-42.834*'BMP P Tracking Table'!$X310)^2-(4*(149.919*'BMP P Tracking Table'!$X310+236.676*'BMP P Tracking Table'!$Y310+726*'BMP P Tracking Table'!$Z310+996.798*'BMP P Tracking Table'!$AA310)*-'BMP P Tracking Table'!$AC310)))/(2*(149.919*'BMP P Tracking Table'!$X310+236.676*'BMP P Tracking Table'!$Y310+726*'BMP P Tracking Table'!$Z310+996.798*'BMP P Tracking Table'!$AA310))))),"")</f>
        <v/>
      </c>
      <c r="AG310" s="104" t="str">
        <f>IFERROR((VLOOKUP(CONCATENATE('BMP P Tracking Table'!$U310," ",'BMP P Tracking Table'!$AD310),'Performance Curves'!$C$1:$L$46,_xlfn.SINGLE(MATCH('BMP P Tracking Table'!$AF310,'Performance Curves'!$D$1:$L$1,1))+2,FALSE)-VLOOKUP(CONCATENATE('BMP P Tracking Table'!$U310," ",'BMP P Tracking Table'!$AD310),'Performance Curves'!$C$1:$L$46,_xlfn.SINGLE(MATCH('BMP P Tracking Table'!$AF310,'Performance Curves'!$D$1:$L$1,1))+1,FALSE)),"")</f>
        <v/>
      </c>
      <c r="AH310" s="104" t="str">
        <f>IFERROR(('BMP P Tracking Table'!$AF310-INDEX('Performance Curves'!$D$1:$L$1,1,MATCH('BMP P Tracking Table'!$AF310,'Performance Curves'!$D$1:$L$1,1)))/(INDEX('Performance Curves'!$D$1:$L$1,1,MATCH('BMP P Tracking Table'!$AF310,'Performance Curves'!$D$1:$L$1,1)+1)-INDEX('Performance Curves'!$D$1:$L$1,1,MATCH('BMP P Tracking Table'!$AF310,'Performance Curves'!$D$1:$L$1,1))),"")</f>
        <v/>
      </c>
      <c r="AI310" s="103" t="str">
        <f>IFERROR(IF('BMP P Tracking Table'!$AF310=2,VLOOKUP(CONCATENATE('BMP P Tracking Table'!$U310," ",'BMP P Tracking Table'!$AD310),'Performance Curves'!$C$1:$L$46,_xlfn.SINGLE(MATCH('BMP P Tracking Table'!$AF310,'Performance Curves'!$D$1:$L$1,1))+1,FALSE),'BMP P Tracking Table'!$AG310*'BMP P Tracking Table'!$AH310+VLOOKUP(CONCATENATE('BMP P Tracking Table'!$U310," ",'BMP P Tracking Table'!$AD310),'Performance Curves'!$C$1:$L$46,_xlfn.SINGLE(MATCH('BMP P Tracking Table'!$AF310,'Performance Curves'!$D$1:$L$1,1))+1,FALSE)),"")</f>
        <v/>
      </c>
      <c r="AJ310" s="104" t="str">
        <f>IFERROR('BMP P Tracking Table'!$AI310*'BMP P Tracking Table'!$AE310,"")</f>
        <v/>
      </c>
      <c r="AK310" s="65"/>
      <c r="AL310" s="98"/>
      <c r="AM310" s="98"/>
      <c r="AN310" s="64">
        <v>1</v>
      </c>
      <c r="AO310" s="102" t="str">
        <f t="shared" si="37"/>
        <v/>
      </c>
      <c r="AP310" s="98"/>
      <c r="AQ310" s="98"/>
      <c r="AR310" s="98"/>
      <c r="AS310" s="98"/>
      <c r="AT310" s="98"/>
      <c r="AU310" s="98"/>
      <c r="AV310" s="98"/>
      <c r="AW310" s="65"/>
      <c r="AX310" s="99"/>
      <c r="AY310" s="99"/>
      <c r="AZ310" s="104" t="str">
        <f>IF('BMP P Tracking Table'!$AL310="Yes",IF('BMP P Tracking Table'!$AM310="No",'BMP P Tracking Table'!$V310*VLOOKUP('BMP P Tracking Table'!$R310,'Loading Rates'!$B$1:$L$24,4,FALSE)+IF('BMP P Tracking Table'!$W310="By HSG",'BMP P Tracking Table'!$X310*VLOOKUP('BMP P Tracking Table'!$R310,'Loading Rates'!$B$1:$L$24,6,FALSE)+'BMP P Tracking Table'!$Y310*VLOOKUP('BMP P Tracking Table'!$R310,'Loading Rates'!$B$1:$L$24,7,FALSE)+'BMP P Tracking Table'!$Z310*VLOOKUP('BMP P Tracking Table'!$R310,'Loading Rates'!$B$1:$L$24,8,FALSE)+'BMP P Tracking Table'!$AA310*VLOOKUP('BMP P Tracking Table'!$R310,'Loading Rates'!$B$1:$L$24,9,FALSE),'BMP P Tracking Table'!$AB310*VLOOKUP('BMP P Tracking Table'!$R310,'Loading Rates'!$B$1:$L$24,10,FALSE)),'BMP P Tracking Table'!$AP310*VLOOKUP('BMP P Tracking Table'!$R310,'Loading Rates'!$B$1:$L$24,4,FALSE)+IF('BMP P Tracking Table'!$AQ310="By HSG",'BMP P Tracking Table'!$AR310*VLOOKUP('BMP P Tracking Table'!$R310,'Loading Rates'!$B$1:$L$24,6,FALSE)+'BMP P Tracking Table'!$AS310*VLOOKUP('BMP P Tracking Table'!$R310,'Loading Rates'!$B$1:$L$24,7,FALSE)+'BMP P Tracking Table'!$AT310*VLOOKUP('BMP P Tracking Table'!$R310,'Loading Rates'!$B$1:$L$24,8,FALSE)+'BMP P Tracking Table'!$AU310*VLOOKUP('BMP P Tracking Table'!$R310,'Loading Rates'!$B$1:$L$24,9,FALSE),'BMP P Tracking Table'!$AV310*VLOOKUP('BMP P Tracking Table'!$R310,'Loading Rates'!$B$1:$L$24,10,FALSE))),"")</f>
        <v/>
      </c>
      <c r="BA310" s="104" t="str">
        <f>IFERROR(IF('BMP P Tracking Table'!$AM310="Yes",MIN(2,IF('BMP P Tracking Table'!$AQ310="Total Pervious",(-(3630*'BMP P Tracking Table'!$AP310+20.691*'BMP P Tracking Table'!$AV310)+SQRT((3630*'BMP P Tracking Table'!$AP310+20.691*'BMP P Tracking Table'!$AV310)^2-(4*(996.798*'BMP P Tracking Table'!$AV310)*-'BMP P Tracking Table'!$AX310)))/(2*(996.798*'BMP P Tracking Table'!$AV310)),IF(SUM('BMP P Tracking Table'!$AR310:$AU310)=0,'BMP P Tracking Table'!$AV310/(-3630*'BMP P Tracking Table'!$AP310),(-(3630*'BMP P Tracking Table'!$AP310+20.691*'BMP P Tracking Table'!$AU310-216.711*'BMP P Tracking Table'!$AT310-83.853*'BMP P Tracking Table'!$AS310-42.834*'BMP P Tracking Table'!$AR310)+SQRT((3630*'BMP P Tracking Table'!$AP310+20.691*'BMP P Tracking Table'!$AU310-216.711*'BMP P Tracking Table'!$AT310-83.853*'BMP P Tracking Table'!$AS310-42.834*'BMP P Tracking Table'!$AR310)^2-(4*(149.919*'BMP P Tracking Table'!$AR310+236.676*'BMP P Tracking Table'!$AS310+726*'BMP P Tracking Table'!$AT310+996.798*'BMP P Tracking Table'!$AU310)*-'BMP P Tracking Table'!$AX310)))/(2*(149.919*'BMP P Tracking Table'!$AR310+236.676*'BMP P Tracking Table'!$AS310+726*'BMP P Tracking Table'!$AT310+996.798*'BMP P Tracking Table'!$AU310))))),MIN(2,IF('BMP P Tracking Table'!$AQ310="Total Pervious",(-(3630*'BMP P Tracking Table'!$V310+20.691*'BMP P Tracking Table'!$AB310)+SQRT((3630*'BMP P Tracking Table'!$V310+20.691*'BMP P Tracking Table'!$AB310)^2-(4*(996.798*'BMP P Tracking Table'!$AB310)*-'BMP P Tracking Table'!$AX310)))/(2*(996.798*'BMP P Tracking Table'!$AB310)),IF(SUM('BMP P Tracking Table'!$X310:$AA310)=0,'BMP P Tracking Table'!$AX310/(-3630*'BMP P Tracking Table'!$V310),(-(3630*'BMP P Tracking Table'!$V310+20.691*'BMP P Tracking Table'!$AA310-216.711*'BMP P Tracking Table'!$Z310-83.853*'BMP P Tracking Table'!$Y310-42.834*'BMP P Tracking Table'!$X310)+SQRT((3630*'BMP P Tracking Table'!$V310+20.691*'BMP P Tracking Table'!$AA310-216.711*'BMP P Tracking Table'!$Z310-83.853*'BMP P Tracking Table'!$Y310-42.834*'BMP P Tracking Table'!$X310)^2-(4*(149.919*'BMP P Tracking Table'!$X310+236.676*'BMP P Tracking Table'!$Y310+726*'BMP P Tracking Table'!$Z310+996.798*'BMP P Tracking Table'!$AA310)*-'BMP P Tracking Table'!$AX310)))/(2*(149.919*'BMP P Tracking Table'!$X310+236.676*'BMP P Tracking Table'!$Y310+726*'BMP P Tracking Table'!$Z310+996.798*'BMP P Tracking Table'!$AA310)))))),"")</f>
        <v/>
      </c>
      <c r="BB310" s="102" t="str">
        <f>IFERROR((VLOOKUP(CONCATENATE('BMP P Tracking Table'!$AW310," ",'BMP P Tracking Table'!$AY310),'Performance Curves'!$C$1:$L$46,_xlfn.SINGLE(MATCH('BMP P Tracking Table'!$BA310,'Performance Curves'!$D$1:$L$1,1))+2,FALSE)-VLOOKUP(CONCATENATE('BMP P Tracking Table'!$AW310," ",'BMP P Tracking Table'!$AY310),'Performance Curves'!$C$1:$L$46,_xlfn.SINGLE(MATCH('BMP P Tracking Table'!$BA310,'Performance Curves'!$D$1:$L$1,1))+1,FALSE)),"")</f>
        <v/>
      </c>
      <c r="BC310" s="102" t="str">
        <f>IFERROR(('BMP P Tracking Table'!$BA310-INDEX('Performance Curves'!$D$1:$L$1,1,MATCH('BMP P Tracking Table'!$BA310,'Performance Curves'!$D$1:$L$1,1)))/(INDEX('Performance Curves'!$D$1:$L$1,1,MATCH('BMP P Tracking Table'!$BA310,'Performance Curves'!$D$1:$L$1,1)+1)-INDEX('Performance Curves'!$D$1:$L$1,1,MATCH('BMP P Tracking Table'!$BA310,'Performance Curves'!$D$1:$L$1,1))),"")</f>
        <v/>
      </c>
      <c r="BD310" s="103" t="str" cm="1">
        <f t="array" ref="BD310">IFERROR(IF('BMP P Tracking Table'!$BA310=2,VLOOKUP(CONCATENATE('BMP P Tracking Table'!$AW310," ",'BMP P Tracking Table'!$AY310),'Performance Curves'!$C$1:$L$44,_xlfn.SINGLE(MATCH('BMP P Tracking Table'!$BA310,'Performance Curves'!$D$1:$L$1,1))+1,FALSE),'BMP P Tracking Table'!$BB310*'BMP P Tracking Table'!$BC310+VLOOKUP(CONCATENATE('BMP P Tracking Table'!$AW310," ",'BMP P Tracking Table'!$AY310),'Performance Curves'!$C$1:$L$44,_xlfn.SINGLE(MATCH('BMP P Tracking Table'!$BA310,'Performance Curves'!$D$1:$L$1,1))+1,FALSE)),"")</f>
        <v/>
      </c>
      <c r="BE310" s="104" t="str">
        <f>IFERROR('BMP P Tracking Table'!$BD310*'BMP P Tracking Table'!$AZ310,"")</f>
        <v/>
      </c>
      <c r="BF310" s="98"/>
      <c r="BG310" s="37">
        <f t="shared" si="38"/>
        <v>0</v>
      </c>
    </row>
    <row r="311" spans="2:59" s="36" customFormat="1">
      <c r="B311" s="65"/>
      <c r="C311" s="65"/>
      <c r="D311" s="65"/>
      <c r="E311" s="65"/>
      <c r="F311" s="94"/>
      <c r="G311" s="94"/>
      <c r="H311" s="65"/>
      <c r="I311" s="65"/>
      <c r="J311" s="65"/>
      <c r="K311" s="95"/>
      <c r="L311" s="65"/>
      <c r="M311" s="65"/>
      <c r="N311" s="65"/>
      <c r="O311" s="65"/>
      <c r="P311" s="65"/>
      <c r="Q311" s="65"/>
      <c r="R311" s="65" t="str">
        <f>IFERROR(VLOOKUP('BMP P Tracking Table'!$Q311,Dropdowns!$C$2:$E$15,3,FALSE),"")</f>
        <v/>
      </c>
      <c r="S311" s="65" t="str">
        <f>IFERROR(VLOOKUP('BMP P Tracking Table'!$R311,Dropdowns!$Q$3:$R$23,2,FALSE),"")</f>
        <v/>
      </c>
      <c r="T311" s="65"/>
      <c r="U311" s="65"/>
      <c r="V311" s="65"/>
      <c r="W311" s="65"/>
      <c r="X311" s="65"/>
      <c r="Y311" s="65"/>
      <c r="Z311" s="65"/>
      <c r="AA311" s="65"/>
      <c r="AB311" s="65"/>
      <c r="AC311" s="97"/>
      <c r="AD311" s="65"/>
      <c r="AE311" s="104" t="str">
        <f>IFERROR('BMP P Tracking Table'!$V311*VLOOKUP('BMP P Tracking Table'!$R311,'Loading Rates'!$B$1:$L$24,4,FALSE)+IF('BMP P Tracking Table'!$W311="By HSG",'BMP P Tracking Table'!$X311*VLOOKUP('BMP P Tracking Table'!$R311,'Loading Rates'!$B$1:$L$24,6,FALSE)+'BMP P Tracking Table'!$Y311*VLOOKUP('BMP P Tracking Table'!$R311,'Loading Rates'!$B$1:$L$24,7,FALSE)+'BMP P Tracking Table'!$Z311*VLOOKUP('BMP P Tracking Table'!$R311,'Loading Rates'!$B$1:$L$24,8,FALSE)+'BMP P Tracking Table'!$AA311*VLOOKUP('BMP P Tracking Table'!$R311,'Loading Rates'!$B$1:$L$24,9,FALSE),'BMP P Tracking Table'!$AB311*VLOOKUP('BMP P Tracking Table'!$R311,'Loading Rates'!$B$1:$L$24,10,FALSE)),"")</f>
        <v/>
      </c>
      <c r="AF311" s="104" t="str">
        <f>IFERROR(MIN(2,IF('BMP P Tracking Table'!$W311="Total Pervious",(-(3630*'BMP P Tracking Table'!$V311+20.691*'BMP P Tracking Table'!$AB311)+SQRT((3630*'BMP P Tracking Table'!$V311+20.691*'BMP P Tracking Table'!$AB311)^2-(4*(996.798*'BMP P Tracking Table'!$AB311)*-'BMP P Tracking Table'!$AC311)))/(2*(996.798*'BMP P Tracking Table'!$AB311)),IF(SUM('BMP P Tracking Table'!$X311:$AA311)=0,'BMP P Tracking Table'!$AC311/(-3630*'BMP P Tracking Table'!$V311),(-(3630*'BMP P Tracking Table'!$V311+20.691*'BMP P Tracking Table'!$AA311-216.711*'BMP P Tracking Table'!$Z311-83.853*'BMP P Tracking Table'!$Y311-42.834*'BMP P Tracking Table'!$X311)+SQRT((3630*'BMP P Tracking Table'!$V311+20.691*'BMP P Tracking Table'!$AA311-216.711*'BMP P Tracking Table'!$Z311-83.853*'BMP P Tracking Table'!$Y311-42.834*'BMP P Tracking Table'!$X311)^2-(4*(149.919*'BMP P Tracking Table'!$X311+236.676*'BMP P Tracking Table'!$Y311+726*'BMP P Tracking Table'!$Z311+996.798*'BMP P Tracking Table'!$AA311)*-'BMP P Tracking Table'!$AC311)))/(2*(149.919*'BMP P Tracking Table'!$X311+236.676*'BMP P Tracking Table'!$Y311+726*'BMP P Tracking Table'!$Z311+996.798*'BMP P Tracking Table'!$AA311))))),"")</f>
        <v/>
      </c>
      <c r="AG311" s="104" t="str">
        <f>IFERROR((VLOOKUP(CONCATENATE('BMP P Tracking Table'!$U311," ",'BMP P Tracking Table'!$AD311),'Performance Curves'!$C$1:$L$46,_xlfn.SINGLE(MATCH('BMP P Tracking Table'!$AF311,'Performance Curves'!$D$1:$L$1,1))+2,FALSE)-VLOOKUP(CONCATENATE('BMP P Tracking Table'!$U311," ",'BMP P Tracking Table'!$AD311),'Performance Curves'!$C$1:$L$46,_xlfn.SINGLE(MATCH('BMP P Tracking Table'!$AF311,'Performance Curves'!$D$1:$L$1,1))+1,FALSE)),"")</f>
        <v/>
      </c>
      <c r="AH311" s="104" t="str">
        <f>IFERROR(('BMP P Tracking Table'!$AF311-INDEX('Performance Curves'!$D$1:$L$1,1,MATCH('BMP P Tracking Table'!$AF311,'Performance Curves'!$D$1:$L$1,1)))/(INDEX('Performance Curves'!$D$1:$L$1,1,MATCH('BMP P Tracking Table'!$AF311,'Performance Curves'!$D$1:$L$1,1)+1)-INDEX('Performance Curves'!$D$1:$L$1,1,MATCH('BMP P Tracking Table'!$AF311,'Performance Curves'!$D$1:$L$1,1))),"")</f>
        <v/>
      </c>
      <c r="AI311" s="103" t="str">
        <f>IFERROR(IF('BMP P Tracking Table'!$AF311=2,VLOOKUP(CONCATENATE('BMP P Tracking Table'!$U311," ",'BMP P Tracking Table'!$AD311),'Performance Curves'!$C$1:$L$46,_xlfn.SINGLE(MATCH('BMP P Tracking Table'!$AF311,'Performance Curves'!$D$1:$L$1,1))+1,FALSE),'BMP P Tracking Table'!$AG311*'BMP P Tracking Table'!$AH311+VLOOKUP(CONCATENATE('BMP P Tracking Table'!$U311," ",'BMP P Tracking Table'!$AD311),'Performance Curves'!$C$1:$L$46,_xlfn.SINGLE(MATCH('BMP P Tracking Table'!$AF311,'Performance Curves'!$D$1:$L$1,1))+1,FALSE)),"")</f>
        <v/>
      </c>
      <c r="AJ311" s="104" t="str">
        <f>IFERROR('BMP P Tracking Table'!$AI311*'BMP P Tracking Table'!$AE311,"")</f>
        <v/>
      </c>
      <c r="AK311" s="65"/>
      <c r="AL311" s="98"/>
      <c r="AM311" s="98"/>
      <c r="AN311" s="64">
        <v>1</v>
      </c>
      <c r="AO311" s="102" t="str">
        <f t="shared" si="37"/>
        <v/>
      </c>
      <c r="AP311" s="98"/>
      <c r="AQ311" s="98"/>
      <c r="AR311" s="98"/>
      <c r="AS311" s="98"/>
      <c r="AT311" s="98"/>
      <c r="AU311" s="98"/>
      <c r="AV311" s="98"/>
      <c r="AW311" s="65"/>
      <c r="AX311" s="99"/>
      <c r="AY311" s="99"/>
      <c r="AZ311" s="104" t="str">
        <f>IF('BMP P Tracking Table'!$AL311="Yes",IF('BMP P Tracking Table'!$AM311="No",'BMP P Tracking Table'!$V311*VLOOKUP('BMP P Tracking Table'!$R311,'Loading Rates'!$B$1:$L$24,4,FALSE)+IF('BMP P Tracking Table'!$W311="By HSG",'BMP P Tracking Table'!$X311*VLOOKUP('BMP P Tracking Table'!$R311,'Loading Rates'!$B$1:$L$24,6,FALSE)+'BMP P Tracking Table'!$Y311*VLOOKUP('BMP P Tracking Table'!$R311,'Loading Rates'!$B$1:$L$24,7,FALSE)+'BMP P Tracking Table'!$Z311*VLOOKUP('BMP P Tracking Table'!$R311,'Loading Rates'!$B$1:$L$24,8,FALSE)+'BMP P Tracking Table'!$AA311*VLOOKUP('BMP P Tracking Table'!$R311,'Loading Rates'!$B$1:$L$24,9,FALSE),'BMP P Tracking Table'!$AB311*VLOOKUP('BMP P Tracking Table'!$R311,'Loading Rates'!$B$1:$L$24,10,FALSE)),'BMP P Tracking Table'!$AP311*VLOOKUP('BMP P Tracking Table'!$R311,'Loading Rates'!$B$1:$L$24,4,FALSE)+IF('BMP P Tracking Table'!$AQ311="By HSG",'BMP P Tracking Table'!$AR311*VLOOKUP('BMP P Tracking Table'!$R311,'Loading Rates'!$B$1:$L$24,6,FALSE)+'BMP P Tracking Table'!$AS311*VLOOKUP('BMP P Tracking Table'!$R311,'Loading Rates'!$B$1:$L$24,7,FALSE)+'BMP P Tracking Table'!$AT311*VLOOKUP('BMP P Tracking Table'!$R311,'Loading Rates'!$B$1:$L$24,8,FALSE)+'BMP P Tracking Table'!$AU311*VLOOKUP('BMP P Tracking Table'!$R311,'Loading Rates'!$B$1:$L$24,9,FALSE),'BMP P Tracking Table'!$AV311*VLOOKUP('BMP P Tracking Table'!$R311,'Loading Rates'!$B$1:$L$24,10,FALSE))),"")</f>
        <v/>
      </c>
      <c r="BA311" s="104" t="str">
        <f>IFERROR(IF('BMP P Tracking Table'!$AM311="Yes",MIN(2,IF('BMP P Tracking Table'!$AQ311="Total Pervious",(-(3630*'BMP P Tracking Table'!$AP311+20.691*'BMP P Tracking Table'!$AV311)+SQRT((3630*'BMP P Tracking Table'!$AP311+20.691*'BMP P Tracking Table'!$AV311)^2-(4*(996.798*'BMP P Tracking Table'!$AV311)*-'BMP P Tracking Table'!$AX311)))/(2*(996.798*'BMP P Tracking Table'!$AV311)),IF(SUM('BMP P Tracking Table'!$AR311:$AU311)=0,'BMP P Tracking Table'!$AV311/(-3630*'BMP P Tracking Table'!$AP311),(-(3630*'BMP P Tracking Table'!$AP311+20.691*'BMP P Tracking Table'!$AU311-216.711*'BMP P Tracking Table'!$AT311-83.853*'BMP P Tracking Table'!$AS311-42.834*'BMP P Tracking Table'!$AR311)+SQRT((3630*'BMP P Tracking Table'!$AP311+20.691*'BMP P Tracking Table'!$AU311-216.711*'BMP P Tracking Table'!$AT311-83.853*'BMP P Tracking Table'!$AS311-42.834*'BMP P Tracking Table'!$AR311)^2-(4*(149.919*'BMP P Tracking Table'!$AR311+236.676*'BMP P Tracking Table'!$AS311+726*'BMP P Tracking Table'!$AT311+996.798*'BMP P Tracking Table'!$AU311)*-'BMP P Tracking Table'!$AX311)))/(2*(149.919*'BMP P Tracking Table'!$AR311+236.676*'BMP P Tracking Table'!$AS311+726*'BMP P Tracking Table'!$AT311+996.798*'BMP P Tracking Table'!$AU311))))),MIN(2,IF('BMP P Tracking Table'!$AQ311="Total Pervious",(-(3630*'BMP P Tracking Table'!$V311+20.691*'BMP P Tracking Table'!$AB311)+SQRT((3630*'BMP P Tracking Table'!$V311+20.691*'BMP P Tracking Table'!$AB311)^2-(4*(996.798*'BMP P Tracking Table'!$AB311)*-'BMP P Tracking Table'!$AX311)))/(2*(996.798*'BMP P Tracking Table'!$AB311)),IF(SUM('BMP P Tracking Table'!$X311:$AA311)=0,'BMP P Tracking Table'!$AX311/(-3630*'BMP P Tracking Table'!$V311),(-(3630*'BMP P Tracking Table'!$V311+20.691*'BMP P Tracking Table'!$AA311-216.711*'BMP P Tracking Table'!$Z311-83.853*'BMP P Tracking Table'!$Y311-42.834*'BMP P Tracking Table'!$X311)+SQRT((3630*'BMP P Tracking Table'!$V311+20.691*'BMP P Tracking Table'!$AA311-216.711*'BMP P Tracking Table'!$Z311-83.853*'BMP P Tracking Table'!$Y311-42.834*'BMP P Tracking Table'!$X311)^2-(4*(149.919*'BMP P Tracking Table'!$X311+236.676*'BMP P Tracking Table'!$Y311+726*'BMP P Tracking Table'!$Z311+996.798*'BMP P Tracking Table'!$AA311)*-'BMP P Tracking Table'!$AX311)))/(2*(149.919*'BMP P Tracking Table'!$X311+236.676*'BMP P Tracking Table'!$Y311+726*'BMP P Tracking Table'!$Z311+996.798*'BMP P Tracking Table'!$AA311)))))),"")</f>
        <v/>
      </c>
      <c r="BB311" s="102" t="str">
        <f>IFERROR((VLOOKUP(CONCATENATE('BMP P Tracking Table'!$AW311," ",'BMP P Tracking Table'!$AY311),'Performance Curves'!$C$1:$L$46,_xlfn.SINGLE(MATCH('BMP P Tracking Table'!$BA311,'Performance Curves'!$D$1:$L$1,1))+2,FALSE)-VLOOKUP(CONCATENATE('BMP P Tracking Table'!$AW311," ",'BMP P Tracking Table'!$AY311),'Performance Curves'!$C$1:$L$46,_xlfn.SINGLE(MATCH('BMP P Tracking Table'!$BA311,'Performance Curves'!$D$1:$L$1,1))+1,FALSE)),"")</f>
        <v/>
      </c>
      <c r="BC311" s="102" t="str">
        <f>IFERROR(('BMP P Tracking Table'!$BA311-INDEX('Performance Curves'!$D$1:$L$1,1,MATCH('BMP P Tracking Table'!$BA311,'Performance Curves'!$D$1:$L$1,1)))/(INDEX('Performance Curves'!$D$1:$L$1,1,MATCH('BMP P Tracking Table'!$BA311,'Performance Curves'!$D$1:$L$1,1)+1)-INDEX('Performance Curves'!$D$1:$L$1,1,MATCH('BMP P Tracking Table'!$BA311,'Performance Curves'!$D$1:$L$1,1))),"")</f>
        <v/>
      </c>
      <c r="BD311" s="103" t="str" cm="1">
        <f t="array" ref="BD311">IFERROR(IF('BMP P Tracking Table'!$BA311=2,VLOOKUP(CONCATENATE('BMP P Tracking Table'!$AW311," ",'BMP P Tracking Table'!$AY311),'Performance Curves'!$C$1:$L$44,_xlfn.SINGLE(MATCH('BMP P Tracking Table'!$BA311,'Performance Curves'!$D$1:$L$1,1))+1,FALSE),'BMP P Tracking Table'!$BB311*'BMP P Tracking Table'!$BC311+VLOOKUP(CONCATENATE('BMP P Tracking Table'!$AW311," ",'BMP P Tracking Table'!$AY311),'Performance Curves'!$C$1:$L$44,_xlfn.SINGLE(MATCH('BMP P Tracking Table'!$BA311,'Performance Curves'!$D$1:$L$1,1))+1,FALSE)),"")</f>
        <v/>
      </c>
      <c r="BE311" s="104" t="str">
        <f>IFERROR('BMP P Tracking Table'!$BD311*'BMP P Tracking Table'!$AZ311,"")</f>
        <v/>
      </c>
      <c r="BF311" s="98"/>
      <c r="BG311" s="37">
        <f t="shared" si="38"/>
        <v>0</v>
      </c>
    </row>
    <row r="312" spans="2:59" s="36" customFormat="1">
      <c r="B312" s="65"/>
      <c r="C312" s="65"/>
      <c r="D312" s="65"/>
      <c r="E312" s="65"/>
      <c r="F312" s="94"/>
      <c r="G312" s="94"/>
      <c r="H312" s="65"/>
      <c r="I312" s="65"/>
      <c r="J312" s="65"/>
      <c r="K312" s="95"/>
      <c r="L312" s="65"/>
      <c r="M312" s="65"/>
      <c r="N312" s="65"/>
      <c r="O312" s="65"/>
      <c r="P312" s="65"/>
      <c r="Q312" s="65"/>
      <c r="R312" s="65" t="str">
        <f>IFERROR(VLOOKUP('BMP P Tracking Table'!$Q312,Dropdowns!$C$2:$E$15,3,FALSE),"")</f>
        <v/>
      </c>
      <c r="S312" s="65" t="str">
        <f>IFERROR(VLOOKUP('BMP P Tracking Table'!$R312,Dropdowns!$Q$3:$R$23,2,FALSE),"")</f>
        <v/>
      </c>
      <c r="T312" s="65"/>
      <c r="U312" s="65"/>
      <c r="V312" s="65"/>
      <c r="W312" s="65"/>
      <c r="X312" s="65"/>
      <c r="Y312" s="65"/>
      <c r="Z312" s="65"/>
      <c r="AA312" s="65"/>
      <c r="AB312" s="65"/>
      <c r="AC312" s="97"/>
      <c r="AD312" s="65"/>
      <c r="AE312" s="104" t="str">
        <f>IFERROR('BMP P Tracking Table'!$V312*VLOOKUP('BMP P Tracking Table'!$R312,'Loading Rates'!$B$1:$L$24,4,FALSE)+IF('BMP P Tracking Table'!$W312="By HSG",'BMP P Tracking Table'!$X312*VLOOKUP('BMP P Tracking Table'!$R312,'Loading Rates'!$B$1:$L$24,6,FALSE)+'BMP P Tracking Table'!$Y312*VLOOKUP('BMP P Tracking Table'!$R312,'Loading Rates'!$B$1:$L$24,7,FALSE)+'BMP P Tracking Table'!$Z312*VLOOKUP('BMP P Tracking Table'!$R312,'Loading Rates'!$B$1:$L$24,8,FALSE)+'BMP P Tracking Table'!$AA312*VLOOKUP('BMP P Tracking Table'!$R312,'Loading Rates'!$B$1:$L$24,9,FALSE),'BMP P Tracking Table'!$AB312*VLOOKUP('BMP P Tracking Table'!$R312,'Loading Rates'!$B$1:$L$24,10,FALSE)),"")</f>
        <v/>
      </c>
      <c r="AF312" s="104" t="str">
        <f>IFERROR(MIN(2,IF('BMP P Tracking Table'!$W312="Total Pervious",(-(3630*'BMP P Tracking Table'!$V312+20.691*'BMP P Tracking Table'!$AB312)+SQRT((3630*'BMP P Tracking Table'!$V312+20.691*'BMP P Tracking Table'!$AB312)^2-(4*(996.798*'BMP P Tracking Table'!$AB312)*-'BMP P Tracking Table'!$AC312)))/(2*(996.798*'BMP P Tracking Table'!$AB312)),IF(SUM('BMP P Tracking Table'!$X312:$AA312)=0,'BMP P Tracking Table'!$AC312/(-3630*'BMP P Tracking Table'!$V312),(-(3630*'BMP P Tracking Table'!$V312+20.691*'BMP P Tracking Table'!$AA312-216.711*'BMP P Tracking Table'!$Z312-83.853*'BMP P Tracking Table'!$Y312-42.834*'BMP P Tracking Table'!$X312)+SQRT((3630*'BMP P Tracking Table'!$V312+20.691*'BMP P Tracking Table'!$AA312-216.711*'BMP P Tracking Table'!$Z312-83.853*'BMP P Tracking Table'!$Y312-42.834*'BMP P Tracking Table'!$X312)^2-(4*(149.919*'BMP P Tracking Table'!$X312+236.676*'BMP P Tracking Table'!$Y312+726*'BMP P Tracking Table'!$Z312+996.798*'BMP P Tracking Table'!$AA312)*-'BMP P Tracking Table'!$AC312)))/(2*(149.919*'BMP P Tracking Table'!$X312+236.676*'BMP P Tracking Table'!$Y312+726*'BMP P Tracking Table'!$Z312+996.798*'BMP P Tracking Table'!$AA312))))),"")</f>
        <v/>
      </c>
      <c r="AG312" s="104" t="str">
        <f>IFERROR((VLOOKUP(CONCATENATE('BMP P Tracking Table'!$U312," ",'BMP P Tracking Table'!$AD312),'Performance Curves'!$C$1:$L$46,_xlfn.SINGLE(MATCH('BMP P Tracking Table'!$AF312,'Performance Curves'!$D$1:$L$1,1))+2,FALSE)-VLOOKUP(CONCATENATE('BMP P Tracking Table'!$U312," ",'BMP P Tracking Table'!$AD312),'Performance Curves'!$C$1:$L$46,_xlfn.SINGLE(MATCH('BMP P Tracking Table'!$AF312,'Performance Curves'!$D$1:$L$1,1))+1,FALSE)),"")</f>
        <v/>
      </c>
      <c r="AH312" s="104" t="str">
        <f>IFERROR(('BMP P Tracking Table'!$AF312-INDEX('Performance Curves'!$D$1:$L$1,1,MATCH('BMP P Tracking Table'!$AF312,'Performance Curves'!$D$1:$L$1,1)))/(INDEX('Performance Curves'!$D$1:$L$1,1,MATCH('BMP P Tracking Table'!$AF312,'Performance Curves'!$D$1:$L$1,1)+1)-INDEX('Performance Curves'!$D$1:$L$1,1,MATCH('BMP P Tracking Table'!$AF312,'Performance Curves'!$D$1:$L$1,1))),"")</f>
        <v/>
      </c>
      <c r="AI312" s="103" t="str">
        <f>IFERROR(IF('BMP P Tracking Table'!$AF312=2,VLOOKUP(CONCATENATE('BMP P Tracking Table'!$U312," ",'BMP P Tracking Table'!$AD312),'Performance Curves'!$C$1:$L$46,_xlfn.SINGLE(MATCH('BMP P Tracking Table'!$AF312,'Performance Curves'!$D$1:$L$1,1))+1,FALSE),'BMP P Tracking Table'!$AG312*'BMP P Tracking Table'!$AH312+VLOOKUP(CONCATENATE('BMP P Tracking Table'!$U312," ",'BMP P Tracking Table'!$AD312),'Performance Curves'!$C$1:$L$46,_xlfn.SINGLE(MATCH('BMP P Tracking Table'!$AF312,'Performance Curves'!$D$1:$L$1,1))+1,FALSE)),"")</f>
        <v/>
      </c>
      <c r="AJ312" s="104" t="str">
        <f>IFERROR('BMP P Tracking Table'!$AI312*'BMP P Tracking Table'!$AE312,"")</f>
        <v/>
      </c>
      <c r="AK312" s="65"/>
      <c r="AL312" s="98"/>
      <c r="AM312" s="98"/>
      <c r="AN312" s="64">
        <v>1</v>
      </c>
      <c r="AO312" s="102" t="str">
        <f t="shared" si="37"/>
        <v/>
      </c>
      <c r="AP312" s="98"/>
      <c r="AQ312" s="98"/>
      <c r="AR312" s="98"/>
      <c r="AS312" s="98"/>
      <c r="AT312" s="98"/>
      <c r="AU312" s="98"/>
      <c r="AV312" s="98"/>
      <c r="AW312" s="65"/>
      <c r="AX312" s="99"/>
      <c r="AY312" s="99"/>
      <c r="AZ312" s="104" t="str">
        <f>IF('BMP P Tracking Table'!$AL312="Yes",IF('BMP P Tracking Table'!$AM312="No",'BMP P Tracking Table'!$V312*VLOOKUP('BMP P Tracking Table'!$R312,'Loading Rates'!$B$1:$L$24,4,FALSE)+IF('BMP P Tracking Table'!$W312="By HSG",'BMP P Tracking Table'!$X312*VLOOKUP('BMP P Tracking Table'!$R312,'Loading Rates'!$B$1:$L$24,6,FALSE)+'BMP P Tracking Table'!$Y312*VLOOKUP('BMP P Tracking Table'!$R312,'Loading Rates'!$B$1:$L$24,7,FALSE)+'BMP P Tracking Table'!$Z312*VLOOKUP('BMP P Tracking Table'!$R312,'Loading Rates'!$B$1:$L$24,8,FALSE)+'BMP P Tracking Table'!$AA312*VLOOKUP('BMP P Tracking Table'!$R312,'Loading Rates'!$B$1:$L$24,9,FALSE),'BMP P Tracking Table'!$AB312*VLOOKUP('BMP P Tracking Table'!$R312,'Loading Rates'!$B$1:$L$24,10,FALSE)),'BMP P Tracking Table'!$AP312*VLOOKUP('BMP P Tracking Table'!$R312,'Loading Rates'!$B$1:$L$24,4,FALSE)+IF('BMP P Tracking Table'!$AQ312="By HSG",'BMP P Tracking Table'!$AR312*VLOOKUP('BMP P Tracking Table'!$R312,'Loading Rates'!$B$1:$L$24,6,FALSE)+'BMP P Tracking Table'!$AS312*VLOOKUP('BMP P Tracking Table'!$R312,'Loading Rates'!$B$1:$L$24,7,FALSE)+'BMP P Tracking Table'!$AT312*VLOOKUP('BMP P Tracking Table'!$R312,'Loading Rates'!$B$1:$L$24,8,FALSE)+'BMP P Tracking Table'!$AU312*VLOOKUP('BMP P Tracking Table'!$R312,'Loading Rates'!$B$1:$L$24,9,FALSE),'BMP P Tracking Table'!$AV312*VLOOKUP('BMP P Tracking Table'!$R312,'Loading Rates'!$B$1:$L$24,10,FALSE))),"")</f>
        <v/>
      </c>
      <c r="BA312" s="104" t="str">
        <f>IFERROR(IF('BMP P Tracking Table'!$AM312="Yes",MIN(2,IF('BMP P Tracking Table'!$AQ312="Total Pervious",(-(3630*'BMP P Tracking Table'!$AP312+20.691*'BMP P Tracking Table'!$AV312)+SQRT((3630*'BMP P Tracking Table'!$AP312+20.691*'BMP P Tracking Table'!$AV312)^2-(4*(996.798*'BMP P Tracking Table'!$AV312)*-'BMP P Tracking Table'!$AX312)))/(2*(996.798*'BMP P Tracking Table'!$AV312)),IF(SUM('BMP P Tracking Table'!$AR312:$AU312)=0,'BMP P Tracking Table'!$AV312/(-3630*'BMP P Tracking Table'!$AP312),(-(3630*'BMP P Tracking Table'!$AP312+20.691*'BMP P Tracking Table'!$AU312-216.711*'BMP P Tracking Table'!$AT312-83.853*'BMP P Tracking Table'!$AS312-42.834*'BMP P Tracking Table'!$AR312)+SQRT((3630*'BMP P Tracking Table'!$AP312+20.691*'BMP P Tracking Table'!$AU312-216.711*'BMP P Tracking Table'!$AT312-83.853*'BMP P Tracking Table'!$AS312-42.834*'BMP P Tracking Table'!$AR312)^2-(4*(149.919*'BMP P Tracking Table'!$AR312+236.676*'BMP P Tracking Table'!$AS312+726*'BMP P Tracking Table'!$AT312+996.798*'BMP P Tracking Table'!$AU312)*-'BMP P Tracking Table'!$AX312)))/(2*(149.919*'BMP P Tracking Table'!$AR312+236.676*'BMP P Tracking Table'!$AS312+726*'BMP P Tracking Table'!$AT312+996.798*'BMP P Tracking Table'!$AU312))))),MIN(2,IF('BMP P Tracking Table'!$AQ312="Total Pervious",(-(3630*'BMP P Tracking Table'!$V312+20.691*'BMP P Tracking Table'!$AB312)+SQRT((3630*'BMP P Tracking Table'!$V312+20.691*'BMP P Tracking Table'!$AB312)^2-(4*(996.798*'BMP P Tracking Table'!$AB312)*-'BMP P Tracking Table'!$AX312)))/(2*(996.798*'BMP P Tracking Table'!$AB312)),IF(SUM('BMP P Tracking Table'!$X312:$AA312)=0,'BMP P Tracking Table'!$AX312/(-3630*'BMP P Tracking Table'!$V312),(-(3630*'BMP P Tracking Table'!$V312+20.691*'BMP P Tracking Table'!$AA312-216.711*'BMP P Tracking Table'!$Z312-83.853*'BMP P Tracking Table'!$Y312-42.834*'BMP P Tracking Table'!$X312)+SQRT((3630*'BMP P Tracking Table'!$V312+20.691*'BMP P Tracking Table'!$AA312-216.711*'BMP P Tracking Table'!$Z312-83.853*'BMP P Tracking Table'!$Y312-42.834*'BMP P Tracking Table'!$X312)^2-(4*(149.919*'BMP P Tracking Table'!$X312+236.676*'BMP P Tracking Table'!$Y312+726*'BMP P Tracking Table'!$Z312+996.798*'BMP P Tracking Table'!$AA312)*-'BMP P Tracking Table'!$AX312)))/(2*(149.919*'BMP P Tracking Table'!$X312+236.676*'BMP P Tracking Table'!$Y312+726*'BMP P Tracking Table'!$Z312+996.798*'BMP P Tracking Table'!$AA312)))))),"")</f>
        <v/>
      </c>
      <c r="BB312" s="102" t="str">
        <f>IFERROR((VLOOKUP(CONCATENATE('BMP P Tracking Table'!$AW312," ",'BMP P Tracking Table'!$AY312),'Performance Curves'!$C$1:$L$46,_xlfn.SINGLE(MATCH('BMP P Tracking Table'!$BA312,'Performance Curves'!$D$1:$L$1,1))+2,FALSE)-VLOOKUP(CONCATENATE('BMP P Tracking Table'!$AW312," ",'BMP P Tracking Table'!$AY312),'Performance Curves'!$C$1:$L$46,_xlfn.SINGLE(MATCH('BMP P Tracking Table'!$BA312,'Performance Curves'!$D$1:$L$1,1))+1,FALSE)),"")</f>
        <v/>
      </c>
      <c r="BC312" s="102" t="str">
        <f>IFERROR(('BMP P Tracking Table'!$BA312-INDEX('Performance Curves'!$D$1:$L$1,1,MATCH('BMP P Tracking Table'!$BA312,'Performance Curves'!$D$1:$L$1,1)))/(INDEX('Performance Curves'!$D$1:$L$1,1,MATCH('BMP P Tracking Table'!$BA312,'Performance Curves'!$D$1:$L$1,1)+1)-INDEX('Performance Curves'!$D$1:$L$1,1,MATCH('BMP P Tracking Table'!$BA312,'Performance Curves'!$D$1:$L$1,1))),"")</f>
        <v/>
      </c>
      <c r="BD312" s="103" t="str" cm="1">
        <f t="array" ref="BD312">IFERROR(IF('BMP P Tracking Table'!$BA312=2,VLOOKUP(CONCATENATE('BMP P Tracking Table'!$AW312," ",'BMP P Tracking Table'!$AY312),'Performance Curves'!$C$1:$L$44,_xlfn.SINGLE(MATCH('BMP P Tracking Table'!$BA312,'Performance Curves'!$D$1:$L$1,1))+1,FALSE),'BMP P Tracking Table'!$BB312*'BMP P Tracking Table'!$BC312+VLOOKUP(CONCATENATE('BMP P Tracking Table'!$AW312," ",'BMP P Tracking Table'!$AY312),'Performance Curves'!$C$1:$L$44,_xlfn.SINGLE(MATCH('BMP P Tracking Table'!$BA312,'Performance Curves'!$D$1:$L$1,1))+1,FALSE)),"")</f>
        <v/>
      </c>
      <c r="BE312" s="104" t="str">
        <f>IFERROR('BMP P Tracking Table'!$BD312*'BMP P Tracking Table'!$AZ312,"")</f>
        <v/>
      </c>
      <c r="BF312" s="98"/>
      <c r="BG312" s="37">
        <f t="shared" si="38"/>
        <v>0</v>
      </c>
    </row>
    <row r="313" spans="2:59" s="36" customFormat="1">
      <c r="B313" s="65"/>
      <c r="C313" s="65"/>
      <c r="D313" s="65"/>
      <c r="E313" s="65"/>
      <c r="F313" s="94"/>
      <c r="G313" s="94"/>
      <c r="H313" s="65"/>
      <c r="I313" s="65"/>
      <c r="J313" s="65"/>
      <c r="K313" s="95"/>
      <c r="L313" s="65"/>
      <c r="M313" s="65"/>
      <c r="N313" s="65"/>
      <c r="O313" s="65"/>
      <c r="P313" s="65"/>
      <c r="Q313" s="65"/>
      <c r="R313" s="65" t="str">
        <f>IFERROR(VLOOKUP('BMP P Tracking Table'!$Q313,Dropdowns!$C$2:$E$15,3,FALSE),"")</f>
        <v/>
      </c>
      <c r="S313" s="65" t="str">
        <f>IFERROR(VLOOKUP('BMP P Tracking Table'!$R313,Dropdowns!$Q$3:$R$23,2,FALSE),"")</f>
        <v/>
      </c>
      <c r="T313" s="65"/>
      <c r="U313" s="65"/>
      <c r="V313" s="65"/>
      <c r="W313" s="65"/>
      <c r="X313" s="65"/>
      <c r="Y313" s="65"/>
      <c r="Z313" s="65"/>
      <c r="AA313" s="65"/>
      <c r="AB313" s="65"/>
      <c r="AC313" s="97"/>
      <c r="AD313" s="65"/>
      <c r="AE313" s="104" t="str">
        <f>IFERROR('BMP P Tracking Table'!$V313*VLOOKUP('BMP P Tracking Table'!$R313,'Loading Rates'!$B$1:$L$24,4,FALSE)+IF('BMP P Tracking Table'!$W313="By HSG",'BMP P Tracking Table'!$X313*VLOOKUP('BMP P Tracking Table'!$R313,'Loading Rates'!$B$1:$L$24,6,FALSE)+'BMP P Tracking Table'!$Y313*VLOOKUP('BMP P Tracking Table'!$R313,'Loading Rates'!$B$1:$L$24,7,FALSE)+'BMP P Tracking Table'!$Z313*VLOOKUP('BMP P Tracking Table'!$R313,'Loading Rates'!$B$1:$L$24,8,FALSE)+'BMP P Tracking Table'!$AA313*VLOOKUP('BMP P Tracking Table'!$R313,'Loading Rates'!$B$1:$L$24,9,FALSE),'BMP P Tracking Table'!$AB313*VLOOKUP('BMP P Tracking Table'!$R313,'Loading Rates'!$B$1:$L$24,10,FALSE)),"")</f>
        <v/>
      </c>
      <c r="AF313" s="104" t="str">
        <f>IFERROR(MIN(2,IF('BMP P Tracking Table'!$W313="Total Pervious",(-(3630*'BMP P Tracking Table'!$V313+20.691*'BMP P Tracking Table'!$AB313)+SQRT((3630*'BMP P Tracking Table'!$V313+20.691*'BMP P Tracking Table'!$AB313)^2-(4*(996.798*'BMP P Tracking Table'!$AB313)*-'BMP P Tracking Table'!$AC313)))/(2*(996.798*'BMP P Tracking Table'!$AB313)),IF(SUM('BMP P Tracking Table'!$X313:$AA313)=0,'BMP P Tracking Table'!$AC313/(-3630*'BMP P Tracking Table'!$V313),(-(3630*'BMP P Tracking Table'!$V313+20.691*'BMP P Tracking Table'!$AA313-216.711*'BMP P Tracking Table'!$Z313-83.853*'BMP P Tracking Table'!$Y313-42.834*'BMP P Tracking Table'!$X313)+SQRT((3630*'BMP P Tracking Table'!$V313+20.691*'BMP P Tracking Table'!$AA313-216.711*'BMP P Tracking Table'!$Z313-83.853*'BMP P Tracking Table'!$Y313-42.834*'BMP P Tracking Table'!$X313)^2-(4*(149.919*'BMP P Tracking Table'!$X313+236.676*'BMP P Tracking Table'!$Y313+726*'BMP P Tracking Table'!$Z313+996.798*'BMP P Tracking Table'!$AA313)*-'BMP P Tracking Table'!$AC313)))/(2*(149.919*'BMP P Tracking Table'!$X313+236.676*'BMP P Tracking Table'!$Y313+726*'BMP P Tracking Table'!$Z313+996.798*'BMP P Tracking Table'!$AA313))))),"")</f>
        <v/>
      </c>
      <c r="AG313" s="104" t="str">
        <f>IFERROR((VLOOKUP(CONCATENATE('BMP P Tracking Table'!$U313," ",'BMP P Tracking Table'!$AD313),'Performance Curves'!$C$1:$L$46,_xlfn.SINGLE(MATCH('BMP P Tracking Table'!$AF313,'Performance Curves'!$D$1:$L$1,1))+2,FALSE)-VLOOKUP(CONCATENATE('BMP P Tracking Table'!$U313," ",'BMP P Tracking Table'!$AD313),'Performance Curves'!$C$1:$L$46,_xlfn.SINGLE(MATCH('BMP P Tracking Table'!$AF313,'Performance Curves'!$D$1:$L$1,1))+1,FALSE)),"")</f>
        <v/>
      </c>
      <c r="AH313" s="104" t="str">
        <f>IFERROR(('BMP P Tracking Table'!$AF313-INDEX('Performance Curves'!$D$1:$L$1,1,MATCH('BMP P Tracking Table'!$AF313,'Performance Curves'!$D$1:$L$1,1)))/(INDEX('Performance Curves'!$D$1:$L$1,1,MATCH('BMP P Tracking Table'!$AF313,'Performance Curves'!$D$1:$L$1,1)+1)-INDEX('Performance Curves'!$D$1:$L$1,1,MATCH('BMP P Tracking Table'!$AF313,'Performance Curves'!$D$1:$L$1,1))),"")</f>
        <v/>
      </c>
      <c r="AI313" s="103" t="str">
        <f>IFERROR(IF('BMP P Tracking Table'!$AF313=2,VLOOKUP(CONCATENATE('BMP P Tracking Table'!$U313," ",'BMP P Tracking Table'!$AD313),'Performance Curves'!$C$1:$L$46,_xlfn.SINGLE(MATCH('BMP P Tracking Table'!$AF313,'Performance Curves'!$D$1:$L$1,1))+1,FALSE),'BMP P Tracking Table'!$AG313*'BMP P Tracking Table'!$AH313+VLOOKUP(CONCATENATE('BMP P Tracking Table'!$U313," ",'BMP P Tracking Table'!$AD313),'Performance Curves'!$C$1:$L$46,_xlfn.SINGLE(MATCH('BMP P Tracking Table'!$AF313,'Performance Curves'!$D$1:$L$1,1))+1,FALSE)),"")</f>
        <v/>
      </c>
      <c r="AJ313" s="104" t="str">
        <f>IFERROR('BMP P Tracking Table'!$AI313*'BMP P Tracking Table'!$AE313,"")</f>
        <v/>
      </c>
      <c r="AK313" s="65"/>
      <c r="AL313" s="98"/>
      <c r="AM313" s="98"/>
      <c r="AN313" s="64">
        <v>1</v>
      </c>
      <c r="AO313" s="102" t="str">
        <f t="shared" si="37"/>
        <v/>
      </c>
      <c r="AP313" s="98"/>
      <c r="AQ313" s="98"/>
      <c r="AR313" s="98"/>
      <c r="AS313" s="98"/>
      <c r="AT313" s="98"/>
      <c r="AU313" s="98"/>
      <c r="AV313" s="98"/>
      <c r="AW313" s="65"/>
      <c r="AX313" s="99"/>
      <c r="AY313" s="99"/>
      <c r="AZ313" s="104" t="str">
        <f>IF('BMP P Tracking Table'!$AL313="Yes",IF('BMP P Tracking Table'!$AM313="No",'BMP P Tracking Table'!$V313*VLOOKUP('BMP P Tracking Table'!$R313,'Loading Rates'!$B$1:$L$24,4,FALSE)+IF('BMP P Tracking Table'!$W313="By HSG",'BMP P Tracking Table'!$X313*VLOOKUP('BMP P Tracking Table'!$R313,'Loading Rates'!$B$1:$L$24,6,FALSE)+'BMP P Tracking Table'!$Y313*VLOOKUP('BMP P Tracking Table'!$R313,'Loading Rates'!$B$1:$L$24,7,FALSE)+'BMP P Tracking Table'!$Z313*VLOOKUP('BMP P Tracking Table'!$R313,'Loading Rates'!$B$1:$L$24,8,FALSE)+'BMP P Tracking Table'!$AA313*VLOOKUP('BMP P Tracking Table'!$R313,'Loading Rates'!$B$1:$L$24,9,FALSE),'BMP P Tracking Table'!$AB313*VLOOKUP('BMP P Tracking Table'!$R313,'Loading Rates'!$B$1:$L$24,10,FALSE)),'BMP P Tracking Table'!$AP313*VLOOKUP('BMP P Tracking Table'!$R313,'Loading Rates'!$B$1:$L$24,4,FALSE)+IF('BMP P Tracking Table'!$AQ313="By HSG",'BMP P Tracking Table'!$AR313*VLOOKUP('BMP P Tracking Table'!$R313,'Loading Rates'!$B$1:$L$24,6,FALSE)+'BMP P Tracking Table'!$AS313*VLOOKUP('BMP P Tracking Table'!$R313,'Loading Rates'!$B$1:$L$24,7,FALSE)+'BMP P Tracking Table'!$AT313*VLOOKUP('BMP P Tracking Table'!$R313,'Loading Rates'!$B$1:$L$24,8,FALSE)+'BMP P Tracking Table'!$AU313*VLOOKUP('BMP P Tracking Table'!$R313,'Loading Rates'!$B$1:$L$24,9,FALSE),'BMP P Tracking Table'!$AV313*VLOOKUP('BMP P Tracking Table'!$R313,'Loading Rates'!$B$1:$L$24,10,FALSE))),"")</f>
        <v/>
      </c>
      <c r="BA313" s="104" t="str">
        <f>IFERROR(IF('BMP P Tracking Table'!$AM313="Yes",MIN(2,IF('BMP P Tracking Table'!$AQ313="Total Pervious",(-(3630*'BMP P Tracking Table'!$AP313+20.691*'BMP P Tracking Table'!$AV313)+SQRT((3630*'BMP P Tracking Table'!$AP313+20.691*'BMP P Tracking Table'!$AV313)^2-(4*(996.798*'BMP P Tracking Table'!$AV313)*-'BMP P Tracking Table'!$AX313)))/(2*(996.798*'BMP P Tracking Table'!$AV313)),IF(SUM('BMP P Tracking Table'!$AR313:$AU313)=0,'BMP P Tracking Table'!$AV313/(-3630*'BMP P Tracking Table'!$AP313),(-(3630*'BMP P Tracking Table'!$AP313+20.691*'BMP P Tracking Table'!$AU313-216.711*'BMP P Tracking Table'!$AT313-83.853*'BMP P Tracking Table'!$AS313-42.834*'BMP P Tracking Table'!$AR313)+SQRT((3630*'BMP P Tracking Table'!$AP313+20.691*'BMP P Tracking Table'!$AU313-216.711*'BMP P Tracking Table'!$AT313-83.853*'BMP P Tracking Table'!$AS313-42.834*'BMP P Tracking Table'!$AR313)^2-(4*(149.919*'BMP P Tracking Table'!$AR313+236.676*'BMP P Tracking Table'!$AS313+726*'BMP P Tracking Table'!$AT313+996.798*'BMP P Tracking Table'!$AU313)*-'BMP P Tracking Table'!$AX313)))/(2*(149.919*'BMP P Tracking Table'!$AR313+236.676*'BMP P Tracking Table'!$AS313+726*'BMP P Tracking Table'!$AT313+996.798*'BMP P Tracking Table'!$AU313))))),MIN(2,IF('BMP P Tracking Table'!$AQ313="Total Pervious",(-(3630*'BMP P Tracking Table'!$V313+20.691*'BMP P Tracking Table'!$AB313)+SQRT((3630*'BMP P Tracking Table'!$V313+20.691*'BMP P Tracking Table'!$AB313)^2-(4*(996.798*'BMP P Tracking Table'!$AB313)*-'BMP P Tracking Table'!$AX313)))/(2*(996.798*'BMP P Tracking Table'!$AB313)),IF(SUM('BMP P Tracking Table'!$X313:$AA313)=0,'BMP P Tracking Table'!$AX313/(-3630*'BMP P Tracking Table'!$V313),(-(3630*'BMP P Tracking Table'!$V313+20.691*'BMP P Tracking Table'!$AA313-216.711*'BMP P Tracking Table'!$Z313-83.853*'BMP P Tracking Table'!$Y313-42.834*'BMP P Tracking Table'!$X313)+SQRT((3630*'BMP P Tracking Table'!$V313+20.691*'BMP P Tracking Table'!$AA313-216.711*'BMP P Tracking Table'!$Z313-83.853*'BMP P Tracking Table'!$Y313-42.834*'BMP P Tracking Table'!$X313)^2-(4*(149.919*'BMP P Tracking Table'!$X313+236.676*'BMP P Tracking Table'!$Y313+726*'BMP P Tracking Table'!$Z313+996.798*'BMP P Tracking Table'!$AA313)*-'BMP P Tracking Table'!$AX313)))/(2*(149.919*'BMP P Tracking Table'!$X313+236.676*'BMP P Tracking Table'!$Y313+726*'BMP P Tracking Table'!$Z313+996.798*'BMP P Tracking Table'!$AA313)))))),"")</f>
        <v/>
      </c>
      <c r="BB313" s="102" t="str">
        <f>IFERROR((VLOOKUP(CONCATENATE('BMP P Tracking Table'!$AW313," ",'BMP P Tracking Table'!$AY313),'Performance Curves'!$C$1:$L$46,_xlfn.SINGLE(MATCH('BMP P Tracking Table'!$BA313,'Performance Curves'!$D$1:$L$1,1))+2,FALSE)-VLOOKUP(CONCATENATE('BMP P Tracking Table'!$AW313," ",'BMP P Tracking Table'!$AY313),'Performance Curves'!$C$1:$L$46,_xlfn.SINGLE(MATCH('BMP P Tracking Table'!$BA313,'Performance Curves'!$D$1:$L$1,1))+1,FALSE)),"")</f>
        <v/>
      </c>
      <c r="BC313" s="102" t="str">
        <f>IFERROR(('BMP P Tracking Table'!$BA313-INDEX('Performance Curves'!$D$1:$L$1,1,MATCH('BMP P Tracking Table'!$BA313,'Performance Curves'!$D$1:$L$1,1)))/(INDEX('Performance Curves'!$D$1:$L$1,1,MATCH('BMP P Tracking Table'!$BA313,'Performance Curves'!$D$1:$L$1,1)+1)-INDEX('Performance Curves'!$D$1:$L$1,1,MATCH('BMP P Tracking Table'!$BA313,'Performance Curves'!$D$1:$L$1,1))),"")</f>
        <v/>
      </c>
      <c r="BD313" s="103" t="str" cm="1">
        <f t="array" ref="BD313">IFERROR(IF('BMP P Tracking Table'!$BA313=2,VLOOKUP(CONCATENATE('BMP P Tracking Table'!$AW313," ",'BMP P Tracking Table'!$AY313),'Performance Curves'!$C$1:$L$44,_xlfn.SINGLE(MATCH('BMP P Tracking Table'!$BA313,'Performance Curves'!$D$1:$L$1,1))+1,FALSE),'BMP P Tracking Table'!$BB313*'BMP P Tracking Table'!$BC313+VLOOKUP(CONCATENATE('BMP P Tracking Table'!$AW313," ",'BMP P Tracking Table'!$AY313),'Performance Curves'!$C$1:$L$44,_xlfn.SINGLE(MATCH('BMP P Tracking Table'!$BA313,'Performance Curves'!$D$1:$L$1,1))+1,FALSE)),"")</f>
        <v/>
      </c>
      <c r="BE313" s="104" t="str">
        <f>IFERROR('BMP P Tracking Table'!$BD313*'BMP P Tracking Table'!$AZ313,"")</f>
        <v/>
      </c>
      <c r="BF313" s="98"/>
      <c r="BG313" s="37">
        <f t="shared" si="38"/>
        <v>0</v>
      </c>
    </row>
    <row r="314" spans="2:59" s="36" customFormat="1">
      <c r="B314" s="65"/>
      <c r="C314" s="65"/>
      <c r="D314" s="65"/>
      <c r="E314" s="65"/>
      <c r="F314" s="94"/>
      <c r="G314" s="94"/>
      <c r="H314" s="65"/>
      <c r="I314" s="65"/>
      <c r="J314" s="65"/>
      <c r="K314" s="95"/>
      <c r="L314" s="65"/>
      <c r="M314" s="65"/>
      <c r="N314" s="65"/>
      <c r="O314" s="65"/>
      <c r="P314" s="65"/>
      <c r="Q314" s="65"/>
      <c r="R314" s="65" t="str">
        <f>IFERROR(VLOOKUP('BMP P Tracking Table'!$Q314,Dropdowns!$C$2:$E$15,3,FALSE),"")</f>
        <v/>
      </c>
      <c r="S314" s="65" t="str">
        <f>IFERROR(VLOOKUP('BMP P Tracking Table'!$R314,Dropdowns!$Q$3:$R$23,2,FALSE),"")</f>
        <v/>
      </c>
      <c r="T314" s="65"/>
      <c r="U314" s="65"/>
      <c r="V314" s="65"/>
      <c r="W314" s="65"/>
      <c r="X314" s="65"/>
      <c r="Y314" s="65"/>
      <c r="Z314" s="65"/>
      <c r="AA314" s="65"/>
      <c r="AB314" s="65"/>
      <c r="AC314" s="97"/>
      <c r="AD314" s="65"/>
      <c r="AE314" s="104" t="str">
        <f>IFERROR('BMP P Tracking Table'!$V314*VLOOKUP('BMP P Tracking Table'!$R314,'Loading Rates'!$B$1:$L$24,4,FALSE)+IF('BMP P Tracking Table'!$W314="By HSG",'BMP P Tracking Table'!$X314*VLOOKUP('BMP P Tracking Table'!$R314,'Loading Rates'!$B$1:$L$24,6,FALSE)+'BMP P Tracking Table'!$Y314*VLOOKUP('BMP P Tracking Table'!$R314,'Loading Rates'!$B$1:$L$24,7,FALSE)+'BMP P Tracking Table'!$Z314*VLOOKUP('BMP P Tracking Table'!$R314,'Loading Rates'!$B$1:$L$24,8,FALSE)+'BMP P Tracking Table'!$AA314*VLOOKUP('BMP P Tracking Table'!$R314,'Loading Rates'!$B$1:$L$24,9,FALSE),'BMP P Tracking Table'!$AB314*VLOOKUP('BMP P Tracking Table'!$R314,'Loading Rates'!$B$1:$L$24,10,FALSE)),"")</f>
        <v/>
      </c>
      <c r="AF314" s="104" t="str">
        <f>IFERROR(MIN(2,IF('BMP P Tracking Table'!$W314="Total Pervious",(-(3630*'BMP P Tracking Table'!$V314+20.691*'BMP P Tracking Table'!$AB314)+SQRT((3630*'BMP P Tracking Table'!$V314+20.691*'BMP P Tracking Table'!$AB314)^2-(4*(996.798*'BMP P Tracking Table'!$AB314)*-'BMP P Tracking Table'!$AC314)))/(2*(996.798*'BMP P Tracking Table'!$AB314)),IF(SUM('BMP P Tracking Table'!$X314:$AA314)=0,'BMP P Tracking Table'!$AC314/(-3630*'BMP P Tracking Table'!$V314),(-(3630*'BMP P Tracking Table'!$V314+20.691*'BMP P Tracking Table'!$AA314-216.711*'BMP P Tracking Table'!$Z314-83.853*'BMP P Tracking Table'!$Y314-42.834*'BMP P Tracking Table'!$X314)+SQRT((3630*'BMP P Tracking Table'!$V314+20.691*'BMP P Tracking Table'!$AA314-216.711*'BMP P Tracking Table'!$Z314-83.853*'BMP P Tracking Table'!$Y314-42.834*'BMP P Tracking Table'!$X314)^2-(4*(149.919*'BMP P Tracking Table'!$X314+236.676*'BMP P Tracking Table'!$Y314+726*'BMP P Tracking Table'!$Z314+996.798*'BMP P Tracking Table'!$AA314)*-'BMP P Tracking Table'!$AC314)))/(2*(149.919*'BMP P Tracking Table'!$X314+236.676*'BMP P Tracking Table'!$Y314+726*'BMP P Tracking Table'!$Z314+996.798*'BMP P Tracking Table'!$AA314))))),"")</f>
        <v/>
      </c>
      <c r="AG314" s="104" t="str">
        <f>IFERROR((VLOOKUP(CONCATENATE('BMP P Tracking Table'!$U314," ",'BMP P Tracking Table'!$AD314),'Performance Curves'!$C$1:$L$46,_xlfn.SINGLE(MATCH('BMP P Tracking Table'!$AF314,'Performance Curves'!$D$1:$L$1,1))+2,FALSE)-VLOOKUP(CONCATENATE('BMP P Tracking Table'!$U314," ",'BMP P Tracking Table'!$AD314),'Performance Curves'!$C$1:$L$46,_xlfn.SINGLE(MATCH('BMP P Tracking Table'!$AF314,'Performance Curves'!$D$1:$L$1,1))+1,FALSE)),"")</f>
        <v/>
      </c>
      <c r="AH314" s="104" t="str">
        <f>IFERROR(('BMP P Tracking Table'!$AF314-INDEX('Performance Curves'!$D$1:$L$1,1,MATCH('BMP P Tracking Table'!$AF314,'Performance Curves'!$D$1:$L$1,1)))/(INDEX('Performance Curves'!$D$1:$L$1,1,MATCH('BMP P Tracking Table'!$AF314,'Performance Curves'!$D$1:$L$1,1)+1)-INDEX('Performance Curves'!$D$1:$L$1,1,MATCH('BMP P Tracking Table'!$AF314,'Performance Curves'!$D$1:$L$1,1))),"")</f>
        <v/>
      </c>
      <c r="AI314" s="103" t="str">
        <f>IFERROR(IF('BMP P Tracking Table'!$AF314=2,VLOOKUP(CONCATENATE('BMP P Tracking Table'!$U314," ",'BMP P Tracking Table'!$AD314),'Performance Curves'!$C$1:$L$46,_xlfn.SINGLE(MATCH('BMP P Tracking Table'!$AF314,'Performance Curves'!$D$1:$L$1,1))+1,FALSE),'BMP P Tracking Table'!$AG314*'BMP P Tracking Table'!$AH314+VLOOKUP(CONCATENATE('BMP P Tracking Table'!$U314," ",'BMP P Tracking Table'!$AD314),'Performance Curves'!$C$1:$L$46,_xlfn.SINGLE(MATCH('BMP P Tracking Table'!$AF314,'Performance Curves'!$D$1:$L$1,1))+1,FALSE)),"")</f>
        <v/>
      </c>
      <c r="AJ314" s="104" t="str">
        <f>IFERROR('BMP P Tracking Table'!$AI314*'BMP P Tracking Table'!$AE314,"")</f>
        <v/>
      </c>
      <c r="AK314" s="65"/>
      <c r="AL314" s="98"/>
      <c r="AM314" s="98"/>
      <c r="AN314" s="64">
        <v>1</v>
      </c>
      <c r="AO314" s="102" t="str">
        <f t="shared" si="37"/>
        <v/>
      </c>
      <c r="AP314" s="98"/>
      <c r="AQ314" s="98"/>
      <c r="AR314" s="98"/>
      <c r="AS314" s="98"/>
      <c r="AT314" s="98"/>
      <c r="AU314" s="98"/>
      <c r="AV314" s="98"/>
      <c r="AW314" s="65"/>
      <c r="AX314" s="99"/>
      <c r="AY314" s="99"/>
      <c r="AZ314" s="104" t="str">
        <f>IF('BMP P Tracking Table'!$AL314="Yes",IF('BMP P Tracking Table'!$AM314="No",'BMP P Tracking Table'!$V314*VLOOKUP('BMP P Tracking Table'!$R314,'Loading Rates'!$B$1:$L$24,4,FALSE)+IF('BMP P Tracking Table'!$W314="By HSG",'BMP P Tracking Table'!$X314*VLOOKUP('BMP P Tracking Table'!$R314,'Loading Rates'!$B$1:$L$24,6,FALSE)+'BMP P Tracking Table'!$Y314*VLOOKUP('BMP P Tracking Table'!$R314,'Loading Rates'!$B$1:$L$24,7,FALSE)+'BMP P Tracking Table'!$Z314*VLOOKUP('BMP P Tracking Table'!$R314,'Loading Rates'!$B$1:$L$24,8,FALSE)+'BMP P Tracking Table'!$AA314*VLOOKUP('BMP P Tracking Table'!$R314,'Loading Rates'!$B$1:$L$24,9,FALSE),'BMP P Tracking Table'!$AB314*VLOOKUP('BMP P Tracking Table'!$R314,'Loading Rates'!$B$1:$L$24,10,FALSE)),'BMP P Tracking Table'!$AP314*VLOOKUP('BMP P Tracking Table'!$R314,'Loading Rates'!$B$1:$L$24,4,FALSE)+IF('BMP P Tracking Table'!$AQ314="By HSG",'BMP P Tracking Table'!$AR314*VLOOKUP('BMP P Tracking Table'!$R314,'Loading Rates'!$B$1:$L$24,6,FALSE)+'BMP P Tracking Table'!$AS314*VLOOKUP('BMP P Tracking Table'!$R314,'Loading Rates'!$B$1:$L$24,7,FALSE)+'BMP P Tracking Table'!$AT314*VLOOKUP('BMP P Tracking Table'!$R314,'Loading Rates'!$B$1:$L$24,8,FALSE)+'BMP P Tracking Table'!$AU314*VLOOKUP('BMP P Tracking Table'!$R314,'Loading Rates'!$B$1:$L$24,9,FALSE),'BMP P Tracking Table'!$AV314*VLOOKUP('BMP P Tracking Table'!$R314,'Loading Rates'!$B$1:$L$24,10,FALSE))),"")</f>
        <v/>
      </c>
      <c r="BA314" s="104" t="str">
        <f>IFERROR(IF('BMP P Tracking Table'!$AM314="Yes",MIN(2,IF('BMP P Tracking Table'!$AQ314="Total Pervious",(-(3630*'BMP P Tracking Table'!$AP314+20.691*'BMP P Tracking Table'!$AV314)+SQRT((3630*'BMP P Tracking Table'!$AP314+20.691*'BMP P Tracking Table'!$AV314)^2-(4*(996.798*'BMP P Tracking Table'!$AV314)*-'BMP P Tracking Table'!$AX314)))/(2*(996.798*'BMP P Tracking Table'!$AV314)),IF(SUM('BMP P Tracking Table'!$AR314:$AU314)=0,'BMP P Tracking Table'!$AV314/(-3630*'BMP P Tracking Table'!$AP314),(-(3630*'BMP P Tracking Table'!$AP314+20.691*'BMP P Tracking Table'!$AU314-216.711*'BMP P Tracking Table'!$AT314-83.853*'BMP P Tracking Table'!$AS314-42.834*'BMP P Tracking Table'!$AR314)+SQRT((3630*'BMP P Tracking Table'!$AP314+20.691*'BMP P Tracking Table'!$AU314-216.711*'BMP P Tracking Table'!$AT314-83.853*'BMP P Tracking Table'!$AS314-42.834*'BMP P Tracking Table'!$AR314)^2-(4*(149.919*'BMP P Tracking Table'!$AR314+236.676*'BMP P Tracking Table'!$AS314+726*'BMP P Tracking Table'!$AT314+996.798*'BMP P Tracking Table'!$AU314)*-'BMP P Tracking Table'!$AX314)))/(2*(149.919*'BMP P Tracking Table'!$AR314+236.676*'BMP P Tracking Table'!$AS314+726*'BMP P Tracking Table'!$AT314+996.798*'BMP P Tracking Table'!$AU314))))),MIN(2,IF('BMP P Tracking Table'!$AQ314="Total Pervious",(-(3630*'BMP P Tracking Table'!$V314+20.691*'BMP P Tracking Table'!$AB314)+SQRT((3630*'BMP P Tracking Table'!$V314+20.691*'BMP P Tracking Table'!$AB314)^2-(4*(996.798*'BMP P Tracking Table'!$AB314)*-'BMP P Tracking Table'!$AX314)))/(2*(996.798*'BMP P Tracking Table'!$AB314)),IF(SUM('BMP P Tracking Table'!$X314:$AA314)=0,'BMP P Tracking Table'!$AX314/(-3630*'BMP P Tracking Table'!$V314),(-(3630*'BMP P Tracking Table'!$V314+20.691*'BMP P Tracking Table'!$AA314-216.711*'BMP P Tracking Table'!$Z314-83.853*'BMP P Tracking Table'!$Y314-42.834*'BMP P Tracking Table'!$X314)+SQRT((3630*'BMP P Tracking Table'!$V314+20.691*'BMP P Tracking Table'!$AA314-216.711*'BMP P Tracking Table'!$Z314-83.853*'BMP P Tracking Table'!$Y314-42.834*'BMP P Tracking Table'!$X314)^2-(4*(149.919*'BMP P Tracking Table'!$X314+236.676*'BMP P Tracking Table'!$Y314+726*'BMP P Tracking Table'!$Z314+996.798*'BMP P Tracking Table'!$AA314)*-'BMP P Tracking Table'!$AX314)))/(2*(149.919*'BMP P Tracking Table'!$X314+236.676*'BMP P Tracking Table'!$Y314+726*'BMP P Tracking Table'!$Z314+996.798*'BMP P Tracking Table'!$AA314)))))),"")</f>
        <v/>
      </c>
      <c r="BB314" s="102" t="str">
        <f>IFERROR((VLOOKUP(CONCATENATE('BMP P Tracking Table'!$AW314," ",'BMP P Tracking Table'!$AY314),'Performance Curves'!$C$1:$L$46,_xlfn.SINGLE(MATCH('BMP P Tracking Table'!$BA314,'Performance Curves'!$D$1:$L$1,1))+2,FALSE)-VLOOKUP(CONCATENATE('BMP P Tracking Table'!$AW314," ",'BMP P Tracking Table'!$AY314),'Performance Curves'!$C$1:$L$46,_xlfn.SINGLE(MATCH('BMP P Tracking Table'!$BA314,'Performance Curves'!$D$1:$L$1,1))+1,FALSE)),"")</f>
        <v/>
      </c>
      <c r="BC314" s="102" t="str">
        <f>IFERROR(('BMP P Tracking Table'!$BA314-INDEX('Performance Curves'!$D$1:$L$1,1,MATCH('BMP P Tracking Table'!$BA314,'Performance Curves'!$D$1:$L$1,1)))/(INDEX('Performance Curves'!$D$1:$L$1,1,MATCH('BMP P Tracking Table'!$BA314,'Performance Curves'!$D$1:$L$1,1)+1)-INDEX('Performance Curves'!$D$1:$L$1,1,MATCH('BMP P Tracking Table'!$BA314,'Performance Curves'!$D$1:$L$1,1))),"")</f>
        <v/>
      </c>
      <c r="BD314" s="103" t="str" cm="1">
        <f t="array" ref="BD314">IFERROR(IF('BMP P Tracking Table'!$BA314=2,VLOOKUP(CONCATENATE('BMP P Tracking Table'!$AW314," ",'BMP P Tracking Table'!$AY314),'Performance Curves'!$C$1:$L$44,_xlfn.SINGLE(MATCH('BMP P Tracking Table'!$BA314,'Performance Curves'!$D$1:$L$1,1))+1,FALSE),'BMP P Tracking Table'!$BB314*'BMP P Tracking Table'!$BC314+VLOOKUP(CONCATENATE('BMP P Tracking Table'!$AW314," ",'BMP P Tracking Table'!$AY314),'Performance Curves'!$C$1:$L$44,_xlfn.SINGLE(MATCH('BMP P Tracking Table'!$BA314,'Performance Curves'!$D$1:$L$1,1))+1,FALSE)),"")</f>
        <v/>
      </c>
      <c r="BE314" s="104" t="str">
        <f>IFERROR('BMP P Tracking Table'!$BD314*'BMP P Tracking Table'!$AZ314,"")</f>
        <v/>
      </c>
      <c r="BF314" s="98"/>
      <c r="BG314" s="37">
        <f t="shared" si="38"/>
        <v>0</v>
      </c>
    </row>
    <row r="315" spans="2:59" s="36" customFormat="1">
      <c r="B315" s="65"/>
      <c r="C315" s="65"/>
      <c r="D315" s="65"/>
      <c r="E315" s="65"/>
      <c r="F315" s="94"/>
      <c r="G315" s="94"/>
      <c r="H315" s="65"/>
      <c r="I315" s="65"/>
      <c r="J315" s="65"/>
      <c r="K315" s="95"/>
      <c r="L315" s="65"/>
      <c r="M315" s="65"/>
      <c r="N315" s="65"/>
      <c r="O315" s="65"/>
      <c r="P315" s="65"/>
      <c r="Q315" s="65"/>
      <c r="R315" s="65" t="str">
        <f>IFERROR(VLOOKUP('BMP P Tracking Table'!$Q315,Dropdowns!$C$2:$E$15,3,FALSE),"")</f>
        <v/>
      </c>
      <c r="S315" s="65" t="str">
        <f>IFERROR(VLOOKUP('BMP P Tracking Table'!$R315,Dropdowns!$Q$3:$R$23,2,FALSE),"")</f>
        <v/>
      </c>
      <c r="T315" s="65"/>
      <c r="U315" s="65"/>
      <c r="V315" s="65"/>
      <c r="W315" s="65"/>
      <c r="X315" s="65"/>
      <c r="Y315" s="65"/>
      <c r="Z315" s="65"/>
      <c r="AA315" s="65"/>
      <c r="AB315" s="65"/>
      <c r="AC315" s="97"/>
      <c r="AD315" s="65"/>
      <c r="AE315" s="104" t="str">
        <f>IFERROR('BMP P Tracking Table'!$V315*VLOOKUP('BMP P Tracking Table'!$R315,'Loading Rates'!$B$1:$L$24,4,FALSE)+IF('BMP P Tracking Table'!$W315="By HSG",'BMP P Tracking Table'!$X315*VLOOKUP('BMP P Tracking Table'!$R315,'Loading Rates'!$B$1:$L$24,6,FALSE)+'BMP P Tracking Table'!$Y315*VLOOKUP('BMP P Tracking Table'!$R315,'Loading Rates'!$B$1:$L$24,7,FALSE)+'BMP P Tracking Table'!$Z315*VLOOKUP('BMP P Tracking Table'!$R315,'Loading Rates'!$B$1:$L$24,8,FALSE)+'BMP P Tracking Table'!$AA315*VLOOKUP('BMP P Tracking Table'!$R315,'Loading Rates'!$B$1:$L$24,9,FALSE),'BMP P Tracking Table'!$AB315*VLOOKUP('BMP P Tracking Table'!$R315,'Loading Rates'!$B$1:$L$24,10,FALSE)),"")</f>
        <v/>
      </c>
      <c r="AF315" s="104" t="str">
        <f>IFERROR(MIN(2,IF('BMP P Tracking Table'!$W315="Total Pervious",(-(3630*'BMP P Tracking Table'!$V315+20.691*'BMP P Tracking Table'!$AB315)+SQRT((3630*'BMP P Tracking Table'!$V315+20.691*'BMP P Tracking Table'!$AB315)^2-(4*(996.798*'BMP P Tracking Table'!$AB315)*-'BMP P Tracking Table'!$AC315)))/(2*(996.798*'BMP P Tracking Table'!$AB315)),IF(SUM('BMP P Tracking Table'!$X315:$AA315)=0,'BMP P Tracking Table'!$AC315/(-3630*'BMP P Tracking Table'!$V315),(-(3630*'BMP P Tracking Table'!$V315+20.691*'BMP P Tracking Table'!$AA315-216.711*'BMP P Tracking Table'!$Z315-83.853*'BMP P Tracking Table'!$Y315-42.834*'BMP P Tracking Table'!$X315)+SQRT((3630*'BMP P Tracking Table'!$V315+20.691*'BMP P Tracking Table'!$AA315-216.711*'BMP P Tracking Table'!$Z315-83.853*'BMP P Tracking Table'!$Y315-42.834*'BMP P Tracking Table'!$X315)^2-(4*(149.919*'BMP P Tracking Table'!$X315+236.676*'BMP P Tracking Table'!$Y315+726*'BMP P Tracking Table'!$Z315+996.798*'BMP P Tracking Table'!$AA315)*-'BMP P Tracking Table'!$AC315)))/(2*(149.919*'BMP P Tracking Table'!$X315+236.676*'BMP P Tracking Table'!$Y315+726*'BMP P Tracking Table'!$Z315+996.798*'BMP P Tracking Table'!$AA315))))),"")</f>
        <v/>
      </c>
      <c r="AG315" s="104" t="str">
        <f>IFERROR((VLOOKUP(CONCATENATE('BMP P Tracking Table'!$U315," ",'BMP P Tracking Table'!$AD315),'Performance Curves'!$C$1:$L$46,_xlfn.SINGLE(MATCH('BMP P Tracking Table'!$AF315,'Performance Curves'!$D$1:$L$1,1))+2,FALSE)-VLOOKUP(CONCATENATE('BMP P Tracking Table'!$U315," ",'BMP P Tracking Table'!$AD315),'Performance Curves'!$C$1:$L$46,_xlfn.SINGLE(MATCH('BMP P Tracking Table'!$AF315,'Performance Curves'!$D$1:$L$1,1))+1,FALSE)),"")</f>
        <v/>
      </c>
      <c r="AH315" s="104" t="str">
        <f>IFERROR(('BMP P Tracking Table'!$AF315-INDEX('Performance Curves'!$D$1:$L$1,1,MATCH('BMP P Tracking Table'!$AF315,'Performance Curves'!$D$1:$L$1,1)))/(INDEX('Performance Curves'!$D$1:$L$1,1,MATCH('BMP P Tracking Table'!$AF315,'Performance Curves'!$D$1:$L$1,1)+1)-INDEX('Performance Curves'!$D$1:$L$1,1,MATCH('BMP P Tracking Table'!$AF315,'Performance Curves'!$D$1:$L$1,1))),"")</f>
        <v/>
      </c>
      <c r="AI315" s="103" t="str">
        <f>IFERROR(IF('BMP P Tracking Table'!$AF315=2,VLOOKUP(CONCATENATE('BMP P Tracking Table'!$U315," ",'BMP P Tracking Table'!$AD315),'Performance Curves'!$C$1:$L$46,_xlfn.SINGLE(MATCH('BMP P Tracking Table'!$AF315,'Performance Curves'!$D$1:$L$1,1))+1,FALSE),'BMP P Tracking Table'!$AG315*'BMP P Tracking Table'!$AH315+VLOOKUP(CONCATENATE('BMP P Tracking Table'!$U315," ",'BMP P Tracking Table'!$AD315),'Performance Curves'!$C$1:$L$46,_xlfn.SINGLE(MATCH('BMP P Tracking Table'!$AF315,'Performance Curves'!$D$1:$L$1,1))+1,FALSE)),"")</f>
        <v/>
      </c>
      <c r="AJ315" s="104" t="str">
        <f>IFERROR('BMP P Tracking Table'!$AI315*'BMP P Tracking Table'!$AE315,"")</f>
        <v/>
      </c>
      <c r="AK315" s="65"/>
      <c r="AL315" s="98"/>
      <c r="AM315" s="98"/>
      <c r="AN315" s="64">
        <v>1</v>
      </c>
      <c r="AO315" s="102" t="str">
        <f t="shared" si="37"/>
        <v/>
      </c>
      <c r="AP315" s="98"/>
      <c r="AQ315" s="98"/>
      <c r="AR315" s="98"/>
      <c r="AS315" s="98"/>
      <c r="AT315" s="98"/>
      <c r="AU315" s="98"/>
      <c r="AV315" s="98"/>
      <c r="AW315" s="65"/>
      <c r="AX315" s="99"/>
      <c r="AY315" s="99"/>
      <c r="AZ315" s="104" t="str">
        <f>IF('BMP P Tracking Table'!$AL315="Yes",IF('BMP P Tracking Table'!$AM315="No",'BMP P Tracking Table'!$V315*VLOOKUP('BMP P Tracking Table'!$R315,'Loading Rates'!$B$1:$L$24,4,FALSE)+IF('BMP P Tracking Table'!$W315="By HSG",'BMP P Tracking Table'!$X315*VLOOKUP('BMP P Tracking Table'!$R315,'Loading Rates'!$B$1:$L$24,6,FALSE)+'BMP P Tracking Table'!$Y315*VLOOKUP('BMP P Tracking Table'!$R315,'Loading Rates'!$B$1:$L$24,7,FALSE)+'BMP P Tracking Table'!$Z315*VLOOKUP('BMP P Tracking Table'!$R315,'Loading Rates'!$B$1:$L$24,8,FALSE)+'BMP P Tracking Table'!$AA315*VLOOKUP('BMP P Tracking Table'!$R315,'Loading Rates'!$B$1:$L$24,9,FALSE),'BMP P Tracking Table'!$AB315*VLOOKUP('BMP P Tracking Table'!$R315,'Loading Rates'!$B$1:$L$24,10,FALSE)),'BMP P Tracking Table'!$AP315*VLOOKUP('BMP P Tracking Table'!$R315,'Loading Rates'!$B$1:$L$24,4,FALSE)+IF('BMP P Tracking Table'!$AQ315="By HSG",'BMP P Tracking Table'!$AR315*VLOOKUP('BMP P Tracking Table'!$R315,'Loading Rates'!$B$1:$L$24,6,FALSE)+'BMP P Tracking Table'!$AS315*VLOOKUP('BMP P Tracking Table'!$R315,'Loading Rates'!$B$1:$L$24,7,FALSE)+'BMP P Tracking Table'!$AT315*VLOOKUP('BMP P Tracking Table'!$R315,'Loading Rates'!$B$1:$L$24,8,FALSE)+'BMP P Tracking Table'!$AU315*VLOOKUP('BMP P Tracking Table'!$R315,'Loading Rates'!$B$1:$L$24,9,FALSE),'BMP P Tracking Table'!$AV315*VLOOKUP('BMP P Tracking Table'!$R315,'Loading Rates'!$B$1:$L$24,10,FALSE))),"")</f>
        <v/>
      </c>
      <c r="BA315" s="104" t="str">
        <f>IFERROR(IF('BMP P Tracking Table'!$AM315="Yes",MIN(2,IF('BMP P Tracking Table'!$AQ315="Total Pervious",(-(3630*'BMP P Tracking Table'!$AP315+20.691*'BMP P Tracking Table'!$AV315)+SQRT((3630*'BMP P Tracking Table'!$AP315+20.691*'BMP P Tracking Table'!$AV315)^2-(4*(996.798*'BMP P Tracking Table'!$AV315)*-'BMP P Tracking Table'!$AX315)))/(2*(996.798*'BMP P Tracking Table'!$AV315)),IF(SUM('BMP P Tracking Table'!$AR315:$AU315)=0,'BMP P Tracking Table'!$AV315/(-3630*'BMP P Tracking Table'!$AP315),(-(3630*'BMP P Tracking Table'!$AP315+20.691*'BMP P Tracking Table'!$AU315-216.711*'BMP P Tracking Table'!$AT315-83.853*'BMP P Tracking Table'!$AS315-42.834*'BMP P Tracking Table'!$AR315)+SQRT((3630*'BMP P Tracking Table'!$AP315+20.691*'BMP P Tracking Table'!$AU315-216.711*'BMP P Tracking Table'!$AT315-83.853*'BMP P Tracking Table'!$AS315-42.834*'BMP P Tracking Table'!$AR315)^2-(4*(149.919*'BMP P Tracking Table'!$AR315+236.676*'BMP P Tracking Table'!$AS315+726*'BMP P Tracking Table'!$AT315+996.798*'BMP P Tracking Table'!$AU315)*-'BMP P Tracking Table'!$AX315)))/(2*(149.919*'BMP P Tracking Table'!$AR315+236.676*'BMP P Tracking Table'!$AS315+726*'BMP P Tracking Table'!$AT315+996.798*'BMP P Tracking Table'!$AU315))))),MIN(2,IF('BMP P Tracking Table'!$AQ315="Total Pervious",(-(3630*'BMP P Tracking Table'!$V315+20.691*'BMP P Tracking Table'!$AB315)+SQRT((3630*'BMP P Tracking Table'!$V315+20.691*'BMP P Tracking Table'!$AB315)^2-(4*(996.798*'BMP P Tracking Table'!$AB315)*-'BMP P Tracking Table'!$AX315)))/(2*(996.798*'BMP P Tracking Table'!$AB315)),IF(SUM('BMP P Tracking Table'!$X315:$AA315)=0,'BMP P Tracking Table'!$AX315/(-3630*'BMP P Tracking Table'!$V315),(-(3630*'BMP P Tracking Table'!$V315+20.691*'BMP P Tracking Table'!$AA315-216.711*'BMP P Tracking Table'!$Z315-83.853*'BMP P Tracking Table'!$Y315-42.834*'BMP P Tracking Table'!$X315)+SQRT((3630*'BMP P Tracking Table'!$V315+20.691*'BMP P Tracking Table'!$AA315-216.711*'BMP P Tracking Table'!$Z315-83.853*'BMP P Tracking Table'!$Y315-42.834*'BMP P Tracking Table'!$X315)^2-(4*(149.919*'BMP P Tracking Table'!$X315+236.676*'BMP P Tracking Table'!$Y315+726*'BMP P Tracking Table'!$Z315+996.798*'BMP P Tracking Table'!$AA315)*-'BMP P Tracking Table'!$AX315)))/(2*(149.919*'BMP P Tracking Table'!$X315+236.676*'BMP P Tracking Table'!$Y315+726*'BMP P Tracking Table'!$Z315+996.798*'BMP P Tracking Table'!$AA315)))))),"")</f>
        <v/>
      </c>
      <c r="BB315" s="102" t="str">
        <f>IFERROR((VLOOKUP(CONCATENATE('BMP P Tracking Table'!$AW315," ",'BMP P Tracking Table'!$AY315),'Performance Curves'!$C$1:$L$46,_xlfn.SINGLE(MATCH('BMP P Tracking Table'!$BA315,'Performance Curves'!$D$1:$L$1,1))+2,FALSE)-VLOOKUP(CONCATENATE('BMP P Tracking Table'!$AW315," ",'BMP P Tracking Table'!$AY315),'Performance Curves'!$C$1:$L$46,_xlfn.SINGLE(MATCH('BMP P Tracking Table'!$BA315,'Performance Curves'!$D$1:$L$1,1))+1,FALSE)),"")</f>
        <v/>
      </c>
      <c r="BC315" s="102" t="str">
        <f>IFERROR(('BMP P Tracking Table'!$BA315-INDEX('Performance Curves'!$D$1:$L$1,1,MATCH('BMP P Tracking Table'!$BA315,'Performance Curves'!$D$1:$L$1,1)))/(INDEX('Performance Curves'!$D$1:$L$1,1,MATCH('BMP P Tracking Table'!$BA315,'Performance Curves'!$D$1:$L$1,1)+1)-INDEX('Performance Curves'!$D$1:$L$1,1,MATCH('BMP P Tracking Table'!$BA315,'Performance Curves'!$D$1:$L$1,1))),"")</f>
        <v/>
      </c>
      <c r="BD315" s="103" t="str" cm="1">
        <f t="array" ref="BD315">IFERROR(IF('BMP P Tracking Table'!$BA315=2,VLOOKUP(CONCATENATE('BMP P Tracking Table'!$AW315," ",'BMP P Tracking Table'!$AY315),'Performance Curves'!$C$1:$L$44,_xlfn.SINGLE(MATCH('BMP P Tracking Table'!$BA315,'Performance Curves'!$D$1:$L$1,1))+1,FALSE),'BMP P Tracking Table'!$BB315*'BMP P Tracking Table'!$BC315+VLOOKUP(CONCATENATE('BMP P Tracking Table'!$AW315," ",'BMP P Tracking Table'!$AY315),'Performance Curves'!$C$1:$L$44,_xlfn.SINGLE(MATCH('BMP P Tracking Table'!$BA315,'Performance Curves'!$D$1:$L$1,1))+1,FALSE)),"")</f>
        <v/>
      </c>
      <c r="BE315" s="104" t="str">
        <f>IFERROR('BMP P Tracking Table'!$BD315*'BMP P Tracking Table'!$AZ315,"")</f>
        <v/>
      </c>
      <c r="BF315" s="98"/>
      <c r="BG315" s="37">
        <f t="shared" si="38"/>
        <v>0</v>
      </c>
    </row>
    <row r="316" spans="2:59" s="36" customFormat="1">
      <c r="B316" s="65"/>
      <c r="C316" s="65"/>
      <c r="D316" s="65"/>
      <c r="E316" s="65"/>
      <c r="F316" s="94"/>
      <c r="G316" s="94"/>
      <c r="H316" s="65"/>
      <c r="I316" s="65"/>
      <c r="J316" s="65"/>
      <c r="K316" s="95"/>
      <c r="L316" s="65"/>
      <c r="M316" s="65"/>
      <c r="N316" s="65"/>
      <c r="O316" s="65"/>
      <c r="P316" s="65"/>
      <c r="Q316" s="65"/>
      <c r="R316" s="65" t="str">
        <f>IFERROR(VLOOKUP('BMP P Tracking Table'!$Q316,Dropdowns!$C$2:$E$15,3,FALSE),"")</f>
        <v/>
      </c>
      <c r="S316" s="65" t="str">
        <f>IFERROR(VLOOKUP('BMP P Tracking Table'!$R316,Dropdowns!$Q$3:$R$23,2,FALSE),"")</f>
        <v/>
      </c>
      <c r="T316" s="65"/>
      <c r="U316" s="65"/>
      <c r="V316" s="65"/>
      <c r="W316" s="65"/>
      <c r="X316" s="65"/>
      <c r="Y316" s="65"/>
      <c r="Z316" s="65"/>
      <c r="AA316" s="65"/>
      <c r="AB316" s="65"/>
      <c r="AC316" s="97"/>
      <c r="AD316" s="65"/>
      <c r="AE316" s="104" t="str">
        <f>IFERROR('BMP P Tracking Table'!$V316*VLOOKUP('BMP P Tracking Table'!$R316,'Loading Rates'!$B$1:$L$24,4,FALSE)+IF('BMP P Tracking Table'!$W316="By HSG",'BMP P Tracking Table'!$X316*VLOOKUP('BMP P Tracking Table'!$R316,'Loading Rates'!$B$1:$L$24,6,FALSE)+'BMP P Tracking Table'!$Y316*VLOOKUP('BMP P Tracking Table'!$R316,'Loading Rates'!$B$1:$L$24,7,FALSE)+'BMP P Tracking Table'!$Z316*VLOOKUP('BMP P Tracking Table'!$R316,'Loading Rates'!$B$1:$L$24,8,FALSE)+'BMP P Tracking Table'!$AA316*VLOOKUP('BMP P Tracking Table'!$R316,'Loading Rates'!$B$1:$L$24,9,FALSE),'BMP P Tracking Table'!$AB316*VLOOKUP('BMP P Tracking Table'!$R316,'Loading Rates'!$B$1:$L$24,10,FALSE)),"")</f>
        <v/>
      </c>
      <c r="AF316" s="104" t="str">
        <f>IFERROR(MIN(2,IF('BMP P Tracking Table'!$W316="Total Pervious",(-(3630*'BMP P Tracking Table'!$V316+20.691*'BMP P Tracking Table'!$AB316)+SQRT((3630*'BMP P Tracking Table'!$V316+20.691*'BMP P Tracking Table'!$AB316)^2-(4*(996.798*'BMP P Tracking Table'!$AB316)*-'BMP P Tracking Table'!$AC316)))/(2*(996.798*'BMP P Tracking Table'!$AB316)),IF(SUM('BMP P Tracking Table'!$X316:$AA316)=0,'BMP P Tracking Table'!$AC316/(-3630*'BMP P Tracking Table'!$V316),(-(3630*'BMP P Tracking Table'!$V316+20.691*'BMP P Tracking Table'!$AA316-216.711*'BMP P Tracking Table'!$Z316-83.853*'BMP P Tracking Table'!$Y316-42.834*'BMP P Tracking Table'!$X316)+SQRT((3630*'BMP P Tracking Table'!$V316+20.691*'BMP P Tracking Table'!$AA316-216.711*'BMP P Tracking Table'!$Z316-83.853*'BMP P Tracking Table'!$Y316-42.834*'BMP P Tracking Table'!$X316)^2-(4*(149.919*'BMP P Tracking Table'!$X316+236.676*'BMP P Tracking Table'!$Y316+726*'BMP P Tracking Table'!$Z316+996.798*'BMP P Tracking Table'!$AA316)*-'BMP P Tracking Table'!$AC316)))/(2*(149.919*'BMP P Tracking Table'!$X316+236.676*'BMP P Tracking Table'!$Y316+726*'BMP P Tracking Table'!$Z316+996.798*'BMP P Tracking Table'!$AA316))))),"")</f>
        <v/>
      </c>
      <c r="AG316" s="104" t="str">
        <f>IFERROR((VLOOKUP(CONCATENATE('BMP P Tracking Table'!$U316," ",'BMP P Tracking Table'!$AD316),'Performance Curves'!$C$1:$L$46,_xlfn.SINGLE(MATCH('BMP P Tracking Table'!$AF316,'Performance Curves'!$D$1:$L$1,1))+2,FALSE)-VLOOKUP(CONCATENATE('BMP P Tracking Table'!$U316," ",'BMP P Tracking Table'!$AD316),'Performance Curves'!$C$1:$L$46,_xlfn.SINGLE(MATCH('BMP P Tracking Table'!$AF316,'Performance Curves'!$D$1:$L$1,1))+1,FALSE)),"")</f>
        <v/>
      </c>
      <c r="AH316" s="104" t="str">
        <f>IFERROR(('BMP P Tracking Table'!$AF316-INDEX('Performance Curves'!$D$1:$L$1,1,MATCH('BMP P Tracking Table'!$AF316,'Performance Curves'!$D$1:$L$1,1)))/(INDEX('Performance Curves'!$D$1:$L$1,1,MATCH('BMP P Tracking Table'!$AF316,'Performance Curves'!$D$1:$L$1,1)+1)-INDEX('Performance Curves'!$D$1:$L$1,1,MATCH('BMP P Tracking Table'!$AF316,'Performance Curves'!$D$1:$L$1,1))),"")</f>
        <v/>
      </c>
      <c r="AI316" s="103" t="str">
        <f>IFERROR(IF('BMP P Tracking Table'!$AF316=2,VLOOKUP(CONCATENATE('BMP P Tracking Table'!$U316," ",'BMP P Tracking Table'!$AD316),'Performance Curves'!$C$1:$L$46,_xlfn.SINGLE(MATCH('BMP P Tracking Table'!$AF316,'Performance Curves'!$D$1:$L$1,1))+1,FALSE),'BMP P Tracking Table'!$AG316*'BMP P Tracking Table'!$AH316+VLOOKUP(CONCATENATE('BMP P Tracking Table'!$U316," ",'BMP P Tracking Table'!$AD316),'Performance Curves'!$C$1:$L$46,_xlfn.SINGLE(MATCH('BMP P Tracking Table'!$AF316,'Performance Curves'!$D$1:$L$1,1))+1,FALSE)),"")</f>
        <v/>
      </c>
      <c r="AJ316" s="104" t="str">
        <f>IFERROR('BMP P Tracking Table'!$AI316*'BMP P Tracking Table'!$AE316,"")</f>
        <v/>
      </c>
      <c r="AK316" s="65"/>
      <c r="AL316" s="98"/>
      <c r="AM316" s="98"/>
      <c r="AN316" s="64">
        <v>1</v>
      </c>
      <c r="AO316" s="102" t="str">
        <f t="shared" si="37"/>
        <v/>
      </c>
      <c r="AP316" s="98"/>
      <c r="AQ316" s="98"/>
      <c r="AR316" s="98"/>
      <c r="AS316" s="98"/>
      <c r="AT316" s="98"/>
      <c r="AU316" s="98"/>
      <c r="AV316" s="98"/>
      <c r="AW316" s="65"/>
      <c r="AX316" s="99"/>
      <c r="AY316" s="99"/>
      <c r="AZ316" s="104" t="str">
        <f>IF('BMP P Tracking Table'!$AL316="Yes",IF('BMP P Tracking Table'!$AM316="No",'BMP P Tracking Table'!$V316*VLOOKUP('BMP P Tracking Table'!$R316,'Loading Rates'!$B$1:$L$24,4,FALSE)+IF('BMP P Tracking Table'!$W316="By HSG",'BMP P Tracking Table'!$X316*VLOOKUP('BMP P Tracking Table'!$R316,'Loading Rates'!$B$1:$L$24,6,FALSE)+'BMP P Tracking Table'!$Y316*VLOOKUP('BMP P Tracking Table'!$R316,'Loading Rates'!$B$1:$L$24,7,FALSE)+'BMP P Tracking Table'!$Z316*VLOOKUP('BMP P Tracking Table'!$R316,'Loading Rates'!$B$1:$L$24,8,FALSE)+'BMP P Tracking Table'!$AA316*VLOOKUP('BMP P Tracking Table'!$R316,'Loading Rates'!$B$1:$L$24,9,FALSE),'BMP P Tracking Table'!$AB316*VLOOKUP('BMP P Tracking Table'!$R316,'Loading Rates'!$B$1:$L$24,10,FALSE)),'BMP P Tracking Table'!$AP316*VLOOKUP('BMP P Tracking Table'!$R316,'Loading Rates'!$B$1:$L$24,4,FALSE)+IF('BMP P Tracking Table'!$AQ316="By HSG",'BMP P Tracking Table'!$AR316*VLOOKUP('BMP P Tracking Table'!$R316,'Loading Rates'!$B$1:$L$24,6,FALSE)+'BMP P Tracking Table'!$AS316*VLOOKUP('BMP P Tracking Table'!$R316,'Loading Rates'!$B$1:$L$24,7,FALSE)+'BMP P Tracking Table'!$AT316*VLOOKUP('BMP P Tracking Table'!$R316,'Loading Rates'!$B$1:$L$24,8,FALSE)+'BMP P Tracking Table'!$AU316*VLOOKUP('BMP P Tracking Table'!$R316,'Loading Rates'!$B$1:$L$24,9,FALSE),'BMP P Tracking Table'!$AV316*VLOOKUP('BMP P Tracking Table'!$R316,'Loading Rates'!$B$1:$L$24,10,FALSE))),"")</f>
        <v/>
      </c>
      <c r="BA316" s="104" t="str">
        <f>IFERROR(IF('BMP P Tracking Table'!$AM316="Yes",MIN(2,IF('BMP P Tracking Table'!$AQ316="Total Pervious",(-(3630*'BMP P Tracking Table'!$AP316+20.691*'BMP P Tracking Table'!$AV316)+SQRT((3630*'BMP P Tracking Table'!$AP316+20.691*'BMP P Tracking Table'!$AV316)^2-(4*(996.798*'BMP P Tracking Table'!$AV316)*-'BMP P Tracking Table'!$AX316)))/(2*(996.798*'BMP P Tracking Table'!$AV316)),IF(SUM('BMP P Tracking Table'!$AR316:$AU316)=0,'BMP P Tracking Table'!$AV316/(-3630*'BMP P Tracking Table'!$AP316),(-(3630*'BMP P Tracking Table'!$AP316+20.691*'BMP P Tracking Table'!$AU316-216.711*'BMP P Tracking Table'!$AT316-83.853*'BMP P Tracking Table'!$AS316-42.834*'BMP P Tracking Table'!$AR316)+SQRT((3630*'BMP P Tracking Table'!$AP316+20.691*'BMP P Tracking Table'!$AU316-216.711*'BMP P Tracking Table'!$AT316-83.853*'BMP P Tracking Table'!$AS316-42.834*'BMP P Tracking Table'!$AR316)^2-(4*(149.919*'BMP P Tracking Table'!$AR316+236.676*'BMP P Tracking Table'!$AS316+726*'BMP P Tracking Table'!$AT316+996.798*'BMP P Tracking Table'!$AU316)*-'BMP P Tracking Table'!$AX316)))/(2*(149.919*'BMP P Tracking Table'!$AR316+236.676*'BMP P Tracking Table'!$AS316+726*'BMP P Tracking Table'!$AT316+996.798*'BMP P Tracking Table'!$AU316))))),MIN(2,IF('BMP P Tracking Table'!$AQ316="Total Pervious",(-(3630*'BMP P Tracking Table'!$V316+20.691*'BMP P Tracking Table'!$AB316)+SQRT((3630*'BMP P Tracking Table'!$V316+20.691*'BMP P Tracking Table'!$AB316)^2-(4*(996.798*'BMP P Tracking Table'!$AB316)*-'BMP P Tracking Table'!$AX316)))/(2*(996.798*'BMP P Tracking Table'!$AB316)),IF(SUM('BMP P Tracking Table'!$X316:$AA316)=0,'BMP P Tracking Table'!$AX316/(-3630*'BMP P Tracking Table'!$V316),(-(3630*'BMP P Tracking Table'!$V316+20.691*'BMP P Tracking Table'!$AA316-216.711*'BMP P Tracking Table'!$Z316-83.853*'BMP P Tracking Table'!$Y316-42.834*'BMP P Tracking Table'!$X316)+SQRT((3630*'BMP P Tracking Table'!$V316+20.691*'BMP P Tracking Table'!$AA316-216.711*'BMP P Tracking Table'!$Z316-83.853*'BMP P Tracking Table'!$Y316-42.834*'BMP P Tracking Table'!$X316)^2-(4*(149.919*'BMP P Tracking Table'!$X316+236.676*'BMP P Tracking Table'!$Y316+726*'BMP P Tracking Table'!$Z316+996.798*'BMP P Tracking Table'!$AA316)*-'BMP P Tracking Table'!$AX316)))/(2*(149.919*'BMP P Tracking Table'!$X316+236.676*'BMP P Tracking Table'!$Y316+726*'BMP P Tracking Table'!$Z316+996.798*'BMP P Tracking Table'!$AA316)))))),"")</f>
        <v/>
      </c>
      <c r="BB316" s="102" t="str">
        <f>IFERROR((VLOOKUP(CONCATENATE('BMP P Tracking Table'!$AW316," ",'BMP P Tracking Table'!$AY316),'Performance Curves'!$C$1:$L$46,_xlfn.SINGLE(MATCH('BMP P Tracking Table'!$BA316,'Performance Curves'!$D$1:$L$1,1))+2,FALSE)-VLOOKUP(CONCATENATE('BMP P Tracking Table'!$AW316," ",'BMP P Tracking Table'!$AY316),'Performance Curves'!$C$1:$L$46,_xlfn.SINGLE(MATCH('BMP P Tracking Table'!$BA316,'Performance Curves'!$D$1:$L$1,1))+1,FALSE)),"")</f>
        <v/>
      </c>
      <c r="BC316" s="102" t="str">
        <f>IFERROR(('BMP P Tracking Table'!$BA316-INDEX('Performance Curves'!$D$1:$L$1,1,MATCH('BMP P Tracking Table'!$BA316,'Performance Curves'!$D$1:$L$1,1)))/(INDEX('Performance Curves'!$D$1:$L$1,1,MATCH('BMP P Tracking Table'!$BA316,'Performance Curves'!$D$1:$L$1,1)+1)-INDEX('Performance Curves'!$D$1:$L$1,1,MATCH('BMP P Tracking Table'!$BA316,'Performance Curves'!$D$1:$L$1,1))),"")</f>
        <v/>
      </c>
      <c r="BD316" s="103" t="str" cm="1">
        <f t="array" ref="BD316">IFERROR(IF('BMP P Tracking Table'!$BA316=2,VLOOKUP(CONCATENATE('BMP P Tracking Table'!$AW316," ",'BMP P Tracking Table'!$AY316),'Performance Curves'!$C$1:$L$44,_xlfn.SINGLE(MATCH('BMP P Tracking Table'!$BA316,'Performance Curves'!$D$1:$L$1,1))+1,FALSE),'BMP P Tracking Table'!$BB316*'BMP P Tracking Table'!$BC316+VLOOKUP(CONCATENATE('BMP P Tracking Table'!$AW316," ",'BMP P Tracking Table'!$AY316),'Performance Curves'!$C$1:$L$44,_xlfn.SINGLE(MATCH('BMP P Tracking Table'!$BA316,'Performance Curves'!$D$1:$L$1,1))+1,FALSE)),"")</f>
        <v/>
      </c>
      <c r="BE316" s="104" t="str">
        <f>IFERROR('BMP P Tracking Table'!$BD316*'BMP P Tracking Table'!$AZ316,"")</f>
        <v/>
      </c>
      <c r="BF316" s="98"/>
      <c r="BG316" s="37">
        <f t="shared" si="38"/>
        <v>0</v>
      </c>
    </row>
    <row r="317" spans="2:59" s="36" customFormat="1">
      <c r="B317" s="65"/>
      <c r="C317" s="65"/>
      <c r="D317" s="65"/>
      <c r="E317" s="65"/>
      <c r="F317" s="94"/>
      <c r="G317" s="94"/>
      <c r="H317" s="65"/>
      <c r="I317" s="65"/>
      <c r="J317" s="65"/>
      <c r="K317" s="95"/>
      <c r="L317" s="65"/>
      <c r="M317" s="65"/>
      <c r="N317" s="65"/>
      <c r="O317" s="65"/>
      <c r="P317" s="65"/>
      <c r="Q317" s="65"/>
      <c r="R317" s="65" t="str">
        <f>IFERROR(VLOOKUP('BMP P Tracking Table'!$Q317,Dropdowns!$C$2:$E$15,3,FALSE),"")</f>
        <v/>
      </c>
      <c r="S317" s="65" t="str">
        <f>IFERROR(VLOOKUP('BMP P Tracking Table'!$R317,Dropdowns!$Q$3:$R$23,2,FALSE),"")</f>
        <v/>
      </c>
      <c r="T317" s="65"/>
      <c r="U317" s="65"/>
      <c r="V317" s="65"/>
      <c r="W317" s="65"/>
      <c r="X317" s="65"/>
      <c r="Y317" s="65"/>
      <c r="Z317" s="65"/>
      <c r="AA317" s="65"/>
      <c r="AB317" s="65"/>
      <c r="AC317" s="97"/>
      <c r="AD317" s="65"/>
      <c r="AE317" s="104" t="str">
        <f>IFERROR('BMP P Tracking Table'!$V317*VLOOKUP('BMP P Tracking Table'!$R317,'Loading Rates'!$B$1:$L$24,4,FALSE)+IF('BMP P Tracking Table'!$W317="By HSG",'BMP P Tracking Table'!$X317*VLOOKUP('BMP P Tracking Table'!$R317,'Loading Rates'!$B$1:$L$24,6,FALSE)+'BMP P Tracking Table'!$Y317*VLOOKUP('BMP P Tracking Table'!$R317,'Loading Rates'!$B$1:$L$24,7,FALSE)+'BMP P Tracking Table'!$Z317*VLOOKUP('BMP P Tracking Table'!$R317,'Loading Rates'!$B$1:$L$24,8,FALSE)+'BMP P Tracking Table'!$AA317*VLOOKUP('BMP P Tracking Table'!$R317,'Loading Rates'!$B$1:$L$24,9,FALSE),'BMP P Tracking Table'!$AB317*VLOOKUP('BMP P Tracking Table'!$R317,'Loading Rates'!$B$1:$L$24,10,FALSE)),"")</f>
        <v/>
      </c>
      <c r="AF317" s="104" t="str">
        <f>IFERROR(MIN(2,IF('BMP P Tracking Table'!$W317="Total Pervious",(-(3630*'BMP P Tracking Table'!$V317+20.691*'BMP P Tracking Table'!$AB317)+SQRT((3630*'BMP P Tracking Table'!$V317+20.691*'BMP P Tracking Table'!$AB317)^2-(4*(996.798*'BMP P Tracking Table'!$AB317)*-'BMP P Tracking Table'!$AC317)))/(2*(996.798*'BMP P Tracking Table'!$AB317)),IF(SUM('BMP P Tracking Table'!$X317:$AA317)=0,'BMP P Tracking Table'!$AC317/(-3630*'BMP P Tracking Table'!$V317),(-(3630*'BMP P Tracking Table'!$V317+20.691*'BMP P Tracking Table'!$AA317-216.711*'BMP P Tracking Table'!$Z317-83.853*'BMP P Tracking Table'!$Y317-42.834*'BMP P Tracking Table'!$X317)+SQRT((3630*'BMP P Tracking Table'!$V317+20.691*'BMP P Tracking Table'!$AA317-216.711*'BMP P Tracking Table'!$Z317-83.853*'BMP P Tracking Table'!$Y317-42.834*'BMP P Tracking Table'!$X317)^2-(4*(149.919*'BMP P Tracking Table'!$X317+236.676*'BMP P Tracking Table'!$Y317+726*'BMP P Tracking Table'!$Z317+996.798*'BMP P Tracking Table'!$AA317)*-'BMP P Tracking Table'!$AC317)))/(2*(149.919*'BMP P Tracking Table'!$X317+236.676*'BMP P Tracking Table'!$Y317+726*'BMP P Tracking Table'!$Z317+996.798*'BMP P Tracking Table'!$AA317))))),"")</f>
        <v/>
      </c>
      <c r="AG317" s="104" t="str">
        <f>IFERROR((VLOOKUP(CONCATENATE('BMP P Tracking Table'!$U317," ",'BMP P Tracking Table'!$AD317),'Performance Curves'!$C$1:$L$46,_xlfn.SINGLE(MATCH('BMP P Tracking Table'!$AF317,'Performance Curves'!$D$1:$L$1,1))+2,FALSE)-VLOOKUP(CONCATENATE('BMP P Tracking Table'!$U317," ",'BMP P Tracking Table'!$AD317),'Performance Curves'!$C$1:$L$46,_xlfn.SINGLE(MATCH('BMP P Tracking Table'!$AF317,'Performance Curves'!$D$1:$L$1,1))+1,FALSE)),"")</f>
        <v/>
      </c>
      <c r="AH317" s="104" t="str">
        <f>IFERROR(('BMP P Tracking Table'!$AF317-INDEX('Performance Curves'!$D$1:$L$1,1,MATCH('BMP P Tracking Table'!$AF317,'Performance Curves'!$D$1:$L$1,1)))/(INDEX('Performance Curves'!$D$1:$L$1,1,MATCH('BMP P Tracking Table'!$AF317,'Performance Curves'!$D$1:$L$1,1)+1)-INDEX('Performance Curves'!$D$1:$L$1,1,MATCH('BMP P Tracking Table'!$AF317,'Performance Curves'!$D$1:$L$1,1))),"")</f>
        <v/>
      </c>
      <c r="AI317" s="103" t="str">
        <f>IFERROR(IF('BMP P Tracking Table'!$AF317=2,VLOOKUP(CONCATENATE('BMP P Tracking Table'!$U317," ",'BMP P Tracking Table'!$AD317),'Performance Curves'!$C$1:$L$46,_xlfn.SINGLE(MATCH('BMP P Tracking Table'!$AF317,'Performance Curves'!$D$1:$L$1,1))+1,FALSE),'BMP P Tracking Table'!$AG317*'BMP P Tracking Table'!$AH317+VLOOKUP(CONCATENATE('BMP P Tracking Table'!$U317," ",'BMP P Tracking Table'!$AD317),'Performance Curves'!$C$1:$L$46,_xlfn.SINGLE(MATCH('BMP P Tracking Table'!$AF317,'Performance Curves'!$D$1:$L$1,1))+1,FALSE)),"")</f>
        <v/>
      </c>
      <c r="AJ317" s="104" t="str">
        <f>IFERROR('BMP P Tracking Table'!$AI317*'BMP P Tracking Table'!$AE317,"")</f>
        <v/>
      </c>
      <c r="AK317" s="65"/>
      <c r="AL317" s="98"/>
      <c r="AM317" s="98"/>
      <c r="AN317" s="64">
        <v>1</v>
      </c>
      <c r="AO317" s="102" t="str">
        <f t="shared" si="37"/>
        <v/>
      </c>
      <c r="AP317" s="98"/>
      <c r="AQ317" s="98"/>
      <c r="AR317" s="98"/>
      <c r="AS317" s="98"/>
      <c r="AT317" s="98"/>
      <c r="AU317" s="98"/>
      <c r="AV317" s="98"/>
      <c r="AW317" s="65"/>
      <c r="AX317" s="99"/>
      <c r="AY317" s="99"/>
      <c r="AZ317" s="104" t="str">
        <f>IF('BMP P Tracking Table'!$AL317="Yes",IF('BMP P Tracking Table'!$AM317="No",'BMP P Tracking Table'!$V317*VLOOKUP('BMP P Tracking Table'!$R317,'Loading Rates'!$B$1:$L$24,4,FALSE)+IF('BMP P Tracking Table'!$W317="By HSG",'BMP P Tracking Table'!$X317*VLOOKUP('BMP P Tracking Table'!$R317,'Loading Rates'!$B$1:$L$24,6,FALSE)+'BMP P Tracking Table'!$Y317*VLOOKUP('BMP P Tracking Table'!$R317,'Loading Rates'!$B$1:$L$24,7,FALSE)+'BMP P Tracking Table'!$Z317*VLOOKUP('BMP P Tracking Table'!$R317,'Loading Rates'!$B$1:$L$24,8,FALSE)+'BMP P Tracking Table'!$AA317*VLOOKUP('BMP P Tracking Table'!$R317,'Loading Rates'!$B$1:$L$24,9,FALSE),'BMP P Tracking Table'!$AB317*VLOOKUP('BMP P Tracking Table'!$R317,'Loading Rates'!$B$1:$L$24,10,FALSE)),'BMP P Tracking Table'!$AP317*VLOOKUP('BMP P Tracking Table'!$R317,'Loading Rates'!$B$1:$L$24,4,FALSE)+IF('BMP P Tracking Table'!$AQ317="By HSG",'BMP P Tracking Table'!$AR317*VLOOKUP('BMP P Tracking Table'!$R317,'Loading Rates'!$B$1:$L$24,6,FALSE)+'BMP P Tracking Table'!$AS317*VLOOKUP('BMP P Tracking Table'!$R317,'Loading Rates'!$B$1:$L$24,7,FALSE)+'BMP P Tracking Table'!$AT317*VLOOKUP('BMP P Tracking Table'!$R317,'Loading Rates'!$B$1:$L$24,8,FALSE)+'BMP P Tracking Table'!$AU317*VLOOKUP('BMP P Tracking Table'!$R317,'Loading Rates'!$B$1:$L$24,9,FALSE),'BMP P Tracking Table'!$AV317*VLOOKUP('BMP P Tracking Table'!$R317,'Loading Rates'!$B$1:$L$24,10,FALSE))),"")</f>
        <v/>
      </c>
      <c r="BA317" s="104" t="str">
        <f>IFERROR(IF('BMP P Tracking Table'!$AM317="Yes",MIN(2,IF('BMP P Tracking Table'!$AQ317="Total Pervious",(-(3630*'BMP P Tracking Table'!$AP317+20.691*'BMP P Tracking Table'!$AV317)+SQRT((3630*'BMP P Tracking Table'!$AP317+20.691*'BMP P Tracking Table'!$AV317)^2-(4*(996.798*'BMP P Tracking Table'!$AV317)*-'BMP P Tracking Table'!$AX317)))/(2*(996.798*'BMP P Tracking Table'!$AV317)),IF(SUM('BMP P Tracking Table'!$AR317:$AU317)=0,'BMP P Tracking Table'!$AV317/(-3630*'BMP P Tracking Table'!$AP317),(-(3630*'BMP P Tracking Table'!$AP317+20.691*'BMP P Tracking Table'!$AU317-216.711*'BMP P Tracking Table'!$AT317-83.853*'BMP P Tracking Table'!$AS317-42.834*'BMP P Tracking Table'!$AR317)+SQRT((3630*'BMP P Tracking Table'!$AP317+20.691*'BMP P Tracking Table'!$AU317-216.711*'BMP P Tracking Table'!$AT317-83.853*'BMP P Tracking Table'!$AS317-42.834*'BMP P Tracking Table'!$AR317)^2-(4*(149.919*'BMP P Tracking Table'!$AR317+236.676*'BMP P Tracking Table'!$AS317+726*'BMP P Tracking Table'!$AT317+996.798*'BMP P Tracking Table'!$AU317)*-'BMP P Tracking Table'!$AX317)))/(2*(149.919*'BMP P Tracking Table'!$AR317+236.676*'BMP P Tracking Table'!$AS317+726*'BMP P Tracking Table'!$AT317+996.798*'BMP P Tracking Table'!$AU317))))),MIN(2,IF('BMP P Tracking Table'!$AQ317="Total Pervious",(-(3630*'BMP P Tracking Table'!$V317+20.691*'BMP P Tracking Table'!$AB317)+SQRT((3630*'BMP P Tracking Table'!$V317+20.691*'BMP P Tracking Table'!$AB317)^2-(4*(996.798*'BMP P Tracking Table'!$AB317)*-'BMP P Tracking Table'!$AX317)))/(2*(996.798*'BMP P Tracking Table'!$AB317)),IF(SUM('BMP P Tracking Table'!$X317:$AA317)=0,'BMP P Tracking Table'!$AX317/(-3630*'BMP P Tracking Table'!$V317),(-(3630*'BMP P Tracking Table'!$V317+20.691*'BMP P Tracking Table'!$AA317-216.711*'BMP P Tracking Table'!$Z317-83.853*'BMP P Tracking Table'!$Y317-42.834*'BMP P Tracking Table'!$X317)+SQRT((3630*'BMP P Tracking Table'!$V317+20.691*'BMP P Tracking Table'!$AA317-216.711*'BMP P Tracking Table'!$Z317-83.853*'BMP P Tracking Table'!$Y317-42.834*'BMP P Tracking Table'!$X317)^2-(4*(149.919*'BMP P Tracking Table'!$X317+236.676*'BMP P Tracking Table'!$Y317+726*'BMP P Tracking Table'!$Z317+996.798*'BMP P Tracking Table'!$AA317)*-'BMP P Tracking Table'!$AX317)))/(2*(149.919*'BMP P Tracking Table'!$X317+236.676*'BMP P Tracking Table'!$Y317+726*'BMP P Tracking Table'!$Z317+996.798*'BMP P Tracking Table'!$AA317)))))),"")</f>
        <v/>
      </c>
      <c r="BB317" s="102" t="str">
        <f>IFERROR((VLOOKUP(CONCATENATE('BMP P Tracking Table'!$AW317," ",'BMP P Tracking Table'!$AY317),'Performance Curves'!$C$1:$L$46,_xlfn.SINGLE(MATCH('BMP P Tracking Table'!$BA317,'Performance Curves'!$D$1:$L$1,1))+2,FALSE)-VLOOKUP(CONCATENATE('BMP P Tracking Table'!$AW317," ",'BMP P Tracking Table'!$AY317),'Performance Curves'!$C$1:$L$46,_xlfn.SINGLE(MATCH('BMP P Tracking Table'!$BA317,'Performance Curves'!$D$1:$L$1,1))+1,FALSE)),"")</f>
        <v/>
      </c>
      <c r="BC317" s="102" t="str">
        <f>IFERROR(('BMP P Tracking Table'!$BA317-INDEX('Performance Curves'!$D$1:$L$1,1,MATCH('BMP P Tracking Table'!$BA317,'Performance Curves'!$D$1:$L$1,1)))/(INDEX('Performance Curves'!$D$1:$L$1,1,MATCH('BMP P Tracking Table'!$BA317,'Performance Curves'!$D$1:$L$1,1)+1)-INDEX('Performance Curves'!$D$1:$L$1,1,MATCH('BMP P Tracking Table'!$BA317,'Performance Curves'!$D$1:$L$1,1))),"")</f>
        <v/>
      </c>
      <c r="BD317" s="103" t="str" cm="1">
        <f t="array" ref="BD317">IFERROR(IF('BMP P Tracking Table'!$BA317=2,VLOOKUP(CONCATENATE('BMP P Tracking Table'!$AW317," ",'BMP P Tracking Table'!$AY317),'Performance Curves'!$C$1:$L$44,_xlfn.SINGLE(MATCH('BMP P Tracking Table'!$BA317,'Performance Curves'!$D$1:$L$1,1))+1,FALSE),'BMP P Tracking Table'!$BB317*'BMP P Tracking Table'!$BC317+VLOOKUP(CONCATENATE('BMP P Tracking Table'!$AW317," ",'BMP P Tracking Table'!$AY317),'Performance Curves'!$C$1:$L$44,_xlfn.SINGLE(MATCH('BMP P Tracking Table'!$BA317,'Performance Curves'!$D$1:$L$1,1))+1,FALSE)),"")</f>
        <v/>
      </c>
      <c r="BE317" s="104" t="str">
        <f>IFERROR('BMP P Tracking Table'!$BD317*'BMP P Tracking Table'!$AZ317,"")</f>
        <v/>
      </c>
      <c r="BF317" s="98"/>
      <c r="BG317" s="37">
        <f t="shared" si="38"/>
        <v>0</v>
      </c>
    </row>
    <row r="318" spans="2:59" s="36" customFormat="1">
      <c r="B318" s="65"/>
      <c r="C318" s="65"/>
      <c r="D318" s="65"/>
      <c r="E318" s="65"/>
      <c r="F318" s="94"/>
      <c r="G318" s="94"/>
      <c r="H318" s="65"/>
      <c r="I318" s="65"/>
      <c r="J318" s="65"/>
      <c r="K318" s="95"/>
      <c r="L318" s="65"/>
      <c r="M318" s="65"/>
      <c r="N318" s="65"/>
      <c r="O318" s="65"/>
      <c r="P318" s="65"/>
      <c r="Q318" s="65"/>
      <c r="R318" s="65" t="str">
        <f>IFERROR(VLOOKUP('BMP P Tracking Table'!$Q318,Dropdowns!$C$2:$E$15,3,FALSE),"")</f>
        <v/>
      </c>
      <c r="S318" s="65" t="str">
        <f>IFERROR(VLOOKUP('BMP P Tracking Table'!$R318,Dropdowns!$Q$3:$R$23,2,FALSE),"")</f>
        <v/>
      </c>
      <c r="T318" s="65"/>
      <c r="U318" s="65"/>
      <c r="V318" s="65"/>
      <c r="W318" s="65"/>
      <c r="X318" s="65"/>
      <c r="Y318" s="65"/>
      <c r="Z318" s="65"/>
      <c r="AA318" s="65"/>
      <c r="AB318" s="65"/>
      <c r="AC318" s="97"/>
      <c r="AD318" s="65"/>
      <c r="AE318" s="104" t="str">
        <f>IFERROR('BMP P Tracking Table'!$V318*VLOOKUP('BMP P Tracking Table'!$R318,'Loading Rates'!$B$1:$L$24,4,FALSE)+IF('BMP P Tracking Table'!$W318="By HSG",'BMP P Tracking Table'!$X318*VLOOKUP('BMP P Tracking Table'!$R318,'Loading Rates'!$B$1:$L$24,6,FALSE)+'BMP P Tracking Table'!$Y318*VLOOKUP('BMP P Tracking Table'!$R318,'Loading Rates'!$B$1:$L$24,7,FALSE)+'BMP P Tracking Table'!$Z318*VLOOKUP('BMP P Tracking Table'!$R318,'Loading Rates'!$B$1:$L$24,8,FALSE)+'BMP P Tracking Table'!$AA318*VLOOKUP('BMP P Tracking Table'!$R318,'Loading Rates'!$B$1:$L$24,9,FALSE),'BMP P Tracking Table'!$AB318*VLOOKUP('BMP P Tracking Table'!$R318,'Loading Rates'!$B$1:$L$24,10,FALSE)),"")</f>
        <v/>
      </c>
      <c r="AF318" s="104" t="str">
        <f>IFERROR(MIN(2,IF('BMP P Tracking Table'!$W318="Total Pervious",(-(3630*'BMP P Tracking Table'!$V318+20.691*'BMP P Tracking Table'!$AB318)+SQRT((3630*'BMP P Tracking Table'!$V318+20.691*'BMP P Tracking Table'!$AB318)^2-(4*(996.798*'BMP P Tracking Table'!$AB318)*-'BMP P Tracking Table'!$AC318)))/(2*(996.798*'BMP P Tracking Table'!$AB318)),IF(SUM('BMP P Tracking Table'!$X318:$AA318)=0,'BMP P Tracking Table'!$AC318/(-3630*'BMP P Tracking Table'!$V318),(-(3630*'BMP P Tracking Table'!$V318+20.691*'BMP P Tracking Table'!$AA318-216.711*'BMP P Tracking Table'!$Z318-83.853*'BMP P Tracking Table'!$Y318-42.834*'BMP P Tracking Table'!$X318)+SQRT((3630*'BMP P Tracking Table'!$V318+20.691*'BMP P Tracking Table'!$AA318-216.711*'BMP P Tracking Table'!$Z318-83.853*'BMP P Tracking Table'!$Y318-42.834*'BMP P Tracking Table'!$X318)^2-(4*(149.919*'BMP P Tracking Table'!$X318+236.676*'BMP P Tracking Table'!$Y318+726*'BMP P Tracking Table'!$Z318+996.798*'BMP P Tracking Table'!$AA318)*-'BMP P Tracking Table'!$AC318)))/(2*(149.919*'BMP P Tracking Table'!$X318+236.676*'BMP P Tracking Table'!$Y318+726*'BMP P Tracking Table'!$Z318+996.798*'BMP P Tracking Table'!$AA318))))),"")</f>
        <v/>
      </c>
      <c r="AG318" s="104" t="str">
        <f>IFERROR((VLOOKUP(CONCATENATE('BMP P Tracking Table'!$U318," ",'BMP P Tracking Table'!$AD318),'Performance Curves'!$C$1:$L$46,_xlfn.SINGLE(MATCH('BMP P Tracking Table'!$AF318,'Performance Curves'!$D$1:$L$1,1))+2,FALSE)-VLOOKUP(CONCATENATE('BMP P Tracking Table'!$U318," ",'BMP P Tracking Table'!$AD318),'Performance Curves'!$C$1:$L$46,_xlfn.SINGLE(MATCH('BMP P Tracking Table'!$AF318,'Performance Curves'!$D$1:$L$1,1))+1,FALSE)),"")</f>
        <v/>
      </c>
      <c r="AH318" s="104" t="str">
        <f>IFERROR(('BMP P Tracking Table'!$AF318-INDEX('Performance Curves'!$D$1:$L$1,1,MATCH('BMP P Tracking Table'!$AF318,'Performance Curves'!$D$1:$L$1,1)))/(INDEX('Performance Curves'!$D$1:$L$1,1,MATCH('BMP P Tracking Table'!$AF318,'Performance Curves'!$D$1:$L$1,1)+1)-INDEX('Performance Curves'!$D$1:$L$1,1,MATCH('BMP P Tracking Table'!$AF318,'Performance Curves'!$D$1:$L$1,1))),"")</f>
        <v/>
      </c>
      <c r="AI318" s="103" t="str">
        <f>IFERROR(IF('BMP P Tracking Table'!$AF318=2,VLOOKUP(CONCATENATE('BMP P Tracking Table'!$U318," ",'BMP P Tracking Table'!$AD318),'Performance Curves'!$C$1:$L$46,_xlfn.SINGLE(MATCH('BMP P Tracking Table'!$AF318,'Performance Curves'!$D$1:$L$1,1))+1,FALSE),'BMP P Tracking Table'!$AG318*'BMP P Tracking Table'!$AH318+VLOOKUP(CONCATENATE('BMP P Tracking Table'!$U318," ",'BMP P Tracking Table'!$AD318),'Performance Curves'!$C$1:$L$46,_xlfn.SINGLE(MATCH('BMP P Tracking Table'!$AF318,'Performance Curves'!$D$1:$L$1,1))+1,FALSE)),"")</f>
        <v/>
      </c>
      <c r="AJ318" s="104" t="str">
        <f>IFERROR('BMP P Tracking Table'!$AI318*'BMP P Tracking Table'!$AE318,"")</f>
        <v/>
      </c>
      <c r="AK318" s="65"/>
      <c r="AL318" s="98"/>
      <c r="AM318" s="98"/>
      <c r="AN318" s="64">
        <v>1</v>
      </c>
      <c r="AO318" s="102" t="str">
        <f t="shared" si="37"/>
        <v/>
      </c>
      <c r="AP318" s="98"/>
      <c r="AQ318" s="98"/>
      <c r="AR318" s="98"/>
      <c r="AS318" s="98"/>
      <c r="AT318" s="98"/>
      <c r="AU318" s="98"/>
      <c r="AV318" s="98"/>
      <c r="AW318" s="65"/>
      <c r="AX318" s="99"/>
      <c r="AY318" s="99"/>
      <c r="AZ318" s="104" t="str">
        <f>IF('BMP P Tracking Table'!$AL318="Yes",IF('BMP P Tracking Table'!$AM318="No",'BMP P Tracking Table'!$V318*VLOOKUP('BMP P Tracking Table'!$R318,'Loading Rates'!$B$1:$L$24,4,FALSE)+IF('BMP P Tracking Table'!$W318="By HSG",'BMP P Tracking Table'!$X318*VLOOKUP('BMP P Tracking Table'!$R318,'Loading Rates'!$B$1:$L$24,6,FALSE)+'BMP P Tracking Table'!$Y318*VLOOKUP('BMP P Tracking Table'!$R318,'Loading Rates'!$B$1:$L$24,7,FALSE)+'BMP P Tracking Table'!$Z318*VLOOKUP('BMP P Tracking Table'!$R318,'Loading Rates'!$B$1:$L$24,8,FALSE)+'BMP P Tracking Table'!$AA318*VLOOKUP('BMP P Tracking Table'!$R318,'Loading Rates'!$B$1:$L$24,9,FALSE),'BMP P Tracking Table'!$AB318*VLOOKUP('BMP P Tracking Table'!$R318,'Loading Rates'!$B$1:$L$24,10,FALSE)),'BMP P Tracking Table'!$AP318*VLOOKUP('BMP P Tracking Table'!$R318,'Loading Rates'!$B$1:$L$24,4,FALSE)+IF('BMP P Tracking Table'!$AQ318="By HSG",'BMP P Tracking Table'!$AR318*VLOOKUP('BMP P Tracking Table'!$R318,'Loading Rates'!$B$1:$L$24,6,FALSE)+'BMP P Tracking Table'!$AS318*VLOOKUP('BMP P Tracking Table'!$R318,'Loading Rates'!$B$1:$L$24,7,FALSE)+'BMP P Tracking Table'!$AT318*VLOOKUP('BMP P Tracking Table'!$R318,'Loading Rates'!$B$1:$L$24,8,FALSE)+'BMP P Tracking Table'!$AU318*VLOOKUP('BMP P Tracking Table'!$R318,'Loading Rates'!$B$1:$L$24,9,FALSE),'BMP P Tracking Table'!$AV318*VLOOKUP('BMP P Tracking Table'!$R318,'Loading Rates'!$B$1:$L$24,10,FALSE))),"")</f>
        <v/>
      </c>
      <c r="BA318" s="104" t="str">
        <f>IFERROR(IF('BMP P Tracking Table'!$AM318="Yes",MIN(2,IF('BMP P Tracking Table'!$AQ318="Total Pervious",(-(3630*'BMP P Tracking Table'!$AP318+20.691*'BMP P Tracking Table'!$AV318)+SQRT((3630*'BMP P Tracking Table'!$AP318+20.691*'BMP P Tracking Table'!$AV318)^2-(4*(996.798*'BMP P Tracking Table'!$AV318)*-'BMP P Tracking Table'!$AX318)))/(2*(996.798*'BMP P Tracking Table'!$AV318)),IF(SUM('BMP P Tracking Table'!$AR318:$AU318)=0,'BMP P Tracking Table'!$AV318/(-3630*'BMP P Tracking Table'!$AP318),(-(3630*'BMP P Tracking Table'!$AP318+20.691*'BMP P Tracking Table'!$AU318-216.711*'BMP P Tracking Table'!$AT318-83.853*'BMP P Tracking Table'!$AS318-42.834*'BMP P Tracking Table'!$AR318)+SQRT((3630*'BMP P Tracking Table'!$AP318+20.691*'BMP P Tracking Table'!$AU318-216.711*'BMP P Tracking Table'!$AT318-83.853*'BMP P Tracking Table'!$AS318-42.834*'BMP P Tracking Table'!$AR318)^2-(4*(149.919*'BMP P Tracking Table'!$AR318+236.676*'BMP P Tracking Table'!$AS318+726*'BMP P Tracking Table'!$AT318+996.798*'BMP P Tracking Table'!$AU318)*-'BMP P Tracking Table'!$AX318)))/(2*(149.919*'BMP P Tracking Table'!$AR318+236.676*'BMP P Tracking Table'!$AS318+726*'BMP P Tracking Table'!$AT318+996.798*'BMP P Tracking Table'!$AU318))))),MIN(2,IF('BMP P Tracking Table'!$AQ318="Total Pervious",(-(3630*'BMP P Tracking Table'!$V318+20.691*'BMP P Tracking Table'!$AB318)+SQRT((3630*'BMP P Tracking Table'!$V318+20.691*'BMP P Tracking Table'!$AB318)^2-(4*(996.798*'BMP P Tracking Table'!$AB318)*-'BMP P Tracking Table'!$AX318)))/(2*(996.798*'BMP P Tracking Table'!$AB318)),IF(SUM('BMP P Tracking Table'!$X318:$AA318)=0,'BMP P Tracking Table'!$AX318/(-3630*'BMP P Tracking Table'!$V318),(-(3630*'BMP P Tracking Table'!$V318+20.691*'BMP P Tracking Table'!$AA318-216.711*'BMP P Tracking Table'!$Z318-83.853*'BMP P Tracking Table'!$Y318-42.834*'BMP P Tracking Table'!$X318)+SQRT((3630*'BMP P Tracking Table'!$V318+20.691*'BMP P Tracking Table'!$AA318-216.711*'BMP P Tracking Table'!$Z318-83.853*'BMP P Tracking Table'!$Y318-42.834*'BMP P Tracking Table'!$X318)^2-(4*(149.919*'BMP P Tracking Table'!$X318+236.676*'BMP P Tracking Table'!$Y318+726*'BMP P Tracking Table'!$Z318+996.798*'BMP P Tracking Table'!$AA318)*-'BMP P Tracking Table'!$AX318)))/(2*(149.919*'BMP P Tracking Table'!$X318+236.676*'BMP P Tracking Table'!$Y318+726*'BMP P Tracking Table'!$Z318+996.798*'BMP P Tracking Table'!$AA318)))))),"")</f>
        <v/>
      </c>
      <c r="BB318" s="102" t="str">
        <f>IFERROR((VLOOKUP(CONCATENATE('BMP P Tracking Table'!$AW318," ",'BMP P Tracking Table'!$AY318),'Performance Curves'!$C$1:$L$46,_xlfn.SINGLE(MATCH('BMP P Tracking Table'!$BA318,'Performance Curves'!$D$1:$L$1,1))+2,FALSE)-VLOOKUP(CONCATENATE('BMP P Tracking Table'!$AW318," ",'BMP P Tracking Table'!$AY318),'Performance Curves'!$C$1:$L$46,_xlfn.SINGLE(MATCH('BMP P Tracking Table'!$BA318,'Performance Curves'!$D$1:$L$1,1))+1,FALSE)),"")</f>
        <v/>
      </c>
      <c r="BC318" s="102" t="str">
        <f>IFERROR(('BMP P Tracking Table'!$BA318-INDEX('Performance Curves'!$D$1:$L$1,1,MATCH('BMP P Tracking Table'!$BA318,'Performance Curves'!$D$1:$L$1,1)))/(INDEX('Performance Curves'!$D$1:$L$1,1,MATCH('BMP P Tracking Table'!$BA318,'Performance Curves'!$D$1:$L$1,1)+1)-INDEX('Performance Curves'!$D$1:$L$1,1,MATCH('BMP P Tracking Table'!$BA318,'Performance Curves'!$D$1:$L$1,1))),"")</f>
        <v/>
      </c>
      <c r="BD318" s="103" t="str" cm="1">
        <f t="array" ref="BD318">IFERROR(IF('BMP P Tracking Table'!$BA318=2,VLOOKUP(CONCATENATE('BMP P Tracking Table'!$AW318," ",'BMP P Tracking Table'!$AY318),'Performance Curves'!$C$1:$L$44,_xlfn.SINGLE(MATCH('BMP P Tracking Table'!$BA318,'Performance Curves'!$D$1:$L$1,1))+1,FALSE),'BMP P Tracking Table'!$BB318*'BMP P Tracking Table'!$BC318+VLOOKUP(CONCATENATE('BMP P Tracking Table'!$AW318," ",'BMP P Tracking Table'!$AY318),'Performance Curves'!$C$1:$L$44,_xlfn.SINGLE(MATCH('BMP P Tracking Table'!$BA318,'Performance Curves'!$D$1:$L$1,1))+1,FALSE)),"")</f>
        <v/>
      </c>
      <c r="BE318" s="104" t="str">
        <f>IFERROR('BMP P Tracking Table'!$BD318*'BMP P Tracking Table'!$AZ318,"")</f>
        <v/>
      </c>
      <c r="BF318" s="98"/>
      <c r="BG318" s="37">
        <f t="shared" si="38"/>
        <v>0</v>
      </c>
    </row>
    <row r="319" spans="2:59" s="36" customFormat="1">
      <c r="B319" s="65"/>
      <c r="C319" s="65"/>
      <c r="D319" s="65"/>
      <c r="E319" s="65"/>
      <c r="F319" s="94"/>
      <c r="G319" s="94"/>
      <c r="H319" s="65"/>
      <c r="I319" s="65"/>
      <c r="J319" s="65"/>
      <c r="K319" s="95"/>
      <c r="L319" s="65"/>
      <c r="M319" s="65"/>
      <c r="N319" s="65"/>
      <c r="O319" s="65"/>
      <c r="P319" s="65"/>
      <c r="Q319" s="65"/>
      <c r="R319" s="65" t="str">
        <f>IFERROR(VLOOKUP('BMP P Tracking Table'!$Q319,Dropdowns!$C$2:$E$15,3,FALSE),"")</f>
        <v/>
      </c>
      <c r="S319" s="65" t="str">
        <f>IFERROR(VLOOKUP('BMP P Tracking Table'!$R319,Dropdowns!$Q$3:$R$23,2,FALSE),"")</f>
        <v/>
      </c>
      <c r="T319" s="65"/>
      <c r="U319" s="65"/>
      <c r="V319" s="65"/>
      <c r="W319" s="65"/>
      <c r="X319" s="65"/>
      <c r="Y319" s="65"/>
      <c r="Z319" s="65"/>
      <c r="AA319" s="65"/>
      <c r="AB319" s="65"/>
      <c r="AC319" s="97"/>
      <c r="AD319" s="65"/>
      <c r="AE319" s="104" t="str">
        <f>IFERROR('BMP P Tracking Table'!$V319*VLOOKUP('BMP P Tracking Table'!$R319,'Loading Rates'!$B$1:$L$24,4,FALSE)+IF('BMP P Tracking Table'!$W319="By HSG",'BMP P Tracking Table'!$X319*VLOOKUP('BMP P Tracking Table'!$R319,'Loading Rates'!$B$1:$L$24,6,FALSE)+'BMP P Tracking Table'!$Y319*VLOOKUP('BMP P Tracking Table'!$R319,'Loading Rates'!$B$1:$L$24,7,FALSE)+'BMP P Tracking Table'!$Z319*VLOOKUP('BMP P Tracking Table'!$R319,'Loading Rates'!$B$1:$L$24,8,FALSE)+'BMP P Tracking Table'!$AA319*VLOOKUP('BMP P Tracking Table'!$R319,'Loading Rates'!$B$1:$L$24,9,FALSE),'BMP P Tracking Table'!$AB319*VLOOKUP('BMP P Tracking Table'!$R319,'Loading Rates'!$B$1:$L$24,10,FALSE)),"")</f>
        <v/>
      </c>
      <c r="AF319" s="104" t="str">
        <f>IFERROR(MIN(2,IF('BMP P Tracking Table'!$W319="Total Pervious",(-(3630*'BMP P Tracking Table'!$V319+20.691*'BMP P Tracking Table'!$AB319)+SQRT((3630*'BMP P Tracking Table'!$V319+20.691*'BMP P Tracking Table'!$AB319)^2-(4*(996.798*'BMP P Tracking Table'!$AB319)*-'BMP P Tracking Table'!$AC319)))/(2*(996.798*'BMP P Tracking Table'!$AB319)),IF(SUM('BMP P Tracking Table'!$X319:$AA319)=0,'BMP P Tracking Table'!$AC319/(-3630*'BMP P Tracking Table'!$V319),(-(3630*'BMP P Tracking Table'!$V319+20.691*'BMP P Tracking Table'!$AA319-216.711*'BMP P Tracking Table'!$Z319-83.853*'BMP P Tracking Table'!$Y319-42.834*'BMP P Tracking Table'!$X319)+SQRT((3630*'BMP P Tracking Table'!$V319+20.691*'BMP P Tracking Table'!$AA319-216.711*'BMP P Tracking Table'!$Z319-83.853*'BMP P Tracking Table'!$Y319-42.834*'BMP P Tracking Table'!$X319)^2-(4*(149.919*'BMP P Tracking Table'!$X319+236.676*'BMP P Tracking Table'!$Y319+726*'BMP P Tracking Table'!$Z319+996.798*'BMP P Tracking Table'!$AA319)*-'BMP P Tracking Table'!$AC319)))/(2*(149.919*'BMP P Tracking Table'!$X319+236.676*'BMP P Tracking Table'!$Y319+726*'BMP P Tracking Table'!$Z319+996.798*'BMP P Tracking Table'!$AA319))))),"")</f>
        <v/>
      </c>
      <c r="AG319" s="104" t="str">
        <f>IFERROR((VLOOKUP(CONCATENATE('BMP P Tracking Table'!$U319," ",'BMP P Tracking Table'!$AD319),'Performance Curves'!$C$1:$L$46,_xlfn.SINGLE(MATCH('BMP P Tracking Table'!$AF319,'Performance Curves'!$D$1:$L$1,1))+2,FALSE)-VLOOKUP(CONCATENATE('BMP P Tracking Table'!$U319," ",'BMP P Tracking Table'!$AD319),'Performance Curves'!$C$1:$L$46,_xlfn.SINGLE(MATCH('BMP P Tracking Table'!$AF319,'Performance Curves'!$D$1:$L$1,1))+1,FALSE)),"")</f>
        <v/>
      </c>
      <c r="AH319" s="104" t="str">
        <f>IFERROR(('BMP P Tracking Table'!$AF319-INDEX('Performance Curves'!$D$1:$L$1,1,MATCH('BMP P Tracking Table'!$AF319,'Performance Curves'!$D$1:$L$1,1)))/(INDEX('Performance Curves'!$D$1:$L$1,1,MATCH('BMP P Tracking Table'!$AF319,'Performance Curves'!$D$1:$L$1,1)+1)-INDEX('Performance Curves'!$D$1:$L$1,1,MATCH('BMP P Tracking Table'!$AF319,'Performance Curves'!$D$1:$L$1,1))),"")</f>
        <v/>
      </c>
      <c r="AI319" s="103" t="str">
        <f>IFERROR(IF('BMP P Tracking Table'!$AF319=2,VLOOKUP(CONCATENATE('BMP P Tracking Table'!$U319," ",'BMP P Tracking Table'!$AD319),'Performance Curves'!$C$1:$L$46,_xlfn.SINGLE(MATCH('BMP P Tracking Table'!$AF319,'Performance Curves'!$D$1:$L$1,1))+1,FALSE),'BMP P Tracking Table'!$AG319*'BMP P Tracking Table'!$AH319+VLOOKUP(CONCATENATE('BMP P Tracking Table'!$U319," ",'BMP P Tracking Table'!$AD319),'Performance Curves'!$C$1:$L$46,_xlfn.SINGLE(MATCH('BMP P Tracking Table'!$AF319,'Performance Curves'!$D$1:$L$1,1))+1,FALSE)),"")</f>
        <v/>
      </c>
      <c r="AJ319" s="104" t="str">
        <f>IFERROR('BMP P Tracking Table'!$AI319*'BMP P Tracking Table'!$AE319,"")</f>
        <v/>
      </c>
      <c r="AK319" s="65"/>
      <c r="AL319" s="98"/>
      <c r="AM319" s="98"/>
      <c r="AN319" s="64">
        <v>1</v>
      </c>
      <c r="AO319" s="102" t="str">
        <f t="shared" si="37"/>
        <v/>
      </c>
      <c r="AP319" s="98"/>
      <c r="AQ319" s="98"/>
      <c r="AR319" s="98"/>
      <c r="AS319" s="98"/>
      <c r="AT319" s="98"/>
      <c r="AU319" s="98"/>
      <c r="AV319" s="98"/>
      <c r="AW319" s="65"/>
      <c r="AX319" s="99"/>
      <c r="AY319" s="99"/>
      <c r="AZ319" s="104" t="str">
        <f>IF('BMP P Tracking Table'!$AL319="Yes",IF('BMP P Tracking Table'!$AM319="No",'BMP P Tracking Table'!$V319*VLOOKUP('BMP P Tracking Table'!$R319,'Loading Rates'!$B$1:$L$24,4,FALSE)+IF('BMP P Tracking Table'!$W319="By HSG",'BMP P Tracking Table'!$X319*VLOOKUP('BMP P Tracking Table'!$R319,'Loading Rates'!$B$1:$L$24,6,FALSE)+'BMP P Tracking Table'!$Y319*VLOOKUP('BMP P Tracking Table'!$R319,'Loading Rates'!$B$1:$L$24,7,FALSE)+'BMP P Tracking Table'!$Z319*VLOOKUP('BMP P Tracking Table'!$R319,'Loading Rates'!$B$1:$L$24,8,FALSE)+'BMP P Tracking Table'!$AA319*VLOOKUP('BMP P Tracking Table'!$R319,'Loading Rates'!$B$1:$L$24,9,FALSE),'BMP P Tracking Table'!$AB319*VLOOKUP('BMP P Tracking Table'!$R319,'Loading Rates'!$B$1:$L$24,10,FALSE)),'BMP P Tracking Table'!$AP319*VLOOKUP('BMP P Tracking Table'!$R319,'Loading Rates'!$B$1:$L$24,4,FALSE)+IF('BMP P Tracking Table'!$AQ319="By HSG",'BMP P Tracking Table'!$AR319*VLOOKUP('BMP P Tracking Table'!$R319,'Loading Rates'!$B$1:$L$24,6,FALSE)+'BMP P Tracking Table'!$AS319*VLOOKUP('BMP P Tracking Table'!$R319,'Loading Rates'!$B$1:$L$24,7,FALSE)+'BMP P Tracking Table'!$AT319*VLOOKUP('BMP P Tracking Table'!$R319,'Loading Rates'!$B$1:$L$24,8,FALSE)+'BMP P Tracking Table'!$AU319*VLOOKUP('BMP P Tracking Table'!$R319,'Loading Rates'!$B$1:$L$24,9,FALSE),'BMP P Tracking Table'!$AV319*VLOOKUP('BMP P Tracking Table'!$R319,'Loading Rates'!$B$1:$L$24,10,FALSE))),"")</f>
        <v/>
      </c>
      <c r="BA319" s="104" t="str">
        <f>IFERROR(IF('BMP P Tracking Table'!$AM319="Yes",MIN(2,IF('BMP P Tracking Table'!$AQ319="Total Pervious",(-(3630*'BMP P Tracking Table'!$AP319+20.691*'BMP P Tracking Table'!$AV319)+SQRT((3630*'BMP P Tracking Table'!$AP319+20.691*'BMP P Tracking Table'!$AV319)^2-(4*(996.798*'BMP P Tracking Table'!$AV319)*-'BMP P Tracking Table'!$AX319)))/(2*(996.798*'BMP P Tracking Table'!$AV319)),IF(SUM('BMP P Tracking Table'!$AR319:$AU319)=0,'BMP P Tracking Table'!$AV319/(-3630*'BMP P Tracking Table'!$AP319),(-(3630*'BMP P Tracking Table'!$AP319+20.691*'BMP P Tracking Table'!$AU319-216.711*'BMP P Tracking Table'!$AT319-83.853*'BMP P Tracking Table'!$AS319-42.834*'BMP P Tracking Table'!$AR319)+SQRT((3630*'BMP P Tracking Table'!$AP319+20.691*'BMP P Tracking Table'!$AU319-216.711*'BMP P Tracking Table'!$AT319-83.853*'BMP P Tracking Table'!$AS319-42.834*'BMP P Tracking Table'!$AR319)^2-(4*(149.919*'BMP P Tracking Table'!$AR319+236.676*'BMP P Tracking Table'!$AS319+726*'BMP P Tracking Table'!$AT319+996.798*'BMP P Tracking Table'!$AU319)*-'BMP P Tracking Table'!$AX319)))/(2*(149.919*'BMP P Tracking Table'!$AR319+236.676*'BMP P Tracking Table'!$AS319+726*'BMP P Tracking Table'!$AT319+996.798*'BMP P Tracking Table'!$AU319))))),MIN(2,IF('BMP P Tracking Table'!$AQ319="Total Pervious",(-(3630*'BMP P Tracking Table'!$V319+20.691*'BMP P Tracking Table'!$AB319)+SQRT((3630*'BMP P Tracking Table'!$V319+20.691*'BMP P Tracking Table'!$AB319)^2-(4*(996.798*'BMP P Tracking Table'!$AB319)*-'BMP P Tracking Table'!$AX319)))/(2*(996.798*'BMP P Tracking Table'!$AB319)),IF(SUM('BMP P Tracking Table'!$X319:$AA319)=0,'BMP P Tracking Table'!$AX319/(-3630*'BMP P Tracking Table'!$V319),(-(3630*'BMP P Tracking Table'!$V319+20.691*'BMP P Tracking Table'!$AA319-216.711*'BMP P Tracking Table'!$Z319-83.853*'BMP P Tracking Table'!$Y319-42.834*'BMP P Tracking Table'!$X319)+SQRT((3630*'BMP P Tracking Table'!$V319+20.691*'BMP P Tracking Table'!$AA319-216.711*'BMP P Tracking Table'!$Z319-83.853*'BMP P Tracking Table'!$Y319-42.834*'BMP P Tracking Table'!$X319)^2-(4*(149.919*'BMP P Tracking Table'!$X319+236.676*'BMP P Tracking Table'!$Y319+726*'BMP P Tracking Table'!$Z319+996.798*'BMP P Tracking Table'!$AA319)*-'BMP P Tracking Table'!$AX319)))/(2*(149.919*'BMP P Tracking Table'!$X319+236.676*'BMP P Tracking Table'!$Y319+726*'BMP P Tracking Table'!$Z319+996.798*'BMP P Tracking Table'!$AA319)))))),"")</f>
        <v/>
      </c>
      <c r="BB319" s="102" t="str">
        <f>IFERROR((VLOOKUP(CONCATENATE('BMP P Tracking Table'!$AW319," ",'BMP P Tracking Table'!$AY319),'Performance Curves'!$C$1:$L$46,_xlfn.SINGLE(MATCH('BMP P Tracking Table'!$BA319,'Performance Curves'!$D$1:$L$1,1))+2,FALSE)-VLOOKUP(CONCATENATE('BMP P Tracking Table'!$AW319," ",'BMP P Tracking Table'!$AY319),'Performance Curves'!$C$1:$L$46,_xlfn.SINGLE(MATCH('BMP P Tracking Table'!$BA319,'Performance Curves'!$D$1:$L$1,1))+1,FALSE)),"")</f>
        <v/>
      </c>
      <c r="BC319" s="102" t="str">
        <f>IFERROR(('BMP P Tracking Table'!$BA319-INDEX('Performance Curves'!$D$1:$L$1,1,MATCH('BMP P Tracking Table'!$BA319,'Performance Curves'!$D$1:$L$1,1)))/(INDEX('Performance Curves'!$D$1:$L$1,1,MATCH('BMP P Tracking Table'!$BA319,'Performance Curves'!$D$1:$L$1,1)+1)-INDEX('Performance Curves'!$D$1:$L$1,1,MATCH('BMP P Tracking Table'!$BA319,'Performance Curves'!$D$1:$L$1,1))),"")</f>
        <v/>
      </c>
      <c r="BD319" s="103" t="str" cm="1">
        <f t="array" ref="BD319">IFERROR(IF('BMP P Tracking Table'!$BA319=2,VLOOKUP(CONCATENATE('BMP P Tracking Table'!$AW319," ",'BMP P Tracking Table'!$AY319),'Performance Curves'!$C$1:$L$44,_xlfn.SINGLE(MATCH('BMP P Tracking Table'!$BA319,'Performance Curves'!$D$1:$L$1,1))+1,FALSE),'BMP P Tracking Table'!$BB319*'BMP P Tracking Table'!$BC319+VLOOKUP(CONCATENATE('BMP P Tracking Table'!$AW319," ",'BMP P Tracking Table'!$AY319),'Performance Curves'!$C$1:$L$44,_xlfn.SINGLE(MATCH('BMP P Tracking Table'!$BA319,'Performance Curves'!$D$1:$L$1,1))+1,FALSE)),"")</f>
        <v/>
      </c>
      <c r="BE319" s="104" t="str">
        <f>IFERROR('BMP P Tracking Table'!$BD319*'BMP P Tracking Table'!$AZ319,"")</f>
        <v/>
      </c>
      <c r="BF319" s="98"/>
      <c r="BG319" s="37">
        <f t="shared" si="38"/>
        <v>0</v>
      </c>
    </row>
    <row r="320" spans="2:59" s="36" customFormat="1">
      <c r="B320" s="65"/>
      <c r="C320" s="65"/>
      <c r="D320" s="65"/>
      <c r="E320" s="65"/>
      <c r="F320" s="94"/>
      <c r="G320" s="94"/>
      <c r="H320" s="65"/>
      <c r="I320" s="65"/>
      <c r="J320" s="65"/>
      <c r="K320" s="95"/>
      <c r="L320" s="65"/>
      <c r="M320" s="65"/>
      <c r="N320" s="65"/>
      <c r="O320" s="65"/>
      <c r="P320" s="65"/>
      <c r="Q320" s="65"/>
      <c r="R320" s="65" t="str">
        <f>IFERROR(VLOOKUP('BMP P Tracking Table'!$Q320,Dropdowns!$C$2:$E$15,3,FALSE),"")</f>
        <v/>
      </c>
      <c r="S320" s="65" t="str">
        <f>IFERROR(VLOOKUP('BMP P Tracking Table'!$R320,Dropdowns!$Q$3:$R$23,2,FALSE),"")</f>
        <v/>
      </c>
      <c r="T320" s="65"/>
      <c r="U320" s="65"/>
      <c r="V320" s="65"/>
      <c r="W320" s="65"/>
      <c r="X320" s="65"/>
      <c r="Y320" s="65"/>
      <c r="Z320" s="65"/>
      <c r="AA320" s="65"/>
      <c r="AB320" s="65"/>
      <c r="AC320" s="97"/>
      <c r="AD320" s="65"/>
      <c r="AE320" s="104" t="str">
        <f>IFERROR('BMP P Tracking Table'!$V320*VLOOKUP('BMP P Tracking Table'!$R320,'Loading Rates'!$B$1:$L$24,4,FALSE)+IF('BMP P Tracking Table'!$W320="By HSG",'BMP P Tracking Table'!$X320*VLOOKUP('BMP P Tracking Table'!$R320,'Loading Rates'!$B$1:$L$24,6,FALSE)+'BMP P Tracking Table'!$Y320*VLOOKUP('BMP P Tracking Table'!$R320,'Loading Rates'!$B$1:$L$24,7,FALSE)+'BMP P Tracking Table'!$Z320*VLOOKUP('BMP P Tracking Table'!$R320,'Loading Rates'!$B$1:$L$24,8,FALSE)+'BMP P Tracking Table'!$AA320*VLOOKUP('BMP P Tracking Table'!$R320,'Loading Rates'!$B$1:$L$24,9,FALSE),'BMP P Tracking Table'!$AB320*VLOOKUP('BMP P Tracking Table'!$R320,'Loading Rates'!$B$1:$L$24,10,FALSE)),"")</f>
        <v/>
      </c>
      <c r="AF320" s="104" t="str">
        <f>IFERROR(MIN(2,IF('BMP P Tracking Table'!$W320="Total Pervious",(-(3630*'BMP P Tracking Table'!$V320+20.691*'BMP P Tracking Table'!$AB320)+SQRT((3630*'BMP P Tracking Table'!$V320+20.691*'BMP P Tracking Table'!$AB320)^2-(4*(996.798*'BMP P Tracking Table'!$AB320)*-'BMP P Tracking Table'!$AC320)))/(2*(996.798*'BMP P Tracking Table'!$AB320)),IF(SUM('BMP P Tracking Table'!$X320:$AA320)=0,'BMP P Tracking Table'!$AC320/(-3630*'BMP P Tracking Table'!$V320),(-(3630*'BMP P Tracking Table'!$V320+20.691*'BMP P Tracking Table'!$AA320-216.711*'BMP P Tracking Table'!$Z320-83.853*'BMP P Tracking Table'!$Y320-42.834*'BMP P Tracking Table'!$X320)+SQRT((3630*'BMP P Tracking Table'!$V320+20.691*'BMP P Tracking Table'!$AA320-216.711*'BMP P Tracking Table'!$Z320-83.853*'BMP P Tracking Table'!$Y320-42.834*'BMP P Tracking Table'!$X320)^2-(4*(149.919*'BMP P Tracking Table'!$X320+236.676*'BMP P Tracking Table'!$Y320+726*'BMP P Tracking Table'!$Z320+996.798*'BMP P Tracking Table'!$AA320)*-'BMP P Tracking Table'!$AC320)))/(2*(149.919*'BMP P Tracking Table'!$X320+236.676*'BMP P Tracking Table'!$Y320+726*'BMP P Tracking Table'!$Z320+996.798*'BMP P Tracking Table'!$AA320))))),"")</f>
        <v/>
      </c>
      <c r="AG320" s="104" t="str">
        <f>IFERROR((VLOOKUP(CONCATENATE('BMP P Tracking Table'!$U320," ",'BMP P Tracking Table'!$AD320),'Performance Curves'!$C$1:$L$46,_xlfn.SINGLE(MATCH('BMP P Tracking Table'!$AF320,'Performance Curves'!$D$1:$L$1,1))+2,FALSE)-VLOOKUP(CONCATENATE('BMP P Tracking Table'!$U320," ",'BMP P Tracking Table'!$AD320),'Performance Curves'!$C$1:$L$46,_xlfn.SINGLE(MATCH('BMP P Tracking Table'!$AF320,'Performance Curves'!$D$1:$L$1,1))+1,FALSE)),"")</f>
        <v/>
      </c>
      <c r="AH320" s="104" t="str">
        <f>IFERROR(('BMP P Tracking Table'!$AF320-INDEX('Performance Curves'!$D$1:$L$1,1,MATCH('BMP P Tracking Table'!$AF320,'Performance Curves'!$D$1:$L$1,1)))/(INDEX('Performance Curves'!$D$1:$L$1,1,MATCH('BMP P Tracking Table'!$AF320,'Performance Curves'!$D$1:$L$1,1)+1)-INDEX('Performance Curves'!$D$1:$L$1,1,MATCH('BMP P Tracking Table'!$AF320,'Performance Curves'!$D$1:$L$1,1))),"")</f>
        <v/>
      </c>
      <c r="AI320" s="103" t="str">
        <f>IFERROR(IF('BMP P Tracking Table'!$AF320=2,VLOOKUP(CONCATENATE('BMP P Tracking Table'!$U320," ",'BMP P Tracking Table'!$AD320),'Performance Curves'!$C$1:$L$46,_xlfn.SINGLE(MATCH('BMP P Tracking Table'!$AF320,'Performance Curves'!$D$1:$L$1,1))+1,FALSE),'BMP P Tracking Table'!$AG320*'BMP P Tracking Table'!$AH320+VLOOKUP(CONCATENATE('BMP P Tracking Table'!$U320," ",'BMP P Tracking Table'!$AD320),'Performance Curves'!$C$1:$L$46,_xlfn.SINGLE(MATCH('BMP P Tracking Table'!$AF320,'Performance Curves'!$D$1:$L$1,1))+1,FALSE)),"")</f>
        <v/>
      </c>
      <c r="AJ320" s="104" t="str">
        <f>IFERROR('BMP P Tracking Table'!$AI320*'BMP P Tracking Table'!$AE320,"")</f>
        <v/>
      </c>
      <c r="AK320" s="65"/>
      <c r="AL320" s="98"/>
      <c r="AM320" s="98"/>
      <c r="AN320" s="64">
        <v>1</v>
      </c>
      <c r="AO320" s="102" t="str">
        <f t="shared" si="37"/>
        <v/>
      </c>
      <c r="AP320" s="98"/>
      <c r="AQ320" s="98"/>
      <c r="AR320" s="98"/>
      <c r="AS320" s="98"/>
      <c r="AT320" s="98"/>
      <c r="AU320" s="98"/>
      <c r="AV320" s="98"/>
      <c r="AW320" s="65"/>
      <c r="AX320" s="99"/>
      <c r="AY320" s="99"/>
      <c r="AZ320" s="104" t="str">
        <f>IF('BMP P Tracking Table'!$AL320="Yes",IF('BMP P Tracking Table'!$AM320="No",'BMP P Tracking Table'!$V320*VLOOKUP('BMP P Tracking Table'!$R320,'Loading Rates'!$B$1:$L$24,4,FALSE)+IF('BMP P Tracking Table'!$W320="By HSG",'BMP P Tracking Table'!$X320*VLOOKUP('BMP P Tracking Table'!$R320,'Loading Rates'!$B$1:$L$24,6,FALSE)+'BMP P Tracking Table'!$Y320*VLOOKUP('BMP P Tracking Table'!$R320,'Loading Rates'!$B$1:$L$24,7,FALSE)+'BMP P Tracking Table'!$Z320*VLOOKUP('BMP P Tracking Table'!$R320,'Loading Rates'!$B$1:$L$24,8,FALSE)+'BMP P Tracking Table'!$AA320*VLOOKUP('BMP P Tracking Table'!$R320,'Loading Rates'!$B$1:$L$24,9,FALSE),'BMP P Tracking Table'!$AB320*VLOOKUP('BMP P Tracking Table'!$R320,'Loading Rates'!$B$1:$L$24,10,FALSE)),'BMP P Tracking Table'!$AP320*VLOOKUP('BMP P Tracking Table'!$R320,'Loading Rates'!$B$1:$L$24,4,FALSE)+IF('BMP P Tracking Table'!$AQ320="By HSG",'BMP P Tracking Table'!$AR320*VLOOKUP('BMP P Tracking Table'!$R320,'Loading Rates'!$B$1:$L$24,6,FALSE)+'BMP P Tracking Table'!$AS320*VLOOKUP('BMP P Tracking Table'!$R320,'Loading Rates'!$B$1:$L$24,7,FALSE)+'BMP P Tracking Table'!$AT320*VLOOKUP('BMP P Tracking Table'!$R320,'Loading Rates'!$B$1:$L$24,8,FALSE)+'BMP P Tracking Table'!$AU320*VLOOKUP('BMP P Tracking Table'!$R320,'Loading Rates'!$B$1:$L$24,9,FALSE),'BMP P Tracking Table'!$AV320*VLOOKUP('BMP P Tracking Table'!$R320,'Loading Rates'!$B$1:$L$24,10,FALSE))),"")</f>
        <v/>
      </c>
      <c r="BA320" s="104" t="str">
        <f>IFERROR(IF('BMP P Tracking Table'!$AM320="Yes",MIN(2,IF('BMP P Tracking Table'!$AQ320="Total Pervious",(-(3630*'BMP P Tracking Table'!$AP320+20.691*'BMP P Tracking Table'!$AV320)+SQRT((3630*'BMP P Tracking Table'!$AP320+20.691*'BMP P Tracking Table'!$AV320)^2-(4*(996.798*'BMP P Tracking Table'!$AV320)*-'BMP P Tracking Table'!$AX320)))/(2*(996.798*'BMP P Tracking Table'!$AV320)),IF(SUM('BMP P Tracking Table'!$AR320:$AU320)=0,'BMP P Tracking Table'!$AV320/(-3630*'BMP P Tracking Table'!$AP320),(-(3630*'BMP P Tracking Table'!$AP320+20.691*'BMP P Tracking Table'!$AU320-216.711*'BMP P Tracking Table'!$AT320-83.853*'BMP P Tracking Table'!$AS320-42.834*'BMP P Tracking Table'!$AR320)+SQRT((3630*'BMP P Tracking Table'!$AP320+20.691*'BMP P Tracking Table'!$AU320-216.711*'BMP P Tracking Table'!$AT320-83.853*'BMP P Tracking Table'!$AS320-42.834*'BMP P Tracking Table'!$AR320)^2-(4*(149.919*'BMP P Tracking Table'!$AR320+236.676*'BMP P Tracking Table'!$AS320+726*'BMP P Tracking Table'!$AT320+996.798*'BMP P Tracking Table'!$AU320)*-'BMP P Tracking Table'!$AX320)))/(2*(149.919*'BMP P Tracking Table'!$AR320+236.676*'BMP P Tracking Table'!$AS320+726*'BMP P Tracking Table'!$AT320+996.798*'BMP P Tracking Table'!$AU320))))),MIN(2,IF('BMP P Tracking Table'!$AQ320="Total Pervious",(-(3630*'BMP P Tracking Table'!$V320+20.691*'BMP P Tracking Table'!$AB320)+SQRT((3630*'BMP P Tracking Table'!$V320+20.691*'BMP P Tracking Table'!$AB320)^2-(4*(996.798*'BMP P Tracking Table'!$AB320)*-'BMP P Tracking Table'!$AX320)))/(2*(996.798*'BMP P Tracking Table'!$AB320)),IF(SUM('BMP P Tracking Table'!$X320:$AA320)=0,'BMP P Tracking Table'!$AX320/(-3630*'BMP P Tracking Table'!$V320),(-(3630*'BMP P Tracking Table'!$V320+20.691*'BMP P Tracking Table'!$AA320-216.711*'BMP P Tracking Table'!$Z320-83.853*'BMP P Tracking Table'!$Y320-42.834*'BMP P Tracking Table'!$X320)+SQRT((3630*'BMP P Tracking Table'!$V320+20.691*'BMP P Tracking Table'!$AA320-216.711*'BMP P Tracking Table'!$Z320-83.853*'BMP P Tracking Table'!$Y320-42.834*'BMP P Tracking Table'!$X320)^2-(4*(149.919*'BMP P Tracking Table'!$X320+236.676*'BMP P Tracking Table'!$Y320+726*'BMP P Tracking Table'!$Z320+996.798*'BMP P Tracking Table'!$AA320)*-'BMP P Tracking Table'!$AX320)))/(2*(149.919*'BMP P Tracking Table'!$X320+236.676*'BMP P Tracking Table'!$Y320+726*'BMP P Tracking Table'!$Z320+996.798*'BMP P Tracking Table'!$AA320)))))),"")</f>
        <v/>
      </c>
      <c r="BB320" s="102" t="str">
        <f>IFERROR((VLOOKUP(CONCATENATE('BMP P Tracking Table'!$AW320," ",'BMP P Tracking Table'!$AY320),'Performance Curves'!$C$1:$L$46,_xlfn.SINGLE(MATCH('BMP P Tracking Table'!$BA320,'Performance Curves'!$D$1:$L$1,1))+2,FALSE)-VLOOKUP(CONCATENATE('BMP P Tracking Table'!$AW320," ",'BMP P Tracking Table'!$AY320),'Performance Curves'!$C$1:$L$46,_xlfn.SINGLE(MATCH('BMP P Tracking Table'!$BA320,'Performance Curves'!$D$1:$L$1,1))+1,FALSE)),"")</f>
        <v/>
      </c>
      <c r="BC320" s="102" t="str">
        <f>IFERROR(('BMP P Tracking Table'!$BA320-INDEX('Performance Curves'!$D$1:$L$1,1,MATCH('BMP P Tracking Table'!$BA320,'Performance Curves'!$D$1:$L$1,1)))/(INDEX('Performance Curves'!$D$1:$L$1,1,MATCH('BMP P Tracking Table'!$BA320,'Performance Curves'!$D$1:$L$1,1)+1)-INDEX('Performance Curves'!$D$1:$L$1,1,MATCH('BMP P Tracking Table'!$BA320,'Performance Curves'!$D$1:$L$1,1))),"")</f>
        <v/>
      </c>
      <c r="BD320" s="103" t="str" cm="1">
        <f t="array" ref="BD320">IFERROR(IF('BMP P Tracking Table'!$BA320=2,VLOOKUP(CONCATENATE('BMP P Tracking Table'!$AW320," ",'BMP P Tracking Table'!$AY320),'Performance Curves'!$C$1:$L$44,_xlfn.SINGLE(MATCH('BMP P Tracking Table'!$BA320,'Performance Curves'!$D$1:$L$1,1))+1,FALSE),'BMP P Tracking Table'!$BB320*'BMP P Tracking Table'!$BC320+VLOOKUP(CONCATENATE('BMP P Tracking Table'!$AW320," ",'BMP P Tracking Table'!$AY320),'Performance Curves'!$C$1:$L$44,_xlfn.SINGLE(MATCH('BMP P Tracking Table'!$BA320,'Performance Curves'!$D$1:$L$1,1))+1,FALSE)),"")</f>
        <v/>
      </c>
      <c r="BE320" s="104" t="str">
        <f>IFERROR('BMP P Tracking Table'!$BD320*'BMP P Tracking Table'!$AZ320,"")</f>
        <v/>
      </c>
      <c r="BF320" s="98"/>
      <c r="BG320" s="37">
        <f t="shared" si="38"/>
        <v>0</v>
      </c>
    </row>
    <row r="321" spans="2:59" s="36" customFormat="1">
      <c r="B321" s="65"/>
      <c r="C321" s="65"/>
      <c r="D321" s="65"/>
      <c r="E321" s="65"/>
      <c r="F321" s="94"/>
      <c r="G321" s="94"/>
      <c r="H321" s="65"/>
      <c r="I321" s="65"/>
      <c r="J321" s="65"/>
      <c r="K321" s="95"/>
      <c r="L321" s="65"/>
      <c r="M321" s="65"/>
      <c r="N321" s="65"/>
      <c r="O321" s="65"/>
      <c r="P321" s="65"/>
      <c r="Q321" s="65"/>
      <c r="R321" s="65" t="str">
        <f>IFERROR(VLOOKUP('BMP P Tracking Table'!$Q321,Dropdowns!$C$2:$E$15,3,FALSE),"")</f>
        <v/>
      </c>
      <c r="S321" s="65" t="str">
        <f>IFERROR(VLOOKUP('BMP P Tracking Table'!$R321,Dropdowns!$Q$3:$R$23,2,FALSE),"")</f>
        <v/>
      </c>
      <c r="T321" s="65"/>
      <c r="U321" s="65"/>
      <c r="V321" s="65"/>
      <c r="W321" s="65"/>
      <c r="X321" s="65"/>
      <c r="Y321" s="65"/>
      <c r="Z321" s="65"/>
      <c r="AA321" s="65"/>
      <c r="AB321" s="65"/>
      <c r="AC321" s="97"/>
      <c r="AD321" s="65"/>
      <c r="AE321" s="104" t="str">
        <f>IFERROR('BMP P Tracking Table'!$V321*VLOOKUP('BMP P Tracking Table'!$R321,'Loading Rates'!$B$1:$L$24,4,FALSE)+IF('BMP P Tracking Table'!$W321="By HSG",'BMP P Tracking Table'!$X321*VLOOKUP('BMP P Tracking Table'!$R321,'Loading Rates'!$B$1:$L$24,6,FALSE)+'BMP P Tracking Table'!$Y321*VLOOKUP('BMP P Tracking Table'!$R321,'Loading Rates'!$B$1:$L$24,7,FALSE)+'BMP P Tracking Table'!$Z321*VLOOKUP('BMP P Tracking Table'!$R321,'Loading Rates'!$B$1:$L$24,8,FALSE)+'BMP P Tracking Table'!$AA321*VLOOKUP('BMP P Tracking Table'!$R321,'Loading Rates'!$B$1:$L$24,9,FALSE),'BMP P Tracking Table'!$AB321*VLOOKUP('BMP P Tracking Table'!$R321,'Loading Rates'!$B$1:$L$24,10,FALSE)),"")</f>
        <v/>
      </c>
      <c r="AF321" s="104" t="str">
        <f>IFERROR(MIN(2,IF('BMP P Tracking Table'!$W321="Total Pervious",(-(3630*'BMP P Tracking Table'!$V321+20.691*'BMP P Tracking Table'!$AB321)+SQRT((3630*'BMP P Tracking Table'!$V321+20.691*'BMP P Tracking Table'!$AB321)^2-(4*(996.798*'BMP P Tracking Table'!$AB321)*-'BMP P Tracking Table'!$AC321)))/(2*(996.798*'BMP P Tracking Table'!$AB321)),IF(SUM('BMP P Tracking Table'!$X321:$AA321)=0,'BMP P Tracking Table'!$AC321/(-3630*'BMP P Tracking Table'!$V321),(-(3630*'BMP P Tracking Table'!$V321+20.691*'BMP P Tracking Table'!$AA321-216.711*'BMP P Tracking Table'!$Z321-83.853*'BMP P Tracking Table'!$Y321-42.834*'BMP P Tracking Table'!$X321)+SQRT((3630*'BMP P Tracking Table'!$V321+20.691*'BMP P Tracking Table'!$AA321-216.711*'BMP P Tracking Table'!$Z321-83.853*'BMP P Tracking Table'!$Y321-42.834*'BMP P Tracking Table'!$X321)^2-(4*(149.919*'BMP P Tracking Table'!$X321+236.676*'BMP P Tracking Table'!$Y321+726*'BMP P Tracking Table'!$Z321+996.798*'BMP P Tracking Table'!$AA321)*-'BMP P Tracking Table'!$AC321)))/(2*(149.919*'BMP P Tracking Table'!$X321+236.676*'BMP P Tracking Table'!$Y321+726*'BMP P Tracking Table'!$Z321+996.798*'BMP P Tracking Table'!$AA321))))),"")</f>
        <v/>
      </c>
      <c r="AG321" s="104" t="str">
        <f>IFERROR((VLOOKUP(CONCATENATE('BMP P Tracking Table'!$U321," ",'BMP P Tracking Table'!$AD321),'Performance Curves'!$C$1:$L$46,_xlfn.SINGLE(MATCH('BMP P Tracking Table'!$AF321,'Performance Curves'!$D$1:$L$1,1))+2,FALSE)-VLOOKUP(CONCATENATE('BMP P Tracking Table'!$U321," ",'BMP P Tracking Table'!$AD321),'Performance Curves'!$C$1:$L$46,_xlfn.SINGLE(MATCH('BMP P Tracking Table'!$AF321,'Performance Curves'!$D$1:$L$1,1))+1,FALSE)),"")</f>
        <v/>
      </c>
      <c r="AH321" s="104" t="str">
        <f>IFERROR(('BMP P Tracking Table'!$AF321-INDEX('Performance Curves'!$D$1:$L$1,1,MATCH('BMP P Tracking Table'!$AF321,'Performance Curves'!$D$1:$L$1,1)))/(INDEX('Performance Curves'!$D$1:$L$1,1,MATCH('BMP P Tracking Table'!$AF321,'Performance Curves'!$D$1:$L$1,1)+1)-INDEX('Performance Curves'!$D$1:$L$1,1,MATCH('BMP P Tracking Table'!$AF321,'Performance Curves'!$D$1:$L$1,1))),"")</f>
        <v/>
      </c>
      <c r="AI321" s="103" t="str">
        <f>IFERROR(IF('BMP P Tracking Table'!$AF321=2,VLOOKUP(CONCATENATE('BMP P Tracking Table'!$U321," ",'BMP P Tracking Table'!$AD321),'Performance Curves'!$C$1:$L$46,_xlfn.SINGLE(MATCH('BMP P Tracking Table'!$AF321,'Performance Curves'!$D$1:$L$1,1))+1,FALSE),'BMP P Tracking Table'!$AG321*'BMP P Tracking Table'!$AH321+VLOOKUP(CONCATENATE('BMP P Tracking Table'!$U321," ",'BMP P Tracking Table'!$AD321),'Performance Curves'!$C$1:$L$46,_xlfn.SINGLE(MATCH('BMP P Tracking Table'!$AF321,'Performance Curves'!$D$1:$L$1,1))+1,FALSE)),"")</f>
        <v/>
      </c>
      <c r="AJ321" s="104" t="str">
        <f>IFERROR('BMP P Tracking Table'!$AI321*'BMP P Tracking Table'!$AE321,"")</f>
        <v/>
      </c>
      <c r="AK321" s="65"/>
      <c r="AL321" s="98"/>
      <c r="AM321" s="98"/>
      <c r="AN321" s="64">
        <v>1</v>
      </c>
      <c r="AO321" s="102" t="str">
        <f t="shared" si="37"/>
        <v/>
      </c>
      <c r="AP321" s="98"/>
      <c r="AQ321" s="98"/>
      <c r="AR321" s="98"/>
      <c r="AS321" s="98"/>
      <c r="AT321" s="98"/>
      <c r="AU321" s="98"/>
      <c r="AV321" s="98"/>
      <c r="AW321" s="65"/>
      <c r="AX321" s="99"/>
      <c r="AY321" s="99"/>
      <c r="AZ321" s="104" t="str">
        <f>IF('BMP P Tracking Table'!$AL321="Yes",IF('BMP P Tracking Table'!$AM321="No",'BMP P Tracking Table'!$V321*VLOOKUP('BMP P Tracking Table'!$R321,'Loading Rates'!$B$1:$L$24,4,FALSE)+IF('BMP P Tracking Table'!$W321="By HSG",'BMP P Tracking Table'!$X321*VLOOKUP('BMP P Tracking Table'!$R321,'Loading Rates'!$B$1:$L$24,6,FALSE)+'BMP P Tracking Table'!$Y321*VLOOKUP('BMP P Tracking Table'!$R321,'Loading Rates'!$B$1:$L$24,7,FALSE)+'BMP P Tracking Table'!$Z321*VLOOKUP('BMP P Tracking Table'!$R321,'Loading Rates'!$B$1:$L$24,8,FALSE)+'BMP P Tracking Table'!$AA321*VLOOKUP('BMP P Tracking Table'!$R321,'Loading Rates'!$B$1:$L$24,9,FALSE),'BMP P Tracking Table'!$AB321*VLOOKUP('BMP P Tracking Table'!$R321,'Loading Rates'!$B$1:$L$24,10,FALSE)),'BMP P Tracking Table'!$AP321*VLOOKUP('BMP P Tracking Table'!$R321,'Loading Rates'!$B$1:$L$24,4,FALSE)+IF('BMP P Tracking Table'!$AQ321="By HSG",'BMP P Tracking Table'!$AR321*VLOOKUP('BMP P Tracking Table'!$R321,'Loading Rates'!$B$1:$L$24,6,FALSE)+'BMP P Tracking Table'!$AS321*VLOOKUP('BMP P Tracking Table'!$R321,'Loading Rates'!$B$1:$L$24,7,FALSE)+'BMP P Tracking Table'!$AT321*VLOOKUP('BMP P Tracking Table'!$R321,'Loading Rates'!$B$1:$L$24,8,FALSE)+'BMP P Tracking Table'!$AU321*VLOOKUP('BMP P Tracking Table'!$R321,'Loading Rates'!$B$1:$L$24,9,FALSE),'BMP P Tracking Table'!$AV321*VLOOKUP('BMP P Tracking Table'!$R321,'Loading Rates'!$B$1:$L$24,10,FALSE))),"")</f>
        <v/>
      </c>
      <c r="BA321" s="104" t="str">
        <f>IFERROR(IF('BMP P Tracking Table'!$AM321="Yes",MIN(2,IF('BMP P Tracking Table'!$AQ321="Total Pervious",(-(3630*'BMP P Tracking Table'!$AP321+20.691*'BMP P Tracking Table'!$AV321)+SQRT((3630*'BMP P Tracking Table'!$AP321+20.691*'BMP P Tracking Table'!$AV321)^2-(4*(996.798*'BMP P Tracking Table'!$AV321)*-'BMP P Tracking Table'!$AX321)))/(2*(996.798*'BMP P Tracking Table'!$AV321)),IF(SUM('BMP P Tracking Table'!$AR321:$AU321)=0,'BMP P Tracking Table'!$AV321/(-3630*'BMP P Tracking Table'!$AP321),(-(3630*'BMP P Tracking Table'!$AP321+20.691*'BMP P Tracking Table'!$AU321-216.711*'BMP P Tracking Table'!$AT321-83.853*'BMP P Tracking Table'!$AS321-42.834*'BMP P Tracking Table'!$AR321)+SQRT((3630*'BMP P Tracking Table'!$AP321+20.691*'BMP P Tracking Table'!$AU321-216.711*'BMP P Tracking Table'!$AT321-83.853*'BMP P Tracking Table'!$AS321-42.834*'BMP P Tracking Table'!$AR321)^2-(4*(149.919*'BMP P Tracking Table'!$AR321+236.676*'BMP P Tracking Table'!$AS321+726*'BMP P Tracking Table'!$AT321+996.798*'BMP P Tracking Table'!$AU321)*-'BMP P Tracking Table'!$AX321)))/(2*(149.919*'BMP P Tracking Table'!$AR321+236.676*'BMP P Tracking Table'!$AS321+726*'BMP P Tracking Table'!$AT321+996.798*'BMP P Tracking Table'!$AU321))))),MIN(2,IF('BMP P Tracking Table'!$AQ321="Total Pervious",(-(3630*'BMP P Tracking Table'!$V321+20.691*'BMP P Tracking Table'!$AB321)+SQRT((3630*'BMP P Tracking Table'!$V321+20.691*'BMP P Tracking Table'!$AB321)^2-(4*(996.798*'BMP P Tracking Table'!$AB321)*-'BMP P Tracking Table'!$AX321)))/(2*(996.798*'BMP P Tracking Table'!$AB321)),IF(SUM('BMP P Tracking Table'!$X321:$AA321)=0,'BMP P Tracking Table'!$AX321/(-3630*'BMP P Tracking Table'!$V321),(-(3630*'BMP P Tracking Table'!$V321+20.691*'BMP P Tracking Table'!$AA321-216.711*'BMP P Tracking Table'!$Z321-83.853*'BMP P Tracking Table'!$Y321-42.834*'BMP P Tracking Table'!$X321)+SQRT((3630*'BMP P Tracking Table'!$V321+20.691*'BMP P Tracking Table'!$AA321-216.711*'BMP P Tracking Table'!$Z321-83.853*'BMP P Tracking Table'!$Y321-42.834*'BMP P Tracking Table'!$X321)^2-(4*(149.919*'BMP P Tracking Table'!$X321+236.676*'BMP P Tracking Table'!$Y321+726*'BMP P Tracking Table'!$Z321+996.798*'BMP P Tracking Table'!$AA321)*-'BMP P Tracking Table'!$AX321)))/(2*(149.919*'BMP P Tracking Table'!$X321+236.676*'BMP P Tracking Table'!$Y321+726*'BMP P Tracking Table'!$Z321+996.798*'BMP P Tracking Table'!$AA321)))))),"")</f>
        <v/>
      </c>
      <c r="BB321" s="102" t="str">
        <f>IFERROR((VLOOKUP(CONCATENATE('BMP P Tracking Table'!$AW321," ",'BMP P Tracking Table'!$AY321),'Performance Curves'!$C$1:$L$46,_xlfn.SINGLE(MATCH('BMP P Tracking Table'!$BA321,'Performance Curves'!$D$1:$L$1,1))+2,FALSE)-VLOOKUP(CONCATENATE('BMP P Tracking Table'!$AW321," ",'BMP P Tracking Table'!$AY321),'Performance Curves'!$C$1:$L$46,_xlfn.SINGLE(MATCH('BMP P Tracking Table'!$BA321,'Performance Curves'!$D$1:$L$1,1))+1,FALSE)),"")</f>
        <v/>
      </c>
      <c r="BC321" s="102" t="str">
        <f>IFERROR(('BMP P Tracking Table'!$BA321-INDEX('Performance Curves'!$D$1:$L$1,1,MATCH('BMP P Tracking Table'!$BA321,'Performance Curves'!$D$1:$L$1,1)))/(INDEX('Performance Curves'!$D$1:$L$1,1,MATCH('BMP P Tracking Table'!$BA321,'Performance Curves'!$D$1:$L$1,1)+1)-INDEX('Performance Curves'!$D$1:$L$1,1,MATCH('BMP P Tracking Table'!$BA321,'Performance Curves'!$D$1:$L$1,1))),"")</f>
        <v/>
      </c>
      <c r="BD321" s="103" t="str" cm="1">
        <f t="array" ref="BD321">IFERROR(IF('BMP P Tracking Table'!$BA321=2,VLOOKUP(CONCATENATE('BMP P Tracking Table'!$AW321," ",'BMP P Tracking Table'!$AY321),'Performance Curves'!$C$1:$L$44,_xlfn.SINGLE(MATCH('BMP P Tracking Table'!$BA321,'Performance Curves'!$D$1:$L$1,1))+1,FALSE),'BMP P Tracking Table'!$BB321*'BMP P Tracking Table'!$BC321+VLOOKUP(CONCATENATE('BMP P Tracking Table'!$AW321," ",'BMP P Tracking Table'!$AY321),'Performance Curves'!$C$1:$L$44,_xlfn.SINGLE(MATCH('BMP P Tracking Table'!$BA321,'Performance Curves'!$D$1:$L$1,1))+1,FALSE)),"")</f>
        <v/>
      </c>
      <c r="BE321" s="104" t="str">
        <f>IFERROR('BMP P Tracking Table'!$BD321*'BMP P Tracking Table'!$AZ321,"")</f>
        <v/>
      </c>
      <c r="BF321" s="98"/>
      <c r="BG321" s="37">
        <f t="shared" si="38"/>
        <v>0</v>
      </c>
    </row>
    <row r="322" spans="2:59" s="36" customFormat="1">
      <c r="B322" s="65"/>
      <c r="C322" s="65"/>
      <c r="D322" s="65"/>
      <c r="E322" s="65"/>
      <c r="F322" s="94"/>
      <c r="G322" s="94"/>
      <c r="H322" s="65"/>
      <c r="I322" s="65"/>
      <c r="J322" s="65"/>
      <c r="K322" s="95"/>
      <c r="L322" s="65"/>
      <c r="M322" s="65"/>
      <c r="N322" s="65"/>
      <c r="O322" s="65"/>
      <c r="P322" s="65"/>
      <c r="Q322" s="65"/>
      <c r="R322" s="65" t="str">
        <f>IFERROR(VLOOKUP('BMP P Tracking Table'!$Q322,Dropdowns!$C$2:$E$15,3,FALSE),"")</f>
        <v/>
      </c>
      <c r="S322" s="65" t="str">
        <f>IFERROR(VLOOKUP('BMP P Tracking Table'!$R322,Dropdowns!$Q$3:$R$23,2,FALSE),"")</f>
        <v/>
      </c>
      <c r="T322" s="65"/>
      <c r="U322" s="65"/>
      <c r="V322" s="65"/>
      <c r="W322" s="65"/>
      <c r="X322" s="65"/>
      <c r="Y322" s="65"/>
      <c r="Z322" s="65"/>
      <c r="AA322" s="65"/>
      <c r="AB322" s="65"/>
      <c r="AC322" s="97"/>
      <c r="AD322" s="65"/>
      <c r="AE322" s="104" t="str">
        <f>IFERROR('BMP P Tracking Table'!$V322*VLOOKUP('BMP P Tracking Table'!$R322,'Loading Rates'!$B$1:$L$24,4,FALSE)+IF('BMP P Tracking Table'!$W322="By HSG",'BMP P Tracking Table'!$X322*VLOOKUP('BMP P Tracking Table'!$R322,'Loading Rates'!$B$1:$L$24,6,FALSE)+'BMP P Tracking Table'!$Y322*VLOOKUP('BMP P Tracking Table'!$R322,'Loading Rates'!$B$1:$L$24,7,FALSE)+'BMP P Tracking Table'!$Z322*VLOOKUP('BMP P Tracking Table'!$R322,'Loading Rates'!$B$1:$L$24,8,FALSE)+'BMP P Tracking Table'!$AA322*VLOOKUP('BMP P Tracking Table'!$R322,'Loading Rates'!$B$1:$L$24,9,FALSE),'BMP P Tracking Table'!$AB322*VLOOKUP('BMP P Tracking Table'!$R322,'Loading Rates'!$B$1:$L$24,10,FALSE)),"")</f>
        <v/>
      </c>
      <c r="AF322" s="104" t="str">
        <f>IFERROR(MIN(2,IF('BMP P Tracking Table'!$W322="Total Pervious",(-(3630*'BMP P Tracking Table'!$V322+20.691*'BMP P Tracking Table'!$AB322)+SQRT((3630*'BMP P Tracking Table'!$V322+20.691*'BMP P Tracking Table'!$AB322)^2-(4*(996.798*'BMP P Tracking Table'!$AB322)*-'BMP P Tracking Table'!$AC322)))/(2*(996.798*'BMP P Tracking Table'!$AB322)),IF(SUM('BMP P Tracking Table'!$X322:$AA322)=0,'BMP P Tracking Table'!$AC322/(-3630*'BMP P Tracking Table'!$V322),(-(3630*'BMP P Tracking Table'!$V322+20.691*'BMP P Tracking Table'!$AA322-216.711*'BMP P Tracking Table'!$Z322-83.853*'BMP P Tracking Table'!$Y322-42.834*'BMP P Tracking Table'!$X322)+SQRT((3630*'BMP P Tracking Table'!$V322+20.691*'BMP P Tracking Table'!$AA322-216.711*'BMP P Tracking Table'!$Z322-83.853*'BMP P Tracking Table'!$Y322-42.834*'BMP P Tracking Table'!$X322)^2-(4*(149.919*'BMP P Tracking Table'!$X322+236.676*'BMP P Tracking Table'!$Y322+726*'BMP P Tracking Table'!$Z322+996.798*'BMP P Tracking Table'!$AA322)*-'BMP P Tracking Table'!$AC322)))/(2*(149.919*'BMP P Tracking Table'!$X322+236.676*'BMP P Tracking Table'!$Y322+726*'BMP P Tracking Table'!$Z322+996.798*'BMP P Tracking Table'!$AA322))))),"")</f>
        <v/>
      </c>
      <c r="AG322" s="104" t="str">
        <f>IFERROR((VLOOKUP(CONCATENATE('BMP P Tracking Table'!$U322," ",'BMP P Tracking Table'!$AD322),'Performance Curves'!$C$1:$L$46,_xlfn.SINGLE(MATCH('BMP P Tracking Table'!$AF322,'Performance Curves'!$D$1:$L$1,1))+2,FALSE)-VLOOKUP(CONCATENATE('BMP P Tracking Table'!$U322," ",'BMP P Tracking Table'!$AD322),'Performance Curves'!$C$1:$L$46,_xlfn.SINGLE(MATCH('BMP P Tracking Table'!$AF322,'Performance Curves'!$D$1:$L$1,1))+1,FALSE)),"")</f>
        <v/>
      </c>
      <c r="AH322" s="104" t="str">
        <f>IFERROR(('BMP P Tracking Table'!$AF322-INDEX('Performance Curves'!$D$1:$L$1,1,MATCH('BMP P Tracking Table'!$AF322,'Performance Curves'!$D$1:$L$1,1)))/(INDEX('Performance Curves'!$D$1:$L$1,1,MATCH('BMP P Tracking Table'!$AF322,'Performance Curves'!$D$1:$L$1,1)+1)-INDEX('Performance Curves'!$D$1:$L$1,1,MATCH('BMP P Tracking Table'!$AF322,'Performance Curves'!$D$1:$L$1,1))),"")</f>
        <v/>
      </c>
      <c r="AI322" s="103" t="str">
        <f>IFERROR(IF('BMP P Tracking Table'!$AF322=2,VLOOKUP(CONCATENATE('BMP P Tracking Table'!$U322," ",'BMP P Tracking Table'!$AD322),'Performance Curves'!$C$1:$L$46,_xlfn.SINGLE(MATCH('BMP P Tracking Table'!$AF322,'Performance Curves'!$D$1:$L$1,1))+1,FALSE),'BMP P Tracking Table'!$AG322*'BMP P Tracking Table'!$AH322+VLOOKUP(CONCATENATE('BMP P Tracking Table'!$U322," ",'BMP P Tracking Table'!$AD322),'Performance Curves'!$C$1:$L$46,_xlfn.SINGLE(MATCH('BMP P Tracking Table'!$AF322,'Performance Curves'!$D$1:$L$1,1))+1,FALSE)),"")</f>
        <v/>
      </c>
      <c r="AJ322" s="104" t="str">
        <f>IFERROR('BMP P Tracking Table'!$AI322*'BMP P Tracking Table'!$AE322,"")</f>
        <v/>
      </c>
      <c r="AK322" s="65"/>
      <c r="AL322" s="98"/>
      <c r="AM322" s="98"/>
      <c r="AN322" s="64">
        <v>1</v>
      </c>
      <c r="AO322" s="102" t="str">
        <f t="shared" si="37"/>
        <v/>
      </c>
      <c r="AP322" s="98"/>
      <c r="AQ322" s="98"/>
      <c r="AR322" s="98"/>
      <c r="AS322" s="98"/>
      <c r="AT322" s="98"/>
      <c r="AU322" s="98"/>
      <c r="AV322" s="98"/>
      <c r="AW322" s="65"/>
      <c r="AX322" s="99"/>
      <c r="AY322" s="99"/>
      <c r="AZ322" s="104" t="str">
        <f>IF('BMP P Tracking Table'!$AL322="Yes",IF('BMP P Tracking Table'!$AM322="No",'BMP P Tracking Table'!$V322*VLOOKUP('BMP P Tracking Table'!$R322,'Loading Rates'!$B$1:$L$24,4,FALSE)+IF('BMP P Tracking Table'!$W322="By HSG",'BMP P Tracking Table'!$X322*VLOOKUP('BMP P Tracking Table'!$R322,'Loading Rates'!$B$1:$L$24,6,FALSE)+'BMP P Tracking Table'!$Y322*VLOOKUP('BMP P Tracking Table'!$R322,'Loading Rates'!$B$1:$L$24,7,FALSE)+'BMP P Tracking Table'!$Z322*VLOOKUP('BMP P Tracking Table'!$R322,'Loading Rates'!$B$1:$L$24,8,FALSE)+'BMP P Tracking Table'!$AA322*VLOOKUP('BMP P Tracking Table'!$R322,'Loading Rates'!$B$1:$L$24,9,FALSE),'BMP P Tracking Table'!$AB322*VLOOKUP('BMP P Tracking Table'!$R322,'Loading Rates'!$B$1:$L$24,10,FALSE)),'BMP P Tracking Table'!$AP322*VLOOKUP('BMP P Tracking Table'!$R322,'Loading Rates'!$B$1:$L$24,4,FALSE)+IF('BMP P Tracking Table'!$AQ322="By HSG",'BMP P Tracking Table'!$AR322*VLOOKUP('BMP P Tracking Table'!$R322,'Loading Rates'!$B$1:$L$24,6,FALSE)+'BMP P Tracking Table'!$AS322*VLOOKUP('BMP P Tracking Table'!$R322,'Loading Rates'!$B$1:$L$24,7,FALSE)+'BMP P Tracking Table'!$AT322*VLOOKUP('BMP P Tracking Table'!$R322,'Loading Rates'!$B$1:$L$24,8,FALSE)+'BMP P Tracking Table'!$AU322*VLOOKUP('BMP P Tracking Table'!$R322,'Loading Rates'!$B$1:$L$24,9,FALSE),'BMP P Tracking Table'!$AV322*VLOOKUP('BMP P Tracking Table'!$R322,'Loading Rates'!$B$1:$L$24,10,FALSE))),"")</f>
        <v/>
      </c>
      <c r="BA322" s="104" t="str">
        <f>IFERROR(IF('BMP P Tracking Table'!$AM322="Yes",MIN(2,IF('BMP P Tracking Table'!$AQ322="Total Pervious",(-(3630*'BMP P Tracking Table'!$AP322+20.691*'BMP P Tracking Table'!$AV322)+SQRT((3630*'BMP P Tracking Table'!$AP322+20.691*'BMP P Tracking Table'!$AV322)^2-(4*(996.798*'BMP P Tracking Table'!$AV322)*-'BMP P Tracking Table'!$AX322)))/(2*(996.798*'BMP P Tracking Table'!$AV322)),IF(SUM('BMP P Tracking Table'!$AR322:$AU322)=0,'BMP P Tracking Table'!$AV322/(-3630*'BMP P Tracking Table'!$AP322),(-(3630*'BMP P Tracking Table'!$AP322+20.691*'BMP P Tracking Table'!$AU322-216.711*'BMP P Tracking Table'!$AT322-83.853*'BMP P Tracking Table'!$AS322-42.834*'BMP P Tracking Table'!$AR322)+SQRT((3630*'BMP P Tracking Table'!$AP322+20.691*'BMP P Tracking Table'!$AU322-216.711*'BMP P Tracking Table'!$AT322-83.853*'BMP P Tracking Table'!$AS322-42.834*'BMP P Tracking Table'!$AR322)^2-(4*(149.919*'BMP P Tracking Table'!$AR322+236.676*'BMP P Tracking Table'!$AS322+726*'BMP P Tracking Table'!$AT322+996.798*'BMP P Tracking Table'!$AU322)*-'BMP P Tracking Table'!$AX322)))/(2*(149.919*'BMP P Tracking Table'!$AR322+236.676*'BMP P Tracking Table'!$AS322+726*'BMP P Tracking Table'!$AT322+996.798*'BMP P Tracking Table'!$AU322))))),MIN(2,IF('BMP P Tracking Table'!$AQ322="Total Pervious",(-(3630*'BMP P Tracking Table'!$V322+20.691*'BMP P Tracking Table'!$AB322)+SQRT((3630*'BMP P Tracking Table'!$V322+20.691*'BMP P Tracking Table'!$AB322)^2-(4*(996.798*'BMP P Tracking Table'!$AB322)*-'BMP P Tracking Table'!$AX322)))/(2*(996.798*'BMP P Tracking Table'!$AB322)),IF(SUM('BMP P Tracking Table'!$X322:$AA322)=0,'BMP P Tracking Table'!$AX322/(-3630*'BMP P Tracking Table'!$V322),(-(3630*'BMP P Tracking Table'!$V322+20.691*'BMP P Tracking Table'!$AA322-216.711*'BMP P Tracking Table'!$Z322-83.853*'BMP P Tracking Table'!$Y322-42.834*'BMP P Tracking Table'!$X322)+SQRT((3630*'BMP P Tracking Table'!$V322+20.691*'BMP P Tracking Table'!$AA322-216.711*'BMP P Tracking Table'!$Z322-83.853*'BMP P Tracking Table'!$Y322-42.834*'BMP P Tracking Table'!$X322)^2-(4*(149.919*'BMP P Tracking Table'!$X322+236.676*'BMP P Tracking Table'!$Y322+726*'BMP P Tracking Table'!$Z322+996.798*'BMP P Tracking Table'!$AA322)*-'BMP P Tracking Table'!$AX322)))/(2*(149.919*'BMP P Tracking Table'!$X322+236.676*'BMP P Tracking Table'!$Y322+726*'BMP P Tracking Table'!$Z322+996.798*'BMP P Tracking Table'!$AA322)))))),"")</f>
        <v/>
      </c>
      <c r="BB322" s="102" t="str">
        <f>IFERROR((VLOOKUP(CONCATENATE('BMP P Tracking Table'!$AW322," ",'BMP P Tracking Table'!$AY322),'Performance Curves'!$C$1:$L$46,_xlfn.SINGLE(MATCH('BMP P Tracking Table'!$BA322,'Performance Curves'!$D$1:$L$1,1))+2,FALSE)-VLOOKUP(CONCATENATE('BMP P Tracking Table'!$AW322," ",'BMP P Tracking Table'!$AY322),'Performance Curves'!$C$1:$L$46,_xlfn.SINGLE(MATCH('BMP P Tracking Table'!$BA322,'Performance Curves'!$D$1:$L$1,1))+1,FALSE)),"")</f>
        <v/>
      </c>
      <c r="BC322" s="102" t="str">
        <f>IFERROR(('BMP P Tracking Table'!$BA322-INDEX('Performance Curves'!$D$1:$L$1,1,MATCH('BMP P Tracking Table'!$BA322,'Performance Curves'!$D$1:$L$1,1)))/(INDEX('Performance Curves'!$D$1:$L$1,1,MATCH('BMP P Tracking Table'!$BA322,'Performance Curves'!$D$1:$L$1,1)+1)-INDEX('Performance Curves'!$D$1:$L$1,1,MATCH('BMP P Tracking Table'!$BA322,'Performance Curves'!$D$1:$L$1,1))),"")</f>
        <v/>
      </c>
      <c r="BD322" s="103" t="str" cm="1">
        <f t="array" ref="BD322">IFERROR(IF('BMP P Tracking Table'!$BA322=2,VLOOKUP(CONCATENATE('BMP P Tracking Table'!$AW322," ",'BMP P Tracking Table'!$AY322),'Performance Curves'!$C$1:$L$44,_xlfn.SINGLE(MATCH('BMP P Tracking Table'!$BA322,'Performance Curves'!$D$1:$L$1,1))+1,FALSE),'BMP P Tracking Table'!$BB322*'BMP P Tracking Table'!$BC322+VLOOKUP(CONCATENATE('BMP P Tracking Table'!$AW322," ",'BMP P Tracking Table'!$AY322),'Performance Curves'!$C$1:$L$44,_xlfn.SINGLE(MATCH('BMP P Tracking Table'!$BA322,'Performance Curves'!$D$1:$L$1,1))+1,FALSE)),"")</f>
        <v/>
      </c>
      <c r="BE322" s="104" t="str">
        <f>IFERROR('BMP P Tracking Table'!$BD322*'BMP P Tracking Table'!$AZ322,"")</f>
        <v/>
      </c>
      <c r="BF322" s="98"/>
      <c r="BG322" s="37">
        <f t="shared" si="38"/>
        <v>0</v>
      </c>
    </row>
    <row r="323" spans="2:59" s="36" customFormat="1">
      <c r="B323" s="65"/>
      <c r="C323" s="65"/>
      <c r="D323" s="65"/>
      <c r="E323" s="65"/>
      <c r="F323" s="94"/>
      <c r="G323" s="94"/>
      <c r="H323" s="65"/>
      <c r="I323" s="65"/>
      <c r="J323" s="65"/>
      <c r="K323" s="95"/>
      <c r="L323" s="65"/>
      <c r="M323" s="65"/>
      <c r="N323" s="65"/>
      <c r="O323" s="65"/>
      <c r="P323" s="65"/>
      <c r="Q323" s="65"/>
      <c r="R323" s="65" t="str">
        <f>IFERROR(VLOOKUP('BMP P Tracking Table'!$Q323,Dropdowns!$C$2:$E$15,3,FALSE),"")</f>
        <v/>
      </c>
      <c r="S323" s="65" t="str">
        <f>IFERROR(VLOOKUP('BMP P Tracking Table'!$R323,Dropdowns!$Q$3:$R$23,2,FALSE),"")</f>
        <v/>
      </c>
      <c r="T323" s="65"/>
      <c r="U323" s="65"/>
      <c r="V323" s="65"/>
      <c r="W323" s="65"/>
      <c r="X323" s="65"/>
      <c r="Y323" s="65"/>
      <c r="Z323" s="65"/>
      <c r="AA323" s="65"/>
      <c r="AB323" s="65"/>
      <c r="AC323" s="97"/>
      <c r="AD323" s="65"/>
      <c r="AE323" s="104" t="str">
        <f>IFERROR('BMP P Tracking Table'!$V323*VLOOKUP('BMP P Tracking Table'!$R323,'Loading Rates'!$B$1:$L$24,4,FALSE)+IF('BMP P Tracking Table'!$W323="By HSG",'BMP P Tracking Table'!$X323*VLOOKUP('BMP P Tracking Table'!$R323,'Loading Rates'!$B$1:$L$24,6,FALSE)+'BMP P Tracking Table'!$Y323*VLOOKUP('BMP P Tracking Table'!$R323,'Loading Rates'!$B$1:$L$24,7,FALSE)+'BMP P Tracking Table'!$Z323*VLOOKUP('BMP P Tracking Table'!$R323,'Loading Rates'!$B$1:$L$24,8,FALSE)+'BMP P Tracking Table'!$AA323*VLOOKUP('BMP P Tracking Table'!$R323,'Loading Rates'!$B$1:$L$24,9,FALSE),'BMP P Tracking Table'!$AB323*VLOOKUP('BMP P Tracking Table'!$R323,'Loading Rates'!$B$1:$L$24,10,FALSE)),"")</f>
        <v/>
      </c>
      <c r="AF323" s="104" t="str">
        <f>IFERROR(MIN(2,IF('BMP P Tracking Table'!$W323="Total Pervious",(-(3630*'BMP P Tracking Table'!$V323+20.691*'BMP P Tracking Table'!$AB323)+SQRT((3630*'BMP P Tracking Table'!$V323+20.691*'BMP P Tracking Table'!$AB323)^2-(4*(996.798*'BMP P Tracking Table'!$AB323)*-'BMP P Tracking Table'!$AC323)))/(2*(996.798*'BMP P Tracking Table'!$AB323)),IF(SUM('BMP P Tracking Table'!$X323:$AA323)=0,'BMP P Tracking Table'!$AC323/(-3630*'BMP P Tracking Table'!$V323),(-(3630*'BMP P Tracking Table'!$V323+20.691*'BMP P Tracking Table'!$AA323-216.711*'BMP P Tracking Table'!$Z323-83.853*'BMP P Tracking Table'!$Y323-42.834*'BMP P Tracking Table'!$X323)+SQRT((3630*'BMP P Tracking Table'!$V323+20.691*'BMP P Tracking Table'!$AA323-216.711*'BMP P Tracking Table'!$Z323-83.853*'BMP P Tracking Table'!$Y323-42.834*'BMP P Tracking Table'!$X323)^2-(4*(149.919*'BMP P Tracking Table'!$X323+236.676*'BMP P Tracking Table'!$Y323+726*'BMP P Tracking Table'!$Z323+996.798*'BMP P Tracking Table'!$AA323)*-'BMP P Tracking Table'!$AC323)))/(2*(149.919*'BMP P Tracking Table'!$X323+236.676*'BMP P Tracking Table'!$Y323+726*'BMP P Tracking Table'!$Z323+996.798*'BMP P Tracking Table'!$AA323))))),"")</f>
        <v/>
      </c>
      <c r="AG323" s="104" t="str">
        <f>IFERROR((VLOOKUP(CONCATENATE('BMP P Tracking Table'!$U323," ",'BMP P Tracking Table'!$AD323),'Performance Curves'!$C$1:$L$46,_xlfn.SINGLE(MATCH('BMP P Tracking Table'!$AF323,'Performance Curves'!$D$1:$L$1,1))+2,FALSE)-VLOOKUP(CONCATENATE('BMP P Tracking Table'!$U323," ",'BMP P Tracking Table'!$AD323),'Performance Curves'!$C$1:$L$46,_xlfn.SINGLE(MATCH('BMP P Tracking Table'!$AF323,'Performance Curves'!$D$1:$L$1,1))+1,FALSE)),"")</f>
        <v/>
      </c>
      <c r="AH323" s="104" t="str">
        <f>IFERROR(('BMP P Tracking Table'!$AF323-INDEX('Performance Curves'!$D$1:$L$1,1,MATCH('BMP P Tracking Table'!$AF323,'Performance Curves'!$D$1:$L$1,1)))/(INDEX('Performance Curves'!$D$1:$L$1,1,MATCH('BMP P Tracking Table'!$AF323,'Performance Curves'!$D$1:$L$1,1)+1)-INDEX('Performance Curves'!$D$1:$L$1,1,MATCH('BMP P Tracking Table'!$AF323,'Performance Curves'!$D$1:$L$1,1))),"")</f>
        <v/>
      </c>
      <c r="AI323" s="103" t="str">
        <f>IFERROR(IF('BMP P Tracking Table'!$AF323=2,VLOOKUP(CONCATENATE('BMP P Tracking Table'!$U323," ",'BMP P Tracking Table'!$AD323),'Performance Curves'!$C$1:$L$46,_xlfn.SINGLE(MATCH('BMP P Tracking Table'!$AF323,'Performance Curves'!$D$1:$L$1,1))+1,FALSE),'BMP P Tracking Table'!$AG323*'BMP P Tracking Table'!$AH323+VLOOKUP(CONCATENATE('BMP P Tracking Table'!$U323," ",'BMP P Tracking Table'!$AD323),'Performance Curves'!$C$1:$L$46,_xlfn.SINGLE(MATCH('BMP P Tracking Table'!$AF323,'Performance Curves'!$D$1:$L$1,1))+1,FALSE)),"")</f>
        <v/>
      </c>
      <c r="AJ323" s="104" t="str">
        <f>IFERROR('BMP P Tracking Table'!$AI323*'BMP P Tracking Table'!$AE323,"")</f>
        <v/>
      </c>
      <c r="AK323" s="65"/>
      <c r="AL323" s="98"/>
      <c r="AM323" s="98"/>
      <c r="AN323" s="64">
        <v>1</v>
      </c>
      <c r="AO323" s="102" t="str">
        <f t="shared" si="37"/>
        <v/>
      </c>
      <c r="AP323" s="98"/>
      <c r="AQ323" s="98"/>
      <c r="AR323" s="98"/>
      <c r="AS323" s="98"/>
      <c r="AT323" s="98"/>
      <c r="AU323" s="98"/>
      <c r="AV323" s="98"/>
      <c r="AW323" s="65"/>
      <c r="AX323" s="99"/>
      <c r="AY323" s="99"/>
      <c r="AZ323" s="104" t="str">
        <f>IF('BMP P Tracking Table'!$AL323="Yes",IF('BMP P Tracking Table'!$AM323="No",'BMP P Tracking Table'!$V323*VLOOKUP('BMP P Tracking Table'!$R323,'Loading Rates'!$B$1:$L$24,4,FALSE)+IF('BMP P Tracking Table'!$W323="By HSG",'BMP P Tracking Table'!$X323*VLOOKUP('BMP P Tracking Table'!$R323,'Loading Rates'!$B$1:$L$24,6,FALSE)+'BMP P Tracking Table'!$Y323*VLOOKUP('BMP P Tracking Table'!$R323,'Loading Rates'!$B$1:$L$24,7,FALSE)+'BMP P Tracking Table'!$Z323*VLOOKUP('BMP P Tracking Table'!$R323,'Loading Rates'!$B$1:$L$24,8,FALSE)+'BMP P Tracking Table'!$AA323*VLOOKUP('BMP P Tracking Table'!$R323,'Loading Rates'!$B$1:$L$24,9,FALSE),'BMP P Tracking Table'!$AB323*VLOOKUP('BMP P Tracking Table'!$R323,'Loading Rates'!$B$1:$L$24,10,FALSE)),'BMP P Tracking Table'!$AP323*VLOOKUP('BMP P Tracking Table'!$R323,'Loading Rates'!$B$1:$L$24,4,FALSE)+IF('BMP P Tracking Table'!$AQ323="By HSG",'BMP P Tracking Table'!$AR323*VLOOKUP('BMP P Tracking Table'!$R323,'Loading Rates'!$B$1:$L$24,6,FALSE)+'BMP P Tracking Table'!$AS323*VLOOKUP('BMP P Tracking Table'!$R323,'Loading Rates'!$B$1:$L$24,7,FALSE)+'BMP P Tracking Table'!$AT323*VLOOKUP('BMP P Tracking Table'!$R323,'Loading Rates'!$B$1:$L$24,8,FALSE)+'BMP P Tracking Table'!$AU323*VLOOKUP('BMP P Tracking Table'!$R323,'Loading Rates'!$B$1:$L$24,9,FALSE),'BMP P Tracking Table'!$AV323*VLOOKUP('BMP P Tracking Table'!$R323,'Loading Rates'!$B$1:$L$24,10,FALSE))),"")</f>
        <v/>
      </c>
      <c r="BA323" s="104" t="str">
        <f>IFERROR(IF('BMP P Tracking Table'!$AM323="Yes",MIN(2,IF('BMP P Tracking Table'!$AQ323="Total Pervious",(-(3630*'BMP P Tracking Table'!$AP323+20.691*'BMP P Tracking Table'!$AV323)+SQRT((3630*'BMP P Tracking Table'!$AP323+20.691*'BMP P Tracking Table'!$AV323)^2-(4*(996.798*'BMP P Tracking Table'!$AV323)*-'BMP P Tracking Table'!$AX323)))/(2*(996.798*'BMP P Tracking Table'!$AV323)),IF(SUM('BMP P Tracking Table'!$AR323:$AU323)=0,'BMP P Tracking Table'!$AV323/(-3630*'BMP P Tracking Table'!$AP323),(-(3630*'BMP P Tracking Table'!$AP323+20.691*'BMP P Tracking Table'!$AU323-216.711*'BMP P Tracking Table'!$AT323-83.853*'BMP P Tracking Table'!$AS323-42.834*'BMP P Tracking Table'!$AR323)+SQRT((3630*'BMP P Tracking Table'!$AP323+20.691*'BMP P Tracking Table'!$AU323-216.711*'BMP P Tracking Table'!$AT323-83.853*'BMP P Tracking Table'!$AS323-42.834*'BMP P Tracking Table'!$AR323)^2-(4*(149.919*'BMP P Tracking Table'!$AR323+236.676*'BMP P Tracking Table'!$AS323+726*'BMP P Tracking Table'!$AT323+996.798*'BMP P Tracking Table'!$AU323)*-'BMP P Tracking Table'!$AX323)))/(2*(149.919*'BMP P Tracking Table'!$AR323+236.676*'BMP P Tracking Table'!$AS323+726*'BMP P Tracking Table'!$AT323+996.798*'BMP P Tracking Table'!$AU323))))),MIN(2,IF('BMP P Tracking Table'!$AQ323="Total Pervious",(-(3630*'BMP P Tracking Table'!$V323+20.691*'BMP P Tracking Table'!$AB323)+SQRT((3630*'BMP P Tracking Table'!$V323+20.691*'BMP P Tracking Table'!$AB323)^2-(4*(996.798*'BMP P Tracking Table'!$AB323)*-'BMP P Tracking Table'!$AX323)))/(2*(996.798*'BMP P Tracking Table'!$AB323)),IF(SUM('BMP P Tracking Table'!$X323:$AA323)=0,'BMP P Tracking Table'!$AX323/(-3630*'BMP P Tracking Table'!$V323),(-(3630*'BMP P Tracking Table'!$V323+20.691*'BMP P Tracking Table'!$AA323-216.711*'BMP P Tracking Table'!$Z323-83.853*'BMP P Tracking Table'!$Y323-42.834*'BMP P Tracking Table'!$X323)+SQRT((3630*'BMP P Tracking Table'!$V323+20.691*'BMP P Tracking Table'!$AA323-216.711*'BMP P Tracking Table'!$Z323-83.853*'BMP P Tracking Table'!$Y323-42.834*'BMP P Tracking Table'!$X323)^2-(4*(149.919*'BMP P Tracking Table'!$X323+236.676*'BMP P Tracking Table'!$Y323+726*'BMP P Tracking Table'!$Z323+996.798*'BMP P Tracking Table'!$AA323)*-'BMP P Tracking Table'!$AX323)))/(2*(149.919*'BMP P Tracking Table'!$X323+236.676*'BMP P Tracking Table'!$Y323+726*'BMP P Tracking Table'!$Z323+996.798*'BMP P Tracking Table'!$AA323)))))),"")</f>
        <v/>
      </c>
      <c r="BB323" s="102" t="str">
        <f>IFERROR((VLOOKUP(CONCATENATE('BMP P Tracking Table'!$AW323," ",'BMP P Tracking Table'!$AY323),'Performance Curves'!$C$1:$L$46,_xlfn.SINGLE(MATCH('BMP P Tracking Table'!$BA323,'Performance Curves'!$D$1:$L$1,1))+2,FALSE)-VLOOKUP(CONCATENATE('BMP P Tracking Table'!$AW323," ",'BMP P Tracking Table'!$AY323),'Performance Curves'!$C$1:$L$46,_xlfn.SINGLE(MATCH('BMP P Tracking Table'!$BA323,'Performance Curves'!$D$1:$L$1,1))+1,FALSE)),"")</f>
        <v/>
      </c>
      <c r="BC323" s="102" t="str">
        <f>IFERROR(('BMP P Tracking Table'!$BA323-INDEX('Performance Curves'!$D$1:$L$1,1,MATCH('BMP P Tracking Table'!$BA323,'Performance Curves'!$D$1:$L$1,1)))/(INDEX('Performance Curves'!$D$1:$L$1,1,MATCH('BMP P Tracking Table'!$BA323,'Performance Curves'!$D$1:$L$1,1)+1)-INDEX('Performance Curves'!$D$1:$L$1,1,MATCH('BMP P Tracking Table'!$BA323,'Performance Curves'!$D$1:$L$1,1))),"")</f>
        <v/>
      </c>
      <c r="BD323" s="103" t="str" cm="1">
        <f t="array" ref="BD323">IFERROR(IF('BMP P Tracking Table'!$BA323=2,VLOOKUP(CONCATENATE('BMP P Tracking Table'!$AW323," ",'BMP P Tracking Table'!$AY323),'Performance Curves'!$C$1:$L$44,_xlfn.SINGLE(MATCH('BMP P Tracking Table'!$BA323,'Performance Curves'!$D$1:$L$1,1))+1,FALSE),'BMP P Tracking Table'!$BB323*'BMP P Tracking Table'!$BC323+VLOOKUP(CONCATENATE('BMP P Tracking Table'!$AW323," ",'BMP P Tracking Table'!$AY323),'Performance Curves'!$C$1:$L$44,_xlfn.SINGLE(MATCH('BMP P Tracking Table'!$BA323,'Performance Curves'!$D$1:$L$1,1))+1,FALSE)),"")</f>
        <v/>
      </c>
      <c r="BE323" s="104" t="str">
        <f>IFERROR('BMP P Tracking Table'!$BD323*'BMP P Tracking Table'!$AZ323,"")</f>
        <v/>
      </c>
      <c r="BF323" s="92"/>
      <c r="BG323" s="37">
        <f t="shared" si="38"/>
        <v>0</v>
      </c>
    </row>
    <row r="324" spans="2:59" s="36" customFormat="1">
      <c r="B324" s="65"/>
      <c r="C324" s="65"/>
      <c r="D324" s="65"/>
      <c r="E324" s="65"/>
      <c r="F324" s="94"/>
      <c r="G324" s="94"/>
      <c r="H324" s="65"/>
      <c r="I324" s="65"/>
      <c r="J324" s="65"/>
      <c r="K324" s="95"/>
      <c r="L324" s="65"/>
      <c r="M324" s="65"/>
      <c r="N324" s="65"/>
      <c r="O324" s="65"/>
      <c r="P324" s="65"/>
      <c r="Q324" s="65"/>
      <c r="R324" s="65" t="str">
        <f>IFERROR(VLOOKUP('BMP P Tracking Table'!$Q324,Dropdowns!$C$2:$E$15,3,FALSE),"")</f>
        <v/>
      </c>
      <c r="S324" s="65" t="str">
        <f>IFERROR(VLOOKUP('BMP P Tracking Table'!$R324,Dropdowns!$Q$3:$R$23,2,FALSE),"")</f>
        <v/>
      </c>
      <c r="T324" s="65"/>
      <c r="U324" s="65"/>
      <c r="V324" s="65"/>
      <c r="W324" s="65"/>
      <c r="X324" s="65"/>
      <c r="Y324" s="65"/>
      <c r="Z324" s="65"/>
      <c r="AA324" s="65"/>
      <c r="AB324" s="65"/>
      <c r="AC324" s="97"/>
      <c r="AD324" s="65"/>
      <c r="AE324" s="104" t="str">
        <f>IFERROR('BMP P Tracking Table'!$V324*VLOOKUP('BMP P Tracking Table'!$R324,'Loading Rates'!$B$1:$L$24,4,FALSE)+IF('BMP P Tracking Table'!$W324="By HSG",'BMP P Tracking Table'!$X324*VLOOKUP('BMP P Tracking Table'!$R324,'Loading Rates'!$B$1:$L$24,6,FALSE)+'BMP P Tracking Table'!$Y324*VLOOKUP('BMP P Tracking Table'!$R324,'Loading Rates'!$B$1:$L$24,7,FALSE)+'BMP P Tracking Table'!$Z324*VLOOKUP('BMP P Tracking Table'!$R324,'Loading Rates'!$B$1:$L$24,8,FALSE)+'BMP P Tracking Table'!$AA324*VLOOKUP('BMP P Tracking Table'!$R324,'Loading Rates'!$B$1:$L$24,9,FALSE),'BMP P Tracking Table'!$AB324*VLOOKUP('BMP P Tracking Table'!$R324,'Loading Rates'!$B$1:$L$24,10,FALSE)),"")</f>
        <v/>
      </c>
      <c r="AF324" s="104" t="str">
        <f>IFERROR(MIN(2,IF('BMP P Tracking Table'!$W324="Total Pervious",(-(3630*'BMP P Tracking Table'!$V324+20.691*'BMP P Tracking Table'!$AB324)+SQRT((3630*'BMP P Tracking Table'!$V324+20.691*'BMP P Tracking Table'!$AB324)^2-(4*(996.798*'BMP P Tracking Table'!$AB324)*-'BMP P Tracking Table'!$AC324)))/(2*(996.798*'BMP P Tracking Table'!$AB324)),IF(SUM('BMP P Tracking Table'!$X324:$AA324)=0,'BMP P Tracking Table'!$AC324/(-3630*'BMP P Tracking Table'!$V324),(-(3630*'BMP P Tracking Table'!$V324+20.691*'BMP P Tracking Table'!$AA324-216.711*'BMP P Tracking Table'!$Z324-83.853*'BMP P Tracking Table'!$Y324-42.834*'BMP P Tracking Table'!$X324)+SQRT((3630*'BMP P Tracking Table'!$V324+20.691*'BMP P Tracking Table'!$AA324-216.711*'BMP P Tracking Table'!$Z324-83.853*'BMP P Tracking Table'!$Y324-42.834*'BMP P Tracking Table'!$X324)^2-(4*(149.919*'BMP P Tracking Table'!$X324+236.676*'BMP P Tracking Table'!$Y324+726*'BMP P Tracking Table'!$Z324+996.798*'BMP P Tracking Table'!$AA324)*-'BMP P Tracking Table'!$AC324)))/(2*(149.919*'BMP P Tracking Table'!$X324+236.676*'BMP P Tracking Table'!$Y324+726*'BMP P Tracking Table'!$Z324+996.798*'BMP P Tracking Table'!$AA324))))),"")</f>
        <v/>
      </c>
      <c r="AG324" s="104" t="str">
        <f>IFERROR((VLOOKUP(CONCATENATE('BMP P Tracking Table'!$U324," ",'BMP P Tracking Table'!$AD324),'Performance Curves'!$C$1:$L$46,_xlfn.SINGLE(MATCH('BMP P Tracking Table'!$AF324,'Performance Curves'!$D$1:$L$1,1))+2,FALSE)-VLOOKUP(CONCATENATE('BMP P Tracking Table'!$U324," ",'BMP P Tracking Table'!$AD324),'Performance Curves'!$C$1:$L$46,_xlfn.SINGLE(MATCH('BMP P Tracking Table'!$AF324,'Performance Curves'!$D$1:$L$1,1))+1,FALSE)),"")</f>
        <v/>
      </c>
      <c r="AH324" s="104" t="str">
        <f>IFERROR(('BMP P Tracking Table'!$AF324-INDEX('Performance Curves'!$D$1:$L$1,1,MATCH('BMP P Tracking Table'!$AF324,'Performance Curves'!$D$1:$L$1,1)))/(INDEX('Performance Curves'!$D$1:$L$1,1,MATCH('BMP P Tracking Table'!$AF324,'Performance Curves'!$D$1:$L$1,1)+1)-INDEX('Performance Curves'!$D$1:$L$1,1,MATCH('BMP P Tracking Table'!$AF324,'Performance Curves'!$D$1:$L$1,1))),"")</f>
        <v/>
      </c>
      <c r="AI324" s="103" t="str">
        <f>IFERROR(IF('BMP P Tracking Table'!$AF324=2,VLOOKUP(CONCATENATE('BMP P Tracking Table'!$U324," ",'BMP P Tracking Table'!$AD324),'Performance Curves'!$C$1:$L$46,_xlfn.SINGLE(MATCH('BMP P Tracking Table'!$AF324,'Performance Curves'!$D$1:$L$1,1))+1,FALSE),'BMP P Tracking Table'!$AG324*'BMP P Tracking Table'!$AH324+VLOOKUP(CONCATENATE('BMP P Tracking Table'!$U324," ",'BMP P Tracking Table'!$AD324),'Performance Curves'!$C$1:$L$46,_xlfn.SINGLE(MATCH('BMP P Tracking Table'!$AF324,'Performance Curves'!$D$1:$L$1,1))+1,FALSE)),"")</f>
        <v/>
      </c>
      <c r="AJ324" s="104" t="str">
        <f>IFERROR('BMP P Tracking Table'!$AI324*'BMP P Tracking Table'!$AE324,"")</f>
        <v/>
      </c>
      <c r="AK324" s="65"/>
      <c r="AL324" s="98"/>
      <c r="AM324" s="98"/>
      <c r="AN324" s="64">
        <v>1</v>
      </c>
      <c r="AO324" s="102" t="str">
        <f t="shared" si="37"/>
        <v/>
      </c>
      <c r="AP324" s="98"/>
      <c r="AQ324" s="98"/>
      <c r="AR324" s="98"/>
      <c r="AS324" s="98"/>
      <c r="AT324" s="98"/>
      <c r="AU324" s="98"/>
      <c r="AV324" s="98"/>
      <c r="AW324" s="65"/>
      <c r="AX324" s="99"/>
      <c r="AY324" s="99"/>
      <c r="AZ324" s="104" t="str">
        <f>IF('BMP P Tracking Table'!$AL324="Yes",IF('BMP P Tracking Table'!$AM324="No",'BMP P Tracking Table'!$V324*VLOOKUP('BMP P Tracking Table'!$R324,'Loading Rates'!$B$1:$L$24,4,FALSE)+IF('BMP P Tracking Table'!$W324="By HSG",'BMP P Tracking Table'!$X324*VLOOKUP('BMP P Tracking Table'!$R324,'Loading Rates'!$B$1:$L$24,6,FALSE)+'BMP P Tracking Table'!$Y324*VLOOKUP('BMP P Tracking Table'!$R324,'Loading Rates'!$B$1:$L$24,7,FALSE)+'BMP P Tracking Table'!$Z324*VLOOKUP('BMP P Tracking Table'!$R324,'Loading Rates'!$B$1:$L$24,8,FALSE)+'BMP P Tracking Table'!$AA324*VLOOKUP('BMP P Tracking Table'!$R324,'Loading Rates'!$B$1:$L$24,9,FALSE),'BMP P Tracking Table'!$AB324*VLOOKUP('BMP P Tracking Table'!$R324,'Loading Rates'!$B$1:$L$24,10,FALSE)),'BMP P Tracking Table'!$AP324*VLOOKUP('BMP P Tracking Table'!$R324,'Loading Rates'!$B$1:$L$24,4,FALSE)+IF('BMP P Tracking Table'!$AQ324="By HSG",'BMP P Tracking Table'!$AR324*VLOOKUP('BMP P Tracking Table'!$R324,'Loading Rates'!$B$1:$L$24,6,FALSE)+'BMP P Tracking Table'!$AS324*VLOOKUP('BMP P Tracking Table'!$R324,'Loading Rates'!$B$1:$L$24,7,FALSE)+'BMP P Tracking Table'!$AT324*VLOOKUP('BMP P Tracking Table'!$R324,'Loading Rates'!$B$1:$L$24,8,FALSE)+'BMP P Tracking Table'!$AU324*VLOOKUP('BMP P Tracking Table'!$R324,'Loading Rates'!$B$1:$L$24,9,FALSE),'BMP P Tracking Table'!$AV324*VLOOKUP('BMP P Tracking Table'!$R324,'Loading Rates'!$B$1:$L$24,10,FALSE))),"")</f>
        <v/>
      </c>
      <c r="BA324" s="104" t="str">
        <f>IFERROR(IF('BMP P Tracking Table'!$AM324="Yes",MIN(2,IF('BMP P Tracking Table'!$AQ324="Total Pervious",(-(3630*'BMP P Tracking Table'!$AP324+20.691*'BMP P Tracking Table'!$AV324)+SQRT((3630*'BMP P Tracking Table'!$AP324+20.691*'BMP P Tracking Table'!$AV324)^2-(4*(996.798*'BMP P Tracking Table'!$AV324)*-'BMP P Tracking Table'!$AX324)))/(2*(996.798*'BMP P Tracking Table'!$AV324)),IF(SUM('BMP P Tracking Table'!$AR324:$AU324)=0,'BMP P Tracking Table'!$AV324/(-3630*'BMP P Tracking Table'!$AP324),(-(3630*'BMP P Tracking Table'!$AP324+20.691*'BMP P Tracking Table'!$AU324-216.711*'BMP P Tracking Table'!$AT324-83.853*'BMP P Tracking Table'!$AS324-42.834*'BMP P Tracking Table'!$AR324)+SQRT((3630*'BMP P Tracking Table'!$AP324+20.691*'BMP P Tracking Table'!$AU324-216.711*'BMP P Tracking Table'!$AT324-83.853*'BMP P Tracking Table'!$AS324-42.834*'BMP P Tracking Table'!$AR324)^2-(4*(149.919*'BMP P Tracking Table'!$AR324+236.676*'BMP P Tracking Table'!$AS324+726*'BMP P Tracking Table'!$AT324+996.798*'BMP P Tracking Table'!$AU324)*-'BMP P Tracking Table'!$AX324)))/(2*(149.919*'BMP P Tracking Table'!$AR324+236.676*'BMP P Tracking Table'!$AS324+726*'BMP P Tracking Table'!$AT324+996.798*'BMP P Tracking Table'!$AU324))))),MIN(2,IF('BMP P Tracking Table'!$AQ324="Total Pervious",(-(3630*'BMP P Tracking Table'!$V324+20.691*'BMP P Tracking Table'!$AB324)+SQRT((3630*'BMP P Tracking Table'!$V324+20.691*'BMP P Tracking Table'!$AB324)^2-(4*(996.798*'BMP P Tracking Table'!$AB324)*-'BMP P Tracking Table'!$AX324)))/(2*(996.798*'BMP P Tracking Table'!$AB324)),IF(SUM('BMP P Tracking Table'!$X324:$AA324)=0,'BMP P Tracking Table'!$AX324/(-3630*'BMP P Tracking Table'!$V324),(-(3630*'BMP P Tracking Table'!$V324+20.691*'BMP P Tracking Table'!$AA324-216.711*'BMP P Tracking Table'!$Z324-83.853*'BMP P Tracking Table'!$Y324-42.834*'BMP P Tracking Table'!$X324)+SQRT((3630*'BMP P Tracking Table'!$V324+20.691*'BMP P Tracking Table'!$AA324-216.711*'BMP P Tracking Table'!$Z324-83.853*'BMP P Tracking Table'!$Y324-42.834*'BMP P Tracking Table'!$X324)^2-(4*(149.919*'BMP P Tracking Table'!$X324+236.676*'BMP P Tracking Table'!$Y324+726*'BMP P Tracking Table'!$Z324+996.798*'BMP P Tracking Table'!$AA324)*-'BMP P Tracking Table'!$AX324)))/(2*(149.919*'BMP P Tracking Table'!$X324+236.676*'BMP P Tracking Table'!$Y324+726*'BMP P Tracking Table'!$Z324+996.798*'BMP P Tracking Table'!$AA324)))))),"")</f>
        <v/>
      </c>
      <c r="BB324" s="102" t="str">
        <f>IFERROR((VLOOKUP(CONCATENATE('BMP P Tracking Table'!$AW324," ",'BMP P Tracking Table'!$AY324),'Performance Curves'!$C$1:$L$46,_xlfn.SINGLE(MATCH('BMP P Tracking Table'!$BA324,'Performance Curves'!$D$1:$L$1,1))+2,FALSE)-VLOOKUP(CONCATENATE('BMP P Tracking Table'!$AW324," ",'BMP P Tracking Table'!$AY324),'Performance Curves'!$C$1:$L$46,_xlfn.SINGLE(MATCH('BMP P Tracking Table'!$BA324,'Performance Curves'!$D$1:$L$1,1))+1,FALSE)),"")</f>
        <v/>
      </c>
      <c r="BC324" s="102" t="str">
        <f>IFERROR(('BMP P Tracking Table'!$BA324-INDEX('Performance Curves'!$D$1:$L$1,1,MATCH('BMP P Tracking Table'!$BA324,'Performance Curves'!$D$1:$L$1,1)))/(INDEX('Performance Curves'!$D$1:$L$1,1,MATCH('BMP P Tracking Table'!$BA324,'Performance Curves'!$D$1:$L$1,1)+1)-INDEX('Performance Curves'!$D$1:$L$1,1,MATCH('BMP P Tracking Table'!$BA324,'Performance Curves'!$D$1:$L$1,1))),"")</f>
        <v/>
      </c>
      <c r="BD324" s="103" t="str" cm="1">
        <f t="array" ref="BD324">IFERROR(IF('BMP P Tracking Table'!$BA324=2,VLOOKUP(CONCATENATE('BMP P Tracking Table'!$AW324," ",'BMP P Tracking Table'!$AY324),'Performance Curves'!$C$1:$L$44,_xlfn.SINGLE(MATCH('BMP P Tracking Table'!$BA324,'Performance Curves'!$D$1:$L$1,1))+1,FALSE),'BMP P Tracking Table'!$BB324*'BMP P Tracking Table'!$BC324+VLOOKUP(CONCATENATE('BMP P Tracking Table'!$AW324," ",'BMP P Tracking Table'!$AY324),'Performance Curves'!$C$1:$L$44,_xlfn.SINGLE(MATCH('BMP P Tracking Table'!$BA324,'Performance Curves'!$D$1:$L$1,1))+1,FALSE)),"")</f>
        <v/>
      </c>
      <c r="BE324" s="104" t="str">
        <f>IFERROR('BMP P Tracking Table'!$BD324*'BMP P Tracking Table'!$AZ324,"")</f>
        <v/>
      </c>
      <c r="BF324" s="98"/>
      <c r="BG324" s="37">
        <f t="shared" si="38"/>
        <v>0</v>
      </c>
    </row>
    <row r="325" spans="2:59" s="36" customFormat="1">
      <c r="B325" s="65"/>
      <c r="C325" s="65"/>
      <c r="D325" s="65"/>
      <c r="E325" s="65"/>
      <c r="F325" s="94"/>
      <c r="G325" s="94"/>
      <c r="H325" s="65"/>
      <c r="I325" s="65"/>
      <c r="J325" s="65"/>
      <c r="K325" s="95"/>
      <c r="L325" s="65"/>
      <c r="M325" s="65"/>
      <c r="N325" s="65"/>
      <c r="O325" s="65"/>
      <c r="P325" s="65"/>
      <c r="Q325" s="65"/>
      <c r="R325" s="65" t="str">
        <f>IFERROR(VLOOKUP('BMP P Tracking Table'!$Q325,Dropdowns!$C$2:$E$15,3,FALSE),"")</f>
        <v/>
      </c>
      <c r="S325" s="65" t="str">
        <f>IFERROR(VLOOKUP('BMP P Tracking Table'!$R325,Dropdowns!$Q$3:$R$23,2,FALSE),"")</f>
        <v/>
      </c>
      <c r="T325" s="65"/>
      <c r="U325" s="65"/>
      <c r="V325" s="65"/>
      <c r="W325" s="65"/>
      <c r="X325" s="65"/>
      <c r="Y325" s="65"/>
      <c r="Z325" s="65"/>
      <c r="AA325" s="65"/>
      <c r="AB325" s="65"/>
      <c r="AC325" s="97"/>
      <c r="AD325" s="65"/>
      <c r="AE325" s="104" t="str">
        <f>IFERROR('BMP P Tracking Table'!$V325*VLOOKUP('BMP P Tracking Table'!$R325,'Loading Rates'!$B$1:$L$24,4,FALSE)+IF('BMP P Tracking Table'!$W325="By HSG",'BMP P Tracking Table'!$X325*VLOOKUP('BMP P Tracking Table'!$R325,'Loading Rates'!$B$1:$L$24,6,FALSE)+'BMP P Tracking Table'!$Y325*VLOOKUP('BMP P Tracking Table'!$R325,'Loading Rates'!$B$1:$L$24,7,FALSE)+'BMP P Tracking Table'!$Z325*VLOOKUP('BMP P Tracking Table'!$R325,'Loading Rates'!$B$1:$L$24,8,FALSE)+'BMP P Tracking Table'!$AA325*VLOOKUP('BMP P Tracking Table'!$R325,'Loading Rates'!$B$1:$L$24,9,FALSE),'BMP P Tracking Table'!$AB325*VLOOKUP('BMP P Tracking Table'!$R325,'Loading Rates'!$B$1:$L$24,10,FALSE)),"")</f>
        <v/>
      </c>
      <c r="AF325" s="104" t="str">
        <f>IFERROR(MIN(2,IF('BMP P Tracking Table'!$W325="Total Pervious",(-(3630*'BMP P Tracking Table'!$V325+20.691*'BMP P Tracking Table'!$AB325)+SQRT((3630*'BMP P Tracking Table'!$V325+20.691*'BMP P Tracking Table'!$AB325)^2-(4*(996.798*'BMP P Tracking Table'!$AB325)*-'BMP P Tracking Table'!$AC325)))/(2*(996.798*'BMP P Tracking Table'!$AB325)),IF(SUM('BMP P Tracking Table'!$X325:$AA325)=0,'BMP P Tracking Table'!$AC325/(-3630*'BMP P Tracking Table'!$V325),(-(3630*'BMP P Tracking Table'!$V325+20.691*'BMP P Tracking Table'!$AA325-216.711*'BMP P Tracking Table'!$Z325-83.853*'BMP P Tracking Table'!$Y325-42.834*'BMP P Tracking Table'!$X325)+SQRT((3630*'BMP P Tracking Table'!$V325+20.691*'BMP P Tracking Table'!$AA325-216.711*'BMP P Tracking Table'!$Z325-83.853*'BMP P Tracking Table'!$Y325-42.834*'BMP P Tracking Table'!$X325)^2-(4*(149.919*'BMP P Tracking Table'!$X325+236.676*'BMP P Tracking Table'!$Y325+726*'BMP P Tracking Table'!$Z325+996.798*'BMP P Tracking Table'!$AA325)*-'BMP P Tracking Table'!$AC325)))/(2*(149.919*'BMP P Tracking Table'!$X325+236.676*'BMP P Tracking Table'!$Y325+726*'BMP P Tracking Table'!$Z325+996.798*'BMP P Tracking Table'!$AA325))))),"")</f>
        <v/>
      </c>
      <c r="AG325" s="104" t="str">
        <f>IFERROR((VLOOKUP(CONCATENATE('BMP P Tracking Table'!$U325," ",'BMP P Tracking Table'!$AD325),'Performance Curves'!$C$1:$L$46,_xlfn.SINGLE(MATCH('BMP P Tracking Table'!$AF325,'Performance Curves'!$D$1:$L$1,1))+2,FALSE)-VLOOKUP(CONCATENATE('BMP P Tracking Table'!$U325," ",'BMP P Tracking Table'!$AD325),'Performance Curves'!$C$1:$L$46,_xlfn.SINGLE(MATCH('BMP P Tracking Table'!$AF325,'Performance Curves'!$D$1:$L$1,1))+1,FALSE)),"")</f>
        <v/>
      </c>
      <c r="AH325" s="104" t="str">
        <f>IFERROR(('BMP P Tracking Table'!$AF325-INDEX('Performance Curves'!$D$1:$L$1,1,MATCH('BMP P Tracking Table'!$AF325,'Performance Curves'!$D$1:$L$1,1)))/(INDEX('Performance Curves'!$D$1:$L$1,1,MATCH('BMP P Tracking Table'!$AF325,'Performance Curves'!$D$1:$L$1,1)+1)-INDEX('Performance Curves'!$D$1:$L$1,1,MATCH('BMP P Tracking Table'!$AF325,'Performance Curves'!$D$1:$L$1,1))),"")</f>
        <v/>
      </c>
      <c r="AI325" s="103" t="str">
        <f>IFERROR(IF('BMP P Tracking Table'!$AF325=2,VLOOKUP(CONCATENATE('BMP P Tracking Table'!$U325," ",'BMP P Tracking Table'!$AD325),'Performance Curves'!$C$1:$L$46,_xlfn.SINGLE(MATCH('BMP P Tracking Table'!$AF325,'Performance Curves'!$D$1:$L$1,1))+1,FALSE),'BMP P Tracking Table'!$AG325*'BMP P Tracking Table'!$AH325+VLOOKUP(CONCATENATE('BMP P Tracking Table'!$U325," ",'BMP P Tracking Table'!$AD325),'Performance Curves'!$C$1:$L$46,_xlfn.SINGLE(MATCH('BMP P Tracking Table'!$AF325,'Performance Curves'!$D$1:$L$1,1))+1,FALSE)),"")</f>
        <v/>
      </c>
      <c r="AJ325" s="104" t="str">
        <f>IFERROR('BMP P Tracking Table'!$AI325*'BMP P Tracking Table'!$AE325,"")</f>
        <v/>
      </c>
      <c r="AK325" s="65"/>
      <c r="AL325" s="98"/>
      <c r="AM325" s="98"/>
      <c r="AN325" s="64">
        <v>1</v>
      </c>
      <c r="AO325" s="102" t="str">
        <f t="shared" si="37"/>
        <v/>
      </c>
      <c r="AP325" s="98"/>
      <c r="AQ325" s="98"/>
      <c r="AR325" s="98"/>
      <c r="AS325" s="98"/>
      <c r="AT325" s="98"/>
      <c r="AU325" s="98"/>
      <c r="AV325" s="98"/>
      <c r="AW325" s="65"/>
      <c r="AX325" s="99"/>
      <c r="AY325" s="99"/>
      <c r="AZ325" s="104" t="str">
        <f>IF('BMP P Tracking Table'!$AL325="Yes",IF('BMP P Tracking Table'!$AM325="No",'BMP P Tracking Table'!$V325*VLOOKUP('BMP P Tracking Table'!$R325,'Loading Rates'!$B$1:$L$24,4,FALSE)+IF('BMP P Tracking Table'!$W325="By HSG",'BMP P Tracking Table'!$X325*VLOOKUP('BMP P Tracking Table'!$R325,'Loading Rates'!$B$1:$L$24,6,FALSE)+'BMP P Tracking Table'!$Y325*VLOOKUP('BMP P Tracking Table'!$R325,'Loading Rates'!$B$1:$L$24,7,FALSE)+'BMP P Tracking Table'!$Z325*VLOOKUP('BMP P Tracking Table'!$R325,'Loading Rates'!$B$1:$L$24,8,FALSE)+'BMP P Tracking Table'!$AA325*VLOOKUP('BMP P Tracking Table'!$R325,'Loading Rates'!$B$1:$L$24,9,FALSE),'BMP P Tracking Table'!$AB325*VLOOKUP('BMP P Tracking Table'!$R325,'Loading Rates'!$B$1:$L$24,10,FALSE)),'BMP P Tracking Table'!$AP325*VLOOKUP('BMP P Tracking Table'!$R325,'Loading Rates'!$B$1:$L$24,4,FALSE)+IF('BMP P Tracking Table'!$AQ325="By HSG",'BMP P Tracking Table'!$AR325*VLOOKUP('BMP P Tracking Table'!$R325,'Loading Rates'!$B$1:$L$24,6,FALSE)+'BMP P Tracking Table'!$AS325*VLOOKUP('BMP P Tracking Table'!$R325,'Loading Rates'!$B$1:$L$24,7,FALSE)+'BMP P Tracking Table'!$AT325*VLOOKUP('BMP P Tracking Table'!$R325,'Loading Rates'!$B$1:$L$24,8,FALSE)+'BMP P Tracking Table'!$AU325*VLOOKUP('BMP P Tracking Table'!$R325,'Loading Rates'!$B$1:$L$24,9,FALSE),'BMP P Tracking Table'!$AV325*VLOOKUP('BMP P Tracking Table'!$R325,'Loading Rates'!$B$1:$L$24,10,FALSE))),"")</f>
        <v/>
      </c>
      <c r="BA325" s="104" t="str">
        <f>IFERROR(IF('BMP P Tracking Table'!$AM325="Yes",MIN(2,IF('BMP P Tracking Table'!$AQ325="Total Pervious",(-(3630*'BMP P Tracking Table'!$AP325+20.691*'BMP P Tracking Table'!$AV325)+SQRT((3630*'BMP P Tracking Table'!$AP325+20.691*'BMP P Tracking Table'!$AV325)^2-(4*(996.798*'BMP P Tracking Table'!$AV325)*-'BMP P Tracking Table'!$AX325)))/(2*(996.798*'BMP P Tracking Table'!$AV325)),IF(SUM('BMP P Tracking Table'!$AR325:$AU325)=0,'BMP P Tracking Table'!$AV325/(-3630*'BMP P Tracking Table'!$AP325),(-(3630*'BMP P Tracking Table'!$AP325+20.691*'BMP P Tracking Table'!$AU325-216.711*'BMP P Tracking Table'!$AT325-83.853*'BMP P Tracking Table'!$AS325-42.834*'BMP P Tracking Table'!$AR325)+SQRT((3630*'BMP P Tracking Table'!$AP325+20.691*'BMP P Tracking Table'!$AU325-216.711*'BMP P Tracking Table'!$AT325-83.853*'BMP P Tracking Table'!$AS325-42.834*'BMP P Tracking Table'!$AR325)^2-(4*(149.919*'BMP P Tracking Table'!$AR325+236.676*'BMP P Tracking Table'!$AS325+726*'BMP P Tracking Table'!$AT325+996.798*'BMP P Tracking Table'!$AU325)*-'BMP P Tracking Table'!$AX325)))/(2*(149.919*'BMP P Tracking Table'!$AR325+236.676*'BMP P Tracking Table'!$AS325+726*'BMP P Tracking Table'!$AT325+996.798*'BMP P Tracking Table'!$AU325))))),MIN(2,IF('BMP P Tracking Table'!$AQ325="Total Pervious",(-(3630*'BMP P Tracking Table'!$V325+20.691*'BMP P Tracking Table'!$AB325)+SQRT((3630*'BMP P Tracking Table'!$V325+20.691*'BMP P Tracking Table'!$AB325)^2-(4*(996.798*'BMP P Tracking Table'!$AB325)*-'BMP P Tracking Table'!$AX325)))/(2*(996.798*'BMP P Tracking Table'!$AB325)),IF(SUM('BMP P Tracking Table'!$X325:$AA325)=0,'BMP P Tracking Table'!$AX325/(-3630*'BMP P Tracking Table'!$V325),(-(3630*'BMP P Tracking Table'!$V325+20.691*'BMP P Tracking Table'!$AA325-216.711*'BMP P Tracking Table'!$Z325-83.853*'BMP P Tracking Table'!$Y325-42.834*'BMP P Tracking Table'!$X325)+SQRT((3630*'BMP P Tracking Table'!$V325+20.691*'BMP P Tracking Table'!$AA325-216.711*'BMP P Tracking Table'!$Z325-83.853*'BMP P Tracking Table'!$Y325-42.834*'BMP P Tracking Table'!$X325)^2-(4*(149.919*'BMP P Tracking Table'!$X325+236.676*'BMP P Tracking Table'!$Y325+726*'BMP P Tracking Table'!$Z325+996.798*'BMP P Tracking Table'!$AA325)*-'BMP P Tracking Table'!$AX325)))/(2*(149.919*'BMP P Tracking Table'!$X325+236.676*'BMP P Tracking Table'!$Y325+726*'BMP P Tracking Table'!$Z325+996.798*'BMP P Tracking Table'!$AA325)))))),"")</f>
        <v/>
      </c>
      <c r="BB325" s="102" t="str">
        <f>IFERROR((VLOOKUP(CONCATENATE('BMP P Tracking Table'!$AW325," ",'BMP P Tracking Table'!$AY325),'Performance Curves'!$C$1:$L$46,_xlfn.SINGLE(MATCH('BMP P Tracking Table'!$BA325,'Performance Curves'!$D$1:$L$1,1))+2,FALSE)-VLOOKUP(CONCATENATE('BMP P Tracking Table'!$AW325," ",'BMP P Tracking Table'!$AY325),'Performance Curves'!$C$1:$L$46,_xlfn.SINGLE(MATCH('BMP P Tracking Table'!$BA325,'Performance Curves'!$D$1:$L$1,1))+1,FALSE)),"")</f>
        <v/>
      </c>
      <c r="BC325" s="102" t="str">
        <f>IFERROR(('BMP P Tracking Table'!$BA325-INDEX('Performance Curves'!$D$1:$L$1,1,MATCH('BMP P Tracking Table'!$BA325,'Performance Curves'!$D$1:$L$1,1)))/(INDEX('Performance Curves'!$D$1:$L$1,1,MATCH('BMP P Tracking Table'!$BA325,'Performance Curves'!$D$1:$L$1,1)+1)-INDEX('Performance Curves'!$D$1:$L$1,1,MATCH('BMP P Tracking Table'!$BA325,'Performance Curves'!$D$1:$L$1,1))),"")</f>
        <v/>
      </c>
      <c r="BD325" s="103" t="str" cm="1">
        <f t="array" ref="BD325">IFERROR(IF('BMP P Tracking Table'!$BA325=2,VLOOKUP(CONCATENATE('BMP P Tracking Table'!$AW325," ",'BMP P Tracking Table'!$AY325),'Performance Curves'!$C$1:$L$44,_xlfn.SINGLE(MATCH('BMP P Tracking Table'!$BA325,'Performance Curves'!$D$1:$L$1,1))+1,FALSE),'BMP P Tracking Table'!$BB325*'BMP P Tracking Table'!$BC325+VLOOKUP(CONCATENATE('BMP P Tracking Table'!$AW325," ",'BMP P Tracking Table'!$AY325),'Performance Curves'!$C$1:$L$44,_xlfn.SINGLE(MATCH('BMP P Tracking Table'!$BA325,'Performance Curves'!$D$1:$L$1,1))+1,FALSE)),"")</f>
        <v/>
      </c>
      <c r="BE325" s="104" t="str">
        <f>IFERROR('BMP P Tracking Table'!$BD325*'BMP P Tracking Table'!$AZ325,"")</f>
        <v/>
      </c>
      <c r="BF325" s="98"/>
      <c r="BG325" s="37">
        <f t="shared" si="38"/>
        <v>0</v>
      </c>
    </row>
    <row r="326" spans="2:59" s="36" customFormat="1">
      <c r="B326" s="65"/>
      <c r="C326" s="65"/>
      <c r="D326" s="65"/>
      <c r="E326" s="65"/>
      <c r="F326" s="94"/>
      <c r="G326" s="94"/>
      <c r="H326" s="65"/>
      <c r="I326" s="65"/>
      <c r="J326" s="65"/>
      <c r="K326" s="95"/>
      <c r="L326" s="65"/>
      <c r="M326" s="65"/>
      <c r="N326" s="65"/>
      <c r="O326" s="65"/>
      <c r="P326" s="65"/>
      <c r="Q326" s="65"/>
      <c r="R326" s="65" t="str">
        <f>IFERROR(VLOOKUP('BMP P Tracking Table'!$Q326,Dropdowns!$C$2:$E$15,3,FALSE),"")</f>
        <v/>
      </c>
      <c r="S326" s="65" t="str">
        <f>IFERROR(VLOOKUP('BMP P Tracking Table'!$R326,Dropdowns!$Q$3:$R$23,2,FALSE),"")</f>
        <v/>
      </c>
      <c r="T326" s="65"/>
      <c r="U326" s="65"/>
      <c r="V326" s="65"/>
      <c r="W326" s="65"/>
      <c r="X326" s="65"/>
      <c r="Y326" s="65"/>
      <c r="Z326" s="65"/>
      <c r="AA326" s="65"/>
      <c r="AB326" s="65"/>
      <c r="AC326" s="97"/>
      <c r="AD326" s="65"/>
      <c r="AE326" s="104" t="str">
        <f>IFERROR('BMP P Tracking Table'!$V326*VLOOKUP('BMP P Tracking Table'!$R326,'Loading Rates'!$B$1:$L$24,4,FALSE)+IF('BMP P Tracking Table'!$W326="By HSG",'BMP P Tracking Table'!$X326*VLOOKUP('BMP P Tracking Table'!$R326,'Loading Rates'!$B$1:$L$24,6,FALSE)+'BMP P Tracking Table'!$Y326*VLOOKUP('BMP P Tracking Table'!$R326,'Loading Rates'!$B$1:$L$24,7,FALSE)+'BMP P Tracking Table'!$Z326*VLOOKUP('BMP P Tracking Table'!$R326,'Loading Rates'!$B$1:$L$24,8,FALSE)+'BMP P Tracking Table'!$AA326*VLOOKUP('BMP P Tracking Table'!$R326,'Loading Rates'!$B$1:$L$24,9,FALSE),'BMP P Tracking Table'!$AB326*VLOOKUP('BMP P Tracking Table'!$R326,'Loading Rates'!$B$1:$L$24,10,FALSE)),"")</f>
        <v/>
      </c>
      <c r="AF326" s="104" t="str">
        <f>IFERROR(MIN(2,IF('BMP P Tracking Table'!$W326="Total Pervious",(-(3630*'BMP P Tracking Table'!$V326+20.691*'BMP P Tracking Table'!$AB326)+SQRT((3630*'BMP P Tracking Table'!$V326+20.691*'BMP P Tracking Table'!$AB326)^2-(4*(996.798*'BMP P Tracking Table'!$AB326)*-'BMP P Tracking Table'!$AC326)))/(2*(996.798*'BMP P Tracking Table'!$AB326)),IF(SUM('BMP P Tracking Table'!$X326:$AA326)=0,'BMP P Tracking Table'!$AC326/(-3630*'BMP P Tracking Table'!$V326),(-(3630*'BMP P Tracking Table'!$V326+20.691*'BMP P Tracking Table'!$AA326-216.711*'BMP P Tracking Table'!$Z326-83.853*'BMP P Tracking Table'!$Y326-42.834*'BMP P Tracking Table'!$X326)+SQRT((3630*'BMP P Tracking Table'!$V326+20.691*'BMP P Tracking Table'!$AA326-216.711*'BMP P Tracking Table'!$Z326-83.853*'BMP P Tracking Table'!$Y326-42.834*'BMP P Tracking Table'!$X326)^2-(4*(149.919*'BMP P Tracking Table'!$X326+236.676*'BMP P Tracking Table'!$Y326+726*'BMP P Tracking Table'!$Z326+996.798*'BMP P Tracking Table'!$AA326)*-'BMP P Tracking Table'!$AC326)))/(2*(149.919*'BMP P Tracking Table'!$X326+236.676*'BMP P Tracking Table'!$Y326+726*'BMP P Tracking Table'!$Z326+996.798*'BMP P Tracking Table'!$AA326))))),"")</f>
        <v/>
      </c>
      <c r="AG326" s="104" t="str">
        <f>IFERROR((VLOOKUP(CONCATENATE('BMP P Tracking Table'!$U326," ",'BMP P Tracking Table'!$AD326),'Performance Curves'!$C$1:$L$46,_xlfn.SINGLE(MATCH('BMP P Tracking Table'!$AF326,'Performance Curves'!$D$1:$L$1,1))+2,FALSE)-VLOOKUP(CONCATENATE('BMP P Tracking Table'!$U326," ",'BMP P Tracking Table'!$AD326),'Performance Curves'!$C$1:$L$46,_xlfn.SINGLE(MATCH('BMP P Tracking Table'!$AF326,'Performance Curves'!$D$1:$L$1,1))+1,FALSE)),"")</f>
        <v/>
      </c>
      <c r="AH326" s="104" t="str">
        <f>IFERROR(('BMP P Tracking Table'!$AF326-INDEX('Performance Curves'!$D$1:$L$1,1,MATCH('BMP P Tracking Table'!$AF326,'Performance Curves'!$D$1:$L$1,1)))/(INDEX('Performance Curves'!$D$1:$L$1,1,MATCH('BMP P Tracking Table'!$AF326,'Performance Curves'!$D$1:$L$1,1)+1)-INDEX('Performance Curves'!$D$1:$L$1,1,MATCH('BMP P Tracking Table'!$AF326,'Performance Curves'!$D$1:$L$1,1))),"")</f>
        <v/>
      </c>
      <c r="AI326" s="103" t="str">
        <f>IFERROR(IF('BMP P Tracking Table'!$AF326=2,VLOOKUP(CONCATENATE('BMP P Tracking Table'!$U326," ",'BMP P Tracking Table'!$AD326),'Performance Curves'!$C$1:$L$46,_xlfn.SINGLE(MATCH('BMP P Tracking Table'!$AF326,'Performance Curves'!$D$1:$L$1,1))+1,FALSE),'BMP P Tracking Table'!$AG326*'BMP P Tracking Table'!$AH326+VLOOKUP(CONCATENATE('BMP P Tracking Table'!$U326," ",'BMP P Tracking Table'!$AD326),'Performance Curves'!$C$1:$L$46,_xlfn.SINGLE(MATCH('BMP P Tracking Table'!$AF326,'Performance Curves'!$D$1:$L$1,1))+1,FALSE)),"")</f>
        <v/>
      </c>
      <c r="AJ326" s="104" t="str">
        <f>IFERROR('BMP P Tracking Table'!$AI326*'BMP P Tracking Table'!$AE326,"")</f>
        <v/>
      </c>
      <c r="AK326" s="65"/>
      <c r="AL326" s="98"/>
      <c r="AM326" s="98"/>
      <c r="AN326" s="64">
        <v>1</v>
      </c>
      <c r="AO326" s="102" t="str">
        <f t="shared" si="37"/>
        <v/>
      </c>
      <c r="AP326" s="98"/>
      <c r="AQ326" s="98"/>
      <c r="AR326" s="98"/>
      <c r="AS326" s="98"/>
      <c r="AT326" s="98"/>
      <c r="AU326" s="98"/>
      <c r="AV326" s="98"/>
      <c r="AW326" s="65"/>
      <c r="AX326" s="99"/>
      <c r="AY326" s="99"/>
      <c r="AZ326" s="104" t="str">
        <f>IF('BMP P Tracking Table'!$AL326="Yes",IF('BMP P Tracking Table'!$AM326="No",'BMP P Tracking Table'!$V326*VLOOKUP('BMP P Tracking Table'!$R326,'Loading Rates'!$B$1:$L$24,4,FALSE)+IF('BMP P Tracking Table'!$W326="By HSG",'BMP P Tracking Table'!$X326*VLOOKUP('BMP P Tracking Table'!$R326,'Loading Rates'!$B$1:$L$24,6,FALSE)+'BMP P Tracking Table'!$Y326*VLOOKUP('BMP P Tracking Table'!$R326,'Loading Rates'!$B$1:$L$24,7,FALSE)+'BMP P Tracking Table'!$Z326*VLOOKUP('BMP P Tracking Table'!$R326,'Loading Rates'!$B$1:$L$24,8,FALSE)+'BMP P Tracking Table'!$AA326*VLOOKUP('BMP P Tracking Table'!$R326,'Loading Rates'!$B$1:$L$24,9,FALSE),'BMP P Tracking Table'!$AB326*VLOOKUP('BMP P Tracking Table'!$R326,'Loading Rates'!$B$1:$L$24,10,FALSE)),'BMP P Tracking Table'!$AP326*VLOOKUP('BMP P Tracking Table'!$R326,'Loading Rates'!$B$1:$L$24,4,FALSE)+IF('BMP P Tracking Table'!$AQ326="By HSG",'BMP P Tracking Table'!$AR326*VLOOKUP('BMP P Tracking Table'!$R326,'Loading Rates'!$B$1:$L$24,6,FALSE)+'BMP P Tracking Table'!$AS326*VLOOKUP('BMP P Tracking Table'!$R326,'Loading Rates'!$B$1:$L$24,7,FALSE)+'BMP P Tracking Table'!$AT326*VLOOKUP('BMP P Tracking Table'!$R326,'Loading Rates'!$B$1:$L$24,8,FALSE)+'BMP P Tracking Table'!$AU326*VLOOKUP('BMP P Tracking Table'!$R326,'Loading Rates'!$B$1:$L$24,9,FALSE),'BMP P Tracking Table'!$AV326*VLOOKUP('BMP P Tracking Table'!$R326,'Loading Rates'!$B$1:$L$24,10,FALSE))),"")</f>
        <v/>
      </c>
      <c r="BA326" s="104" t="str">
        <f>IFERROR(IF('BMP P Tracking Table'!$AM326="Yes",MIN(2,IF('BMP P Tracking Table'!$AQ326="Total Pervious",(-(3630*'BMP P Tracking Table'!$AP326+20.691*'BMP P Tracking Table'!$AV326)+SQRT((3630*'BMP P Tracking Table'!$AP326+20.691*'BMP P Tracking Table'!$AV326)^2-(4*(996.798*'BMP P Tracking Table'!$AV326)*-'BMP P Tracking Table'!$AX326)))/(2*(996.798*'BMP P Tracking Table'!$AV326)),IF(SUM('BMP P Tracking Table'!$AR326:$AU326)=0,'BMP P Tracking Table'!$AV326/(-3630*'BMP P Tracking Table'!$AP326),(-(3630*'BMP P Tracking Table'!$AP326+20.691*'BMP P Tracking Table'!$AU326-216.711*'BMP P Tracking Table'!$AT326-83.853*'BMP P Tracking Table'!$AS326-42.834*'BMP P Tracking Table'!$AR326)+SQRT((3630*'BMP P Tracking Table'!$AP326+20.691*'BMP P Tracking Table'!$AU326-216.711*'BMP P Tracking Table'!$AT326-83.853*'BMP P Tracking Table'!$AS326-42.834*'BMP P Tracking Table'!$AR326)^2-(4*(149.919*'BMP P Tracking Table'!$AR326+236.676*'BMP P Tracking Table'!$AS326+726*'BMP P Tracking Table'!$AT326+996.798*'BMP P Tracking Table'!$AU326)*-'BMP P Tracking Table'!$AX326)))/(2*(149.919*'BMP P Tracking Table'!$AR326+236.676*'BMP P Tracking Table'!$AS326+726*'BMP P Tracking Table'!$AT326+996.798*'BMP P Tracking Table'!$AU326))))),MIN(2,IF('BMP P Tracking Table'!$AQ326="Total Pervious",(-(3630*'BMP P Tracking Table'!$V326+20.691*'BMP P Tracking Table'!$AB326)+SQRT((3630*'BMP P Tracking Table'!$V326+20.691*'BMP P Tracking Table'!$AB326)^2-(4*(996.798*'BMP P Tracking Table'!$AB326)*-'BMP P Tracking Table'!$AX326)))/(2*(996.798*'BMP P Tracking Table'!$AB326)),IF(SUM('BMP P Tracking Table'!$X326:$AA326)=0,'BMP P Tracking Table'!$AX326/(-3630*'BMP P Tracking Table'!$V326),(-(3630*'BMP P Tracking Table'!$V326+20.691*'BMP P Tracking Table'!$AA326-216.711*'BMP P Tracking Table'!$Z326-83.853*'BMP P Tracking Table'!$Y326-42.834*'BMP P Tracking Table'!$X326)+SQRT((3630*'BMP P Tracking Table'!$V326+20.691*'BMP P Tracking Table'!$AA326-216.711*'BMP P Tracking Table'!$Z326-83.853*'BMP P Tracking Table'!$Y326-42.834*'BMP P Tracking Table'!$X326)^2-(4*(149.919*'BMP P Tracking Table'!$X326+236.676*'BMP P Tracking Table'!$Y326+726*'BMP P Tracking Table'!$Z326+996.798*'BMP P Tracking Table'!$AA326)*-'BMP P Tracking Table'!$AX326)))/(2*(149.919*'BMP P Tracking Table'!$X326+236.676*'BMP P Tracking Table'!$Y326+726*'BMP P Tracking Table'!$Z326+996.798*'BMP P Tracking Table'!$AA326)))))),"")</f>
        <v/>
      </c>
      <c r="BB326" s="102" t="str">
        <f>IFERROR((VLOOKUP(CONCATENATE('BMP P Tracking Table'!$AW326," ",'BMP P Tracking Table'!$AY326),'Performance Curves'!$C$1:$L$46,_xlfn.SINGLE(MATCH('BMP P Tracking Table'!$BA326,'Performance Curves'!$D$1:$L$1,1))+2,FALSE)-VLOOKUP(CONCATENATE('BMP P Tracking Table'!$AW326," ",'BMP P Tracking Table'!$AY326),'Performance Curves'!$C$1:$L$46,_xlfn.SINGLE(MATCH('BMP P Tracking Table'!$BA326,'Performance Curves'!$D$1:$L$1,1))+1,FALSE)),"")</f>
        <v/>
      </c>
      <c r="BC326" s="102" t="str">
        <f>IFERROR(('BMP P Tracking Table'!$BA326-INDEX('Performance Curves'!$D$1:$L$1,1,MATCH('BMP P Tracking Table'!$BA326,'Performance Curves'!$D$1:$L$1,1)))/(INDEX('Performance Curves'!$D$1:$L$1,1,MATCH('BMP P Tracking Table'!$BA326,'Performance Curves'!$D$1:$L$1,1)+1)-INDEX('Performance Curves'!$D$1:$L$1,1,MATCH('BMP P Tracking Table'!$BA326,'Performance Curves'!$D$1:$L$1,1))),"")</f>
        <v/>
      </c>
      <c r="BD326" s="103" t="str" cm="1">
        <f t="array" ref="BD326">IFERROR(IF('BMP P Tracking Table'!$BA326=2,VLOOKUP(CONCATENATE('BMP P Tracking Table'!$AW326," ",'BMP P Tracking Table'!$AY326),'Performance Curves'!$C$1:$L$44,_xlfn.SINGLE(MATCH('BMP P Tracking Table'!$BA326,'Performance Curves'!$D$1:$L$1,1))+1,FALSE),'BMP P Tracking Table'!$BB326*'BMP P Tracking Table'!$BC326+VLOOKUP(CONCATENATE('BMP P Tracking Table'!$AW326," ",'BMP P Tracking Table'!$AY326),'Performance Curves'!$C$1:$L$44,_xlfn.SINGLE(MATCH('BMP P Tracking Table'!$BA326,'Performance Curves'!$D$1:$L$1,1))+1,FALSE)),"")</f>
        <v/>
      </c>
      <c r="BE326" s="104" t="str">
        <f>IFERROR('BMP P Tracking Table'!$BD326*'BMP P Tracking Table'!$AZ326,"")</f>
        <v/>
      </c>
      <c r="BF326" s="98"/>
      <c r="BG326" s="37">
        <f t="shared" si="38"/>
        <v>0</v>
      </c>
    </row>
    <row r="327" spans="2:59" s="36" customFormat="1">
      <c r="B327" s="65"/>
      <c r="C327" s="65"/>
      <c r="D327" s="65"/>
      <c r="E327" s="65"/>
      <c r="F327" s="94"/>
      <c r="G327" s="94"/>
      <c r="H327" s="65"/>
      <c r="I327" s="65"/>
      <c r="J327" s="65"/>
      <c r="K327" s="95"/>
      <c r="L327" s="65"/>
      <c r="M327" s="65"/>
      <c r="N327" s="65"/>
      <c r="O327" s="65"/>
      <c r="P327" s="65"/>
      <c r="Q327" s="65"/>
      <c r="R327" s="65" t="str">
        <f>IFERROR(VLOOKUP('BMP P Tracking Table'!$Q327,Dropdowns!$C$2:$E$15,3,FALSE),"")</f>
        <v/>
      </c>
      <c r="S327" s="65" t="str">
        <f>IFERROR(VLOOKUP('BMP P Tracking Table'!$R327,Dropdowns!$Q$3:$R$23,2,FALSE),"")</f>
        <v/>
      </c>
      <c r="T327" s="65"/>
      <c r="U327" s="65"/>
      <c r="V327" s="65"/>
      <c r="W327" s="65"/>
      <c r="X327" s="65"/>
      <c r="Y327" s="65"/>
      <c r="Z327" s="65"/>
      <c r="AA327" s="65"/>
      <c r="AB327" s="65"/>
      <c r="AC327" s="97"/>
      <c r="AD327" s="65"/>
      <c r="AE327" s="104" t="str">
        <f>IFERROR('BMP P Tracking Table'!$V327*VLOOKUP('BMP P Tracking Table'!$R327,'Loading Rates'!$B$1:$L$24,4,FALSE)+IF('BMP P Tracking Table'!$W327="By HSG",'BMP P Tracking Table'!$X327*VLOOKUP('BMP P Tracking Table'!$R327,'Loading Rates'!$B$1:$L$24,6,FALSE)+'BMP P Tracking Table'!$Y327*VLOOKUP('BMP P Tracking Table'!$R327,'Loading Rates'!$B$1:$L$24,7,FALSE)+'BMP P Tracking Table'!$Z327*VLOOKUP('BMP P Tracking Table'!$R327,'Loading Rates'!$B$1:$L$24,8,FALSE)+'BMP P Tracking Table'!$AA327*VLOOKUP('BMP P Tracking Table'!$R327,'Loading Rates'!$B$1:$L$24,9,FALSE),'BMP P Tracking Table'!$AB327*VLOOKUP('BMP P Tracking Table'!$R327,'Loading Rates'!$B$1:$L$24,10,FALSE)),"")</f>
        <v/>
      </c>
      <c r="AF327" s="104" t="str">
        <f>IFERROR(MIN(2,IF('BMP P Tracking Table'!$W327="Total Pervious",(-(3630*'BMP P Tracking Table'!$V327+20.691*'BMP P Tracking Table'!$AB327)+SQRT((3630*'BMP P Tracking Table'!$V327+20.691*'BMP P Tracking Table'!$AB327)^2-(4*(996.798*'BMP P Tracking Table'!$AB327)*-'BMP P Tracking Table'!$AC327)))/(2*(996.798*'BMP P Tracking Table'!$AB327)),IF(SUM('BMP P Tracking Table'!$X327:$AA327)=0,'BMP P Tracking Table'!$AC327/(-3630*'BMP P Tracking Table'!$V327),(-(3630*'BMP P Tracking Table'!$V327+20.691*'BMP P Tracking Table'!$AA327-216.711*'BMP P Tracking Table'!$Z327-83.853*'BMP P Tracking Table'!$Y327-42.834*'BMP P Tracking Table'!$X327)+SQRT((3630*'BMP P Tracking Table'!$V327+20.691*'BMP P Tracking Table'!$AA327-216.711*'BMP P Tracking Table'!$Z327-83.853*'BMP P Tracking Table'!$Y327-42.834*'BMP P Tracking Table'!$X327)^2-(4*(149.919*'BMP P Tracking Table'!$X327+236.676*'BMP P Tracking Table'!$Y327+726*'BMP P Tracking Table'!$Z327+996.798*'BMP P Tracking Table'!$AA327)*-'BMP P Tracking Table'!$AC327)))/(2*(149.919*'BMP P Tracking Table'!$X327+236.676*'BMP P Tracking Table'!$Y327+726*'BMP P Tracking Table'!$Z327+996.798*'BMP P Tracking Table'!$AA327))))),"")</f>
        <v/>
      </c>
      <c r="AG327" s="104" t="str">
        <f>IFERROR((VLOOKUP(CONCATENATE('BMP P Tracking Table'!$U327," ",'BMP P Tracking Table'!$AD327),'Performance Curves'!$C$1:$L$46,_xlfn.SINGLE(MATCH('BMP P Tracking Table'!$AF327,'Performance Curves'!$D$1:$L$1,1))+2,FALSE)-VLOOKUP(CONCATENATE('BMP P Tracking Table'!$U327," ",'BMP P Tracking Table'!$AD327),'Performance Curves'!$C$1:$L$46,_xlfn.SINGLE(MATCH('BMP P Tracking Table'!$AF327,'Performance Curves'!$D$1:$L$1,1))+1,FALSE)),"")</f>
        <v/>
      </c>
      <c r="AH327" s="104" t="str">
        <f>IFERROR(('BMP P Tracking Table'!$AF327-INDEX('Performance Curves'!$D$1:$L$1,1,MATCH('BMP P Tracking Table'!$AF327,'Performance Curves'!$D$1:$L$1,1)))/(INDEX('Performance Curves'!$D$1:$L$1,1,MATCH('BMP P Tracking Table'!$AF327,'Performance Curves'!$D$1:$L$1,1)+1)-INDEX('Performance Curves'!$D$1:$L$1,1,MATCH('BMP P Tracking Table'!$AF327,'Performance Curves'!$D$1:$L$1,1))),"")</f>
        <v/>
      </c>
      <c r="AI327" s="103" t="str">
        <f>IFERROR(IF('BMP P Tracking Table'!$AF327=2,VLOOKUP(CONCATENATE('BMP P Tracking Table'!$U327," ",'BMP P Tracking Table'!$AD327),'Performance Curves'!$C$1:$L$46,_xlfn.SINGLE(MATCH('BMP P Tracking Table'!$AF327,'Performance Curves'!$D$1:$L$1,1))+1,FALSE),'BMP P Tracking Table'!$AG327*'BMP P Tracking Table'!$AH327+VLOOKUP(CONCATENATE('BMP P Tracking Table'!$U327," ",'BMP P Tracking Table'!$AD327),'Performance Curves'!$C$1:$L$46,_xlfn.SINGLE(MATCH('BMP P Tracking Table'!$AF327,'Performance Curves'!$D$1:$L$1,1))+1,FALSE)),"")</f>
        <v/>
      </c>
      <c r="AJ327" s="104" t="str">
        <f>IFERROR('BMP P Tracking Table'!$AI327*'BMP P Tracking Table'!$AE327,"")</f>
        <v/>
      </c>
      <c r="AK327" s="65"/>
      <c r="AL327" s="98"/>
      <c r="AM327" s="98"/>
      <c r="AN327" s="64">
        <v>1</v>
      </c>
      <c r="AO327" s="102" t="str">
        <f t="shared" si="37"/>
        <v/>
      </c>
      <c r="AP327" s="98"/>
      <c r="AQ327" s="98"/>
      <c r="AR327" s="98"/>
      <c r="AS327" s="98"/>
      <c r="AT327" s="98"/>
      <c r="AU327" s="98"/>
      <c r="AV327" s="98"/>
      <c r="AW327" s="65"/>
      <c r="AX327" s="99"/>
      <c r="AY327" s="99"/>
      <c r="AZ327" s="104" t="str">
        <f>IF('BMP P Tracking Table'!$AL327="Yes",IF('BMP P Tracking Table'!$AM327="No",'BMP P Tracking Table'!$V327*VLOOKUP('BMP P Tracking Table'!$R327,'Loading Rates'!$B$1:$L$24,4,FALSE)+IF('BMP P Tracking Table'!$W327="By HSG",'BMP P Tracking Table'!$X327*VLOOKUP('BMP P Tracking Table'!$R327,'Loading Rates'!$B$1:$L$24,6,FALSE)+'BMP P Tracking Table'!$Y327*VLOOKUP('BMP P Tracking Table'!$R327,'Loading Rates'!$B$1:$L$24,7,FALSE)+'BMP P Tracking Table'!$Z327*VLOOKUP('BMP P Tracking Table'!$R327,'Loading Rates'!$B$1:$L$24,8,FALSE)+'BMP P Tracking Table'!$AA327*VLOOKUP('BMP P Tracking Table'!$R327,'Loading Rates'!$B$1:$L$24,9,FALSE),'BMP P Tracking Table'!$AB327*VLOOKUP('BMP P Tracking Table'!$R327,'Loading Rates'!$B$1:$L$24,10,FALSE)),'BMP P Tracking Table'!$AP327*VLOOKUP('BMP P Tracking Table'!$R327,'Loading Rates'!$B$1:$L$24,4,FALSE)+IF('BMP P Tracking Table'!$AQ327="By HSG",'BMP P Tracking Table'!$AR327*VLOOKUP('BMP P Tracking Table'!$R327,'Loading Rates'!$B$1:$L$24,6,FALSE)+'BMP P Tracking Table'!$AS327*VLOOKUP('BMP P Tracking Table'!$R327,'Loading Rates'!$B$1:$L$24,7,FALSE)+'BMP P Tracking Table'!$AT327*VLOOKUP('BMP P Tracking Table'!$R327,'Loading Rates'!$B$1:$L$24,8,FALSE)+'BMP P Tracking Table'!$AU327*VLOOKUP('BMP P Tracking Table'!$R327,'Loading Rates'!$B$1:$L$24,9,FALSE),'BMP P Tracking Table'!$AV327*VLOOKUP('BMP P Tracking Table'!$R327,'Loading Rates'!$B$1:$L$24,10,FALSE))),"")</f>
        <v/>
      </c>
      <c r="BA327" s="104" t="str">
        <f>IFERROR(IF('BMP P Tracking Table'!$AM327="Yes",MIN(2,IF('BMP P Tracking Table'!$AQ327="Total Pervious",(-(3630*'BMP P Tracking Table'!$AP327+20.691*'BMP P Tracking Table'!$AV327)+SQRT((3630*'BMP P Tracking Table'!$AP327+20.691*'BMP P Tracking Table'!$AV327)^2-(4*(996.798*'BMP P Tracking Table'!$AV327)*-'BMP P Tracking Table'!$AX327)))/(2*(996.798*'BMP P Tracking Table'!$AV327)),IF(SUM('BMP P Tracking Table'!$AR327:$AU327)=0,'BMP P Tracking Table'!$AV327/(-3630*'BMP P Tracking Table'!$AP327),(-(3630*'BMP P Tracking Table'!$AP327+20.691*'BMP P Tracking Table'!$AU327-216.711*'BMP P Tracking Table'!$AT327-83.853*'BMP P Tracking Table'!$AS327-42.834*'BMP P Tracking Table'!$AR327)+SQRT((3630*'BMP P Tracking Table'!$AP327+20.691*'BMP P Tracking Table'!$AU327-216.711*'BMP P Tracking Table'!$AT327-83.853*'BMP P Tracking Table'!$AS327-42.834*'BMP P Tracking Table'!$AR327)^2-(4*(149.919*'BMP P Tracking Table'!$AR327+236.676*'BMP P Tracking Table'!$AS327+726*'BMP P Tracking Table'!$AT327+996.798*'BMP P Tracking Table'!$AU327)*-'BMP P Tracking Table'!$AX327)))/(2*(149.919*'BMP P Tracking Table'!$AR327+236.676*'BMP P Tracking Table'!$AS327+726*'BMP P Tracking Table'!$AT327+996.798*'BMP P Tracking Table'!$AU327))))),MIN(2,IF('BMP P Tracking Table'!$AQ327="Total Pervious",(-(3630*'BMP P Tracking Table'!$V327+20.691*'BMP P Tracking Table'!$AB327)+SQRT((3630*'BMP P Tracking Table'!$V327+20.691*'BMP P Tracking Table'!$AB327)^2-(4*(996.798*'BMP P Tracking Table'!$AB327)*-'BMP P Tracking Table'!$AX327)))/(2*(996.798*'BMP P Tracking Table'!$AB327)),IF(SUM('BMP P Tracking Table'!$X327:$AA327)=0,'BMP P Tracking Table'!$AX327/(-3630*'BMP P Tracking Table'!$V327),(-(3630*'BMP P Tracking Table'!$V327+20.691*'BMP P Tracking Table'!$AA327-216.711*'BMP P Tracking Table'!$Z327-83.853*'BMP P Tracking Table'!$Y327-42.834*'BMP P Tracking Table'!$X327)+SQRT((3630*'BMP P Tracking Table'!$V327+20.691*'BMP P Tracking Table'!$AA327-216.711*'BMP P Tracking Table'!$Z327-83.853*'BMP P Tracking Table'!$Y327-42.834*'BMP P Tracking Table'!$X327)^2-(4*(149.919*'BMP P Tracking Table'!$X327+236.676*'BMP P Tracking Table'!$Y327+726*'BMP P Tracking Table'!$Z327+996.798*'BMP P Tracking Table'!$AA327)*-'BMP P Tracking Table'!$AX327)))/(2*(149.919*'BMP P Tracking Table'!$X327+236.676*'BMP P Tracking Table'!$Y327+726*'BMP P Tracking Table'!$Z327+996.798*'BMP P Tracking Table'!$AA327)))))),"")</f>
        <v/>
      </c>
      <c r="BB327" s="102" t="str">
        <f>IFERROR((VLOOKUP(CONCATENATE('BMP P Tracking Table'!$AW327," ",'BMP P Tracking Table'!$AY327),'Performance Curves'!$C$1:$L$46,_xlfn.SINGLE(MATCH('BMP P Tracking Table'!$BA327,'Performance Curves'!$D$1:$L$1,1))+2,FALSE)-VLOOKUP(CONCATENATE('BMP P Tracking Table'!$AW327," ",'BMP P Tracking Table'!$AY327),'Performance Curves'!$C$1:$L$46,_xlfn.SINGLE(MATCH('BMP P Tracking Table'!$BA327,'Performance Curves'!$D$1:$L$1,1))+1,FALSE)),"")</f>
        <v/>
      </c>
      <c r="BC327" s="102" t="str">
        <f>IFERROR(('BMP P Tracking Table'!$BA327-INDEX('Performance Curves'!$D$1:$L$1,1,MATCH('BMP P Tracking Table'!$BA327,'Performance Curves'!$D$1:$L$1,1)))/(INDEX('Performance Curves'!$D$1:$L$1,1,MATCH('BMP P Tracking Table'!$BA327,'Performance Curves'!$D$1:$L$1,1)+1)-INDEX('Performance Curves'!$D$1:$L$1,1,MATCH('BMP P Tracking Table'!$BA327,'Performance Curves'!$D$1:$L$1,1))),"")</f>
        <v/>
      </c>
      <c r="BD327" s="103" t="str" cm="1">
        <f t="array" ref="BD327">IFERROR(IF('BMP P Tracking Table'!$BA327=2,VLOOKUP(CONCATENATE('BMP P Tracking Table'!$AW327," ",'BMP P Tracking Table'!$AY327),'Performance Curves'!$C$1:$L$44,_xlfn.SINGLE(MATCH('BMP P Tracking Table'!$BA327,'Performance Curves'!$D$1:$L$1,1))+1,FALSE),'BMP P Tracking Table'!$BB327*'BMP P Tracking Table'!$BC327+VLOOKUP(CONCATENATE('BMP P Tracking Table'!$AW327," ",'BMP P Tracking Table'!$AY327),'Performance Curves'!$C$1:$L$44,_xlfn.SINGLE(MATCH('BMP P Tracking Table'!$BA327,'Performance Curves'!$D$1:$L$1,1))+1,FALSE)),"")</f>
        <v/>
      </c>
      <c r="BE327" s="104" t="str">
        <f>IFERROR('BMP P Tracking Table'!$BD327*'BMP P Tracking Table'!$AZ327,"")</f>
        <v/>
      </c>
      <c r="BF327" s="98"/>
      <c r="BG327" s="37">
        <f t="shared" si="38"/>
        <v>0</v>
      </c>
    </row>
    <row r="328" spans="2:59" s="36" customFormat="1">
      <c r="B328" s="65"/>
      <c r="C328" s="65"/>
      <c r="D328" s="65"/>
      <c r="E328" s="65"/>
      <c r="F328" s="94"/>
      <c r="G328" s="94"/>
      <c r="H328" s="65"/>
      <c r="I328" s="65"/>
      <c r="J328" s="65"/>
      <c r="K328" s="95"/>
      <c r="L328" s="65"/>
      <c r="M328" s="65"/>
      <c r="N328" s="65"/>
      <c r="O328" s="65"/>
      <c r="P328" s="65"/>
      <c r="Q328" s="65"/>
      <c r="R328" s="65" t="str">
        <f>IFERROR(VLOOKUP('BMP P Tracking Table'!$Q328,Dropdowns!$C$2:$E$15,3,FALSE),"")</f>
        <v/>
      </c>
      <c r="S328" s="65" t="str">
        <f>IFERROR(VLOOKUP('BMP P Tracking Table'!$R328,Dropdowns!$Q$3:$R$23,2,FALSE),"")</f>
        <v/>
      </c>
      <c r="T328" s="65"/>
      <c r="U328" s="65"/>
      <c r="V328" s="65"/>
      <c r="W328" s="65"/>
      <c r="X328" s="65"/>
      <c r="Y328" s="65"/>
      <c r="Z328" s="65"/>
      <c r="AA328" s="65"/>
      <c r="AB328" s="65"/>
      <c r="AC328" s="97"/>
      <c r="AD328" s="65"/>
      <c r="AE328" s="104" t="str">
        <f>IFERROR('BMP P Tracking Table'!$V328*VLOOKUP('BMP P Tracking Table'!$R328,'Loading Rates'!$B$1:$L$24,4,FALSE)+IF('BMP P Tracking Table'!$W328="By HSG",'BMP P Tracking Table'!$X328*VLOOKUP('BMP P Tracking Table'!$R328,'Loading Rates'!$B$1:$L$24,6,FALSE)+'BMP P Tracking Table'!$Y328*VLOOKUP('BMP P Tracking Table'!$R328,'Loading Rates'!$B$1:$L$24,7,FALSE)+'BMP P Tracking Table'!$Z328*VLOOKUP('BMP P Tracking Table'!$R328,'Loading Rates'!$B$1:$L$24,8,FALSE)+'BMP P Tracking Table'!$AA328*VLOOKUP('BMP P Tracking Table'!$R328,'Loading Rates'!$B$1:$L$24,9,FALSE),'BMP P Tracking Table'!$AB328*VLOOKUP('BMP P Tracking Table'!$R328,'Loading Rates'!$B$1:$L$24,10,FALSE)),"")</f>
        <v/>
      </c>
      <c r="AF328" s="104" t="str">
        <f>IFERROR(MIN(2,IF('BMP P Tracking Table'!$W328="Total Pervious",(-(3630*'BMP P Tracking Table'!$V328+20.691*'BMP P Tracking Table'!$AB328)+SQRT((3630*'BMP P Tracking Table'!$V328+20.691*'BMP P Tracking Table'!$AB328)^2-(4*(996.798*'BMP P Tracking Table'!$AB328)*-'BMP P Tracking Table'!$AC328)))/(2*(996.798*'BMP P Tracking Table'!$AB328)),IF(SUM('BMP P Tracking Table'!$X328:$AA328)=0,'BMP P Tracking Table'!$AC328/(-3630*'BMP P Tracking Table'!$V328),(-(3630*'BMP P Tracking Table'!$V328+20.691*'BMP P Tracking Table'!$AA328-216.711*'BMP P Tracking Table'!$Z328-83.853*'BMP P Tracking Table'!$Y328-42.834*'BMP P Tracking Table'!$X328)+SQRT((3630*'BMP P Tracking Table'!$V328+20.691*'BMP P Tracking Table'!$AA328-216.711*'BMP P Tracking Table'!$Z328-83.853*'BMP P Tracking Table'!$Y328-42.834*'BMP P Tracking Table'!$X328)^2-(4*(149.919*'BMP P Tracking Table'!$X328+236.676*'BMP P Tracking Table'!$Y328+726*'BMP P Tracking Table'!$Z328+996.798*'BMP P Tracking Table'!$AA328)*-'BMP P Tracking Table'!$AC328)))/(2*(149.919*'BMP P Tracking Table'!$X328+236.676*'BMP P Tracking Table'!$Y328+726*'BMP P Tracking Table'!$Z328+996.798*'BMP P Tracking Table'!$AA328))))),"")</f>
        <v/>
      </c>
      <c r="AG328" s="104" t="str">
        <f>IFERROR((VLOOKUP(CONCATENATE('BMP P Tracking Table'!$U328," ",'BMP P Tracking Table'!$AD328),'Performance Curves'!$C$1:$L$46,_xlfn.SINGLE(MATCH('BMP P Tracking Table'!$AF328,'Performance Curves'!$D$1:$L$1,1))+2,FALSE)-VLOOKUP(CONCATENATE('BMP P Tracking Table'!$U328," ",'BMP P Tracking Table'!$AD328),'Performance Curves'!$C$1:$L$46,_xlfn.SINGLE(MATCH('BMP P Tracking Table'!$AF328,'Performance Curves'!$D$1:$L$1,1))+1,FALSE)),"")</f>
        <v/>
      </c>
      <c r="AH328" s="104" t="str">
        <f>IFERROR(('BMP P Tracking Table'!$AF328-INDEX('Performance Curves'!$D$1:$L$1,1,MATCH('BMP P Tracking Table'!$AF328,'Performance Curves'!$D$1:$L$1,1)))/(INDEX('Performance Curves'!$D$1:$L$1,1,MATCH('BMP P Tracking Table'!$AF328,'Performance Curves'!$D$1:$L$1,1)+1)-INDEX('Performance Curves'!$D$1:$L$1,1,MATCH('BMP P Tracking Table'!$AF328,'Performance Curves'!$D$1:$L$1,1))),"")</f>
        <v/>
      </c>
      <c r="AI328" s="103" t="str">
        <f>IFERROR(IF('BMP P Tracking Table'!$AF328=2,VLOOKUP(CONCATENATE('BMP P Tracking Table'!$U328," ",'BMP P Tracking Table'!$AD328),'Performance Curves'!$C$1:$L$46,_xlfn.SINGLE(MATCH('BMP P Tracking Table'!$AF328,'Performance Curves'!$D$1:$L$1,1))+1,FALSE),'BMP P Tracking Table'!$AG328*'BMP P Tracking Table'!$AH328+VLOOKUP(CONCATENATE('BMP P Tracking Table'!$U328," ",'BMP P Tracking Table'!$AD328),'Performance Curves'!$C$1:$L$46,_xlfn.SINGLE(MATCH('BMP P Tracking Table'!$AF328,'Performance Curves'!$D$1:$L$1,1))+1,FALSE)),"")</f>
        <v/>
      </c>
      <c r="AJ328" s="104" t="str">
        <f>IFERROR('BMP P Tracking Table'!$AI328*'BMP P Tracking Table'!$AE328,"")</f>
        <v/>
      </c>
      <c r="AK328" s="65"/>
      <c r="AL328" s="98"/>
      <c r="AM328" s="98"/>
      <c r="AN328" s="64">
        <v>1</v>
      </c>
      <c r="AO328" s="102" t="str">
        <f t="shared" si="37"/>
        <v/>
      </c>
      <c r="AP328" s="98"/>
      <c r="AQ328" s="98"/>
      <c r="AR328" s="98"/>
      <c r="AS328" s="98"/>
      <c r="AT328" s="98"/>
      <c r="AU328" s="98"/>
      <c r="AV328" s="98"/>
      <c r="AW328" s="65"/>
      <c r="AX328" s="99"/>
      <c r="AY328" s="99"/>
      <c r="AZ328" s="104" t="str">
        <f>IF('BMP P Tracking Table'!$AL328="Yes",IF('BMP P Tracking Table'!$AM328="No",'BMP P Tracking Table'!$V328*VLOOKUP('BMP P Tracking Table'!$R328,'Loading Rates'!$B$1:$L$24,4,FALSE)+IF('BMP P Tracking Table'!$W328="By HSG",'BMP P Tracking Table'!$X328*VLOOKUP('BMP P Tracking Table'!$R328,'Loading Rates'!$B$1:$L$24,6,FALSE)+'BMP P Tracking Table'!$Y328*VLOOKUP('BMP P Tracking Table'!$R328,'Loading Rates'!$B$1:$L$24,7,FALSE)+'BMP P Tracking Table'!$Z328*VLOOKUP('BMP P Tracking Table'!$R328,'Loading Rates'!$B$1:$L$24,8,FALSE)+'BMP P Tracking Table'!$AA328*VLOOKUP('BMP P Tracking Table'!$R328,'Loading Rates'!$B$1:$L$24,9,FALSE),'BMP P Tracking Table'!$AB328*VLOOKUP('BMP P Tracking Table'!$R328,'Loading Rates'!$B$1:$L$24,10,FALSE)),'BMP P Tracking Table'!$AP328*VLOOKUP('BMP P Tracking Table'!$R328,'Loading Rates'!$B$1:$L$24,4,FALSE)+IF('BMP P Tracking Table'!$AQ328="By HSG",'BMP P Tracking Table'!$AR328*VLOOKUP('BMP P Tracking Table'!$R328,'Loading Rates'!$B$1:$L$24,6,FALSE)+'BMP P Tracking Table'!$AS328*VLOOKUP('BMP P Tracking Table'!$R328,'Loading Rates'!$B$1:$L$24,7,FALSE)+'BMP P Tracking Table'!$AT328*VLOOKUP('BMP P Tracking Table'!$R328,'Loading Rates'!$B$1:$L$24,8,FALSE)+'BMP P Tracking Table'!$AU328*VLOOKUP('BMP P Tracking Table'!$R328,'Loading Rates'!$B$1:$L$24,9,FALSE),'BMP P Tracking Table'!$AV328*VLOOKUP('BMP P Tracking Table'!$R328,'Loading Rates'!$B$1:$L$24,10,FALSE))),"")</f>
        <v/>
      </c>
      <c r="BA328" s="104" t="str">
        <f>IFERROR(IF('BMP P Tracking Table'!$AM328="Yes",MIN(2,IF('BMP P Tracking Table'!$AQ328="Total Pervious",(-(3630*'BMP P Tracking Table'!$AP328+20.691*'BMP P Tracking Table'!$AV328)+SQRT((3630*'BMP P Tracking Table'!$AP328+20.691*'BMP P Tracking Table'!$AV328)^2-(4*(996.798*'BMP P Tracking Table'!$AV328)*-'BMP P Tracking Table'!$AX328)))/(2*(996.798*'BMP P Tracking Table'!$AV328)),IF(SUM('BMP P Tracking Table'!$AR328:$AU328)=0,'BMP P Tracking Table'!$AV328/(-3630*'BMP P Tracking Table'!$AP328),(-(3630*'BMP P Tracking Table'!$AP328+20.691*'BMP P Tracking Table'!$AU328-216.711*'BMP P Tracking Table'!$AT328-83.853*'BMP P Tracking Table'!$AS328-42.834*'BMP P Tracking Table'!$AR328)+SQRT((3630*'BMP P Tracking Table'!$AP328+20.691*'BMP P Tracking Table'!$AU328-216.711*'BMP P Tracking Table'!$AT328-83.853*'BMP P Tracking Table'!$AS328-42.834*'BMP P Tracking Table'!$AR328)^2-(4*(149.919*'BMP P Tracking Table'!$AR328+236.676*'BMP P Tracking Table'!$AS328+726*'BMP P Tracking Table'!$AT328+996.798*'BMP P Tracking Table'!$AU328)*-'BMP P Tracking Table'!$AX328)))/(2*(149.919*'BMP P Tracking Table'!$AR328+236.676*'BMP P Tracking Table'!$AS328+726*'BMP P Tracking Table'!$AT328+996.798*'BMP P Tracking Table'!$AU328))))),MIN(2,IF('BMP P Tracking Table'!$AQ328="Total Pervious",(-(3630*'BMP P Tracking Table'!$V328+20.691*'BMP P Tracking Table'!$AB328)+SQRT((3630*'BMP P Tracking Table'!$V328+20.691*'BMP P Tracking Table'!$AB328)^2-(4*(996.798*'BMP P Tracking Table'!$AB328)*-'BMP P Tracking Table'!$AX328)))/(2*(996.798*'BMP P Tracking Table'!$AB328)),IF(SUM('BMP P Tracking Table'!$X328:$AA328)=0,'BMP P Tracking Table'!$AX328/(-3630*'BMP P Tracking Table'!$V328),(-(3630*'BMP P Tracking Table'!$V328+20.691*'BMP P Tracking Table'!$AA328-216.711*'BMP P Tracking Table'!$Z328-83.853*'BMP P Tracking Table'!$Y328-42.834*'BMP P Tracking Table'!$X328)+SQRT((3630*'BMP P Tracking Table'!$V328+20.691*'BMP P Tracking Table'!$AA328-216.711*'BMP P Tracking Table'!$Z328-83.853*'BMP P Tracking Table'!$Y328-42.834*'BMP P Tracking Table'!$X328)^2-(4*(149.919*'BMP P Tracking Table'!$X328+236.676*'BMP P Tracking Table'!$Y328+726*'BMP P Tracking Table'!$Z328+996.798*'BMP P Tracking Table'!$AA328)*-'BMP P Tracking Table'!$AX328)))/(2*(149.919*'BMP P Tracking Table'!$X328+236.676*'BMP P Tracking Table'!$Y328+726*'BMP P Tracking Table'!$Z328+996.798*'BMP P Tracking Table'!$AA328)))))),"")</f>
        <v/>
      </c>
      <c r="BB328" s="102" t="str">
        <f>IFERROR((VLOOKUP(CONCATENATE('BMP P Tracking Table'!$AW328," ",'BMP P Tracking Table'!$AY328),'Performance Curves'!$C$1:$L$46,_xlfn.SINGLE(MATCH('BMP P Tracking Table'!$BA328,'Performance Curves'!$D$1:$L$1,1))+2,FALSE)-VLOOKUP(CONCATENATE('BMP P Tracking Table'!$AW328," ",'BMP P Tracking Table'!$AY328),'Performance Curves'!$C$1:$L$46,_xlfn.SINGLE(MATCH('BMP P Tracking Table'!$BA328,'Performance Curves'!$D$1:$L$1,1))+1,FALSE)),"")</f>
        <v/>
      </c>
      <c r="BC328" s="102" t="str">
        <f>IFERROR(('BMP P Tracking Table'!$BA328-INDEX('Performance Curves'!$D$1:$L$1,1,MATCH('BMP P Tracking Table'!$BA328,'Performance Curves'!$D$1:$L$1,1)))/(INDEX('Performance Curves'!$D$1:$L$1,1,MATCH('BMP P Tracking Table'!$BA328,'Performance Curves'!$D$1:$L$1,1)+1)-INDEX('Performance Curves'!$D$1:$L$1,1,MATCH('BMP P Tracking Table'!$BA328,'Performance Curves'!$D$1:$L$1,1))),"")</f>
        <v/>
      </c>
      <c r="BD328" s="103" t="str" cm="1">
        <f t="array" ref="BD328">IFERROR(IF('BMP P Tracking Table'!$BA328=2,VLOOKUP(CONCATENATE('BMP P Tracking Table'!$AW328," ",'BMP P Tracking Table'!$AY328),'Performance Curves'!$C$1:$L$44,_xlfn.SINGLE(MATCH('BMP P Tracking Table'!$BA328,'Performance Curves'!$D$1:$L$1,1))+1,FALSE),'BMP P Tracking Table'!$BB328*'BMP P Tracking Table'!$BC328+VLOOKUP(CONCATENATE('BMP P Tracking Table'!$AW328," ",'BMP P Tracking Table'!$AY328),'Performance Curves'!$C$1:$L$44,_xlfn.SINGLE(MATCH('BMP P Tracking Table'!$BA328,'Performance Curves'!$D$1:$L$1,1))+1,FALSE)),"")</f>
        <v/>
      </c>
      <c r="BE328" s="104" t="str">
        <f>IFERROR('BMP P Tracking Table'!$BD328*'BMP P Tracking Table'!$AZ328,"")</f>
        <v/>
      </c>
      <c r="BF328" s="98"/>
      <c r="BG328" s="37">
        <f t="shared" si="38"/>
        <v>0</v>
      </c>
    </row>
    <row r="329" spans="2:59" s="36" customFormat="1">
      <c r="B329" s="65"/>
      <c r="C329" s="65"/>
      <c r="D329" s="65"/>
      <c r="E329" s="65"/>
      <c r="F329" s="94"/>
      <c r="G329" s="94"/>
      <c r="H329" s="65"/>
      <c r="I329" s="65"/>
      <c r="J329" s="65"/>
      <c r="K329" s="95"/>
      <c r="L329" s="65"/>
      <c r="M329" s="65"/>
      <c r="N329" s="65"/>
      <c r="O329" s="65"/>
      <c r="P329" s="65"/>
      <c r="Q329" s="65"/>
      <c r="R329" s="65" t="str">
        <f>IFERROR(VLOOKUP('BMP P Tracking Table'!$Q329,Dropdowns!$C$2:$E$15,3,FALSE),"")</f>
        <v/>
      </c>
      <c r="S329" s="65" t="str">
        <f>IFERROR(VLOOKUP('BMP P Tracking Table'!$R329,Dropdowns!$Q$3:$R$23,2,FALSE),"")</f>
        <v/>
      </c>
      <c r="T329" s="65"/>
      <c r="U329" s="65"/>
      <c r="V329" s="65"/>
      <c r="W329" s="65"/>
      <c r="X329" s="65"/>
      <c r="Y329" s="65"/>
      <c r="Z329" s="65"/>
      <c r="AA329" s="65"/>
      <c r="AB329" s="65"/>
      <c r="AC329" s="97"/>
      <c r="AD329" s="65"/>
      <c r="AE329" s="104" t="str">
        <f>IFERROR('BMP P Tracking Table'!$V329*VLOOKUP('BMP P Tracking Table'!$R329,'Loading Rates'!$B$1:$L$24,4,FALSE)+IF('BMP P Tracking Table'!$W329="By HSG",'BMP P Tracking Table'!$X329*VLOOKUP('BMP P Tracking Table'!$R329,'Loading Rates'!$B$1:$L$24,6,FALSE)+'BMP P Tracking Table'!$Y329*VLOOKUP('BMP P Tracking Table'!$R329,'Loading Rates'!$B$1:$L$24,7,FALSE)+'BMP P Tracking Table'!$Z329*VLOOKUP('BMP P Tracking Table'!$R329,'Loading Rates'!$B$1:$L$24,8,FALSE)+'BMP P Tracking Table'!$AA329*VLOOKUP('BMP P Tracking Table'!$R329,'Loading Rates'!$B$1:$L$24,9,FALSE),'BMP P Tracking Table'!$AB329*VLOOKUP('BMP P Tracking Table'!$R329,'Loading Rates'!$B$1:$L$24,10,FALSE)),"")</f>
        <v/>
      </c>
      <c r="AF329" s="104" t="str">
        <f>IFERROR(MIN(2,IF('BMP P Tracking Table'!$W329="Total Pervious",(-(3630*'BMP P Tracking Table'!$V329+20.691*'BMP P Tracking Table'!$AB329)+SQRT((3630*'BMP P Tracking Table'!$V329+20.691*'BMP P Tracking Table'!$AB329)^2-(4*(996.798*'BMP P Tracking Table'!$AB329)*-'BMP P Tracking Table'!$AC329)))/(2*(996.798*'BMP P Tracking Table'!$AB329)),IF(SUM('BMP P Tracking Table'!$X329:$AA329)=0,'BMP P Tracking Table'!$AC329/(-3630*'BMP P Tracking Table'!$V329),(-(3630*'BMP P Tracking Table'!$V329+20.691*'BMP P Tracking Table'!$AA329-216.711*'BMP P Tracking Table'!$Z329-83.853*'BMP P Tracking Table'!$Y329-42.834*'BMP P Tracking Table'!$X329)+SQRT((3630*'BMP P Tracking Table'!$V329+20.691*'BMP P Tracking Table'!$AA329-216.711*'BMP P Tracking Table'!$Z329-83.853*'BMP P Tracking Table'!$Y329-42.834*'BMP P Tracking Table'!$X329)^2-(4*(149.919*'BMP P Tracking Table'!$X329+236.676*'BMP P Tracking Table'!$Y329+726*'BMP P Tracking Table'!$Z329+996.798*'BMP P Tracking Table'!$AA329)*-'BMP P Tracking Table'!$AC329)))/(2*(149.919*'BMP P Tracking Table'!$X329+236.676*'BMP P Tracking Table'!$Y329+726*'BMP P Tracking Table'!$Z329+996.798*'BMP P Tracking Table'!$AA329))))),"")</f>
        <v/>
      </c>
      <c r="AG329" s="104" t="str">
        <f>IFERROR((VLOOKUP(CONCATENATE('BMP P Tracking Table'!$U329," ",'BMP P Tracking Table'!$AD329),'Performance Curves'!$C$1:$L$46,_xlfn.SINGLE(MATCH('BMP P Tracking Table'!$AF329,'Performance Curves'!$D$1:$L$1,1))+2,FALSE)-VLOOKUP(CONCATENATE('BMP P Tracking Table'!$U329," ",'BMP P Tracking Table'!$AD329),'Performance Curves'!$C$1:$L$46,_xlfn.SINGLE(MATCH('BMP P Tracking Table'!$AF329,'Performance Curves'!$D$1:$L$1,1))+1,FALSE)),"")</f>
        <v/>
      </c>
      <c r="AH329" s="104" t="str">
        <f>IFERROR(('BMP P Tracking Table'!$AF329-INDEX('Performance Curves'!$D$1:$L$1,1,MATCH('BMP P Tracking Table'!$AF329,'Performance Curves'!$D$1:$L$1,1)))/(INDEX('Performance Curves'!$D$1:$L$1,1,MATCH('BMP P Tracking Table'!$AF329,'Performance Curves'!$D$1:$L$1,1)+1)-INDEX('Performance Curves'!$D$1:$L$1,1,MATCH('BMP P Tracking Table'!$AF329,'Performance Curves'!$D$1:$L$1,1))),"")</f>
        <v/>
      </c>
      <c r="AI329" s="103" t="str">
        <f>IFERROR(IF('BMP P Tracking Table'!$AF329=2,VLOOKUP(CONCATENATE('BMP P Tracking Table'!$U329," ",'BMP P Tracking Table'!$AD329),'Performance Curves'!$C$1:$L$46,_xlfn.SINGLE(MATCH('BMP P Tracking Table'!$AF329,'Performance Curves'!$D$1:$L$1,1))+1,FALSE),'BMP P Tracking Table'!$AG329*'BMP P Tracking Table'!$AH329+VLOOKUP(CONCATENATE('BMP P Tracking Table'!$U329," ",'BMP P Tracking Table'!$AD329),'Performance Curves'!$C$1:$L$46,_xlfn.SINGLE(MATCH('BMP P Tracking Table'!$AF329,'Performance Curves'!$D$1:$L$1,1))+1,FALSE)),"")</f>
        <v/>
      </c>
      <c r="AJ329" s="104" t="str">
        <f>IFERROR('BMP P Tracking Table'!$AI329*'BMP P Tracking Table'!$AE329,"")</f>
        <v/>
      </c>
      <c r="AK329" s="65"/>
      <c r="AL329" s="98"/>
      <c r="AM329" s="98"/>
      <c r="AN329" s="64">
        <v>1</v>
      </c>
      <c r="AO329" s="102" t="str">
        <f t="shared" si="37"/>
        <v/>
      </c>
      <c r="AP329" s="98"/>
      <c r="AQ329" s="98"/>
      <c r="AR329" s="98"/>
      <c r="AS329" s="98"/>
      <c r="AT329" s="98"/>
      <c r="AU329" s="98"/>
      <c r="AV329" s="98"/>
      <c r="AW329" s="65"/>
      <c r="AX329" s="99"/>
      <c r="AY329" s="99"/>
      <c r="AZ329" s="104" t="str">
        <f>IF('BMP P Tracking Table'!$AL329="Yes",IF('BMP P Tracking Table'!$AM329="No",'BMP P Tracking Table'!$V329*VLOOKUP('BMP P Tracking Table'!$R329,'Loading Rates'!$B$1:$L$24,4,FALSE)+IF('BMP P Tracking Table'!$W329="By HSG",'BMP P Tracking Table'!$X329*VLOOKUP('BMP P Tracking Table'!$R329,'Loading Rates'!$B$1:$L$24,6,FALSE)+'BMP P Tracking Table'!$Y329*VLOOKUP('BMP P Tracking Table'!$R329,'Loading Rates'!$B$1:$L$24,7,FALSE)+'BMP P Tracking Table'!$Z329*VLOOKUP('BMP P Tracking Table'!$R329,'Loading Rates'!$B$1:$L$24,8,FALSE)+'BMP P Tracking Table'!$AA329*VLOOKUP('BMP P Tracking Table'!$R329,'Loading Rates'!$B$1:$L$24,9,FALSE),'BMP P Tracking Table'!$AB329*VLOOKUP('BMP P Tracking Table'!$R329,'Loading Rates'!$B$1:$L$24,10,FALSE)),'BMP P Tracking Table'!$AP329*VLOOKUP('BMP P Tracking Table'!$R329,'Loading Rates'!$B$1:$L$24,4,FALSE)+IF('BMP P Tracking Table'!$AQ329="By HSG",'BMP P Tracking Table'!$AR329*VLOOKUP('BMP P Tracking Table'!$R329,'Loading Rates'!$B$1:$L$24,6,FALSE)+'BMP P Tracking Table'!$AS329*VLOOKUP('BMP P Tracking Table'!$R329,'Loading Rates'!$B$1:$L$24,7,FALSE)+'BMP P Tracking Table'!$AT329*VLOOKUP('BMP P Tracking Table'!$R329,'Loading Rates'!$B$1:$L$24,8,FALSE)+'BMP P Tracking Table'!$AU329*VLOOKUP('BMP P Tracking Table'!$R329,'Loading Rates'!$B$1:$L$24,9,FALSE),'BMP P Tracking Table'!$AV329*VLOOKUP('BMP P Tracking Table'!$R329,'Loading Rates'!$B$1:$L$24,10,FALSE))),"")</f>
        <v/>
      </c>
      <c r="BA329" s="104" t="str">
        <f>IFERROR(IF('BMP P Tracking Table'!$AM329="Yes",MIN(2,IF('BMP P Tracking Table'!$AQ329="Total Pervious",(-(3630*'BMP P Tracking Table'!$AP329+20.691*'BMP P Tracking Table'!$AV329)+SQRT((3630*'BMP P Tracking Table'!$AP329+20.691*'BMP P Tracking Table'!$AV329)^2-(4*(996.798*'BMP P Tracking Table'!$AV329)*-'BMP P Tracking Table'!$AX329)))/(2*(996.798*'BMP P Tracking Table'!$AV329)),IF(SUM('BMP P Tracking Table'!$AR329:$AU329)=0,'BMP P Tracking Table'!$AV329/(-3630*'BMP P Tracking Table'!$AP329),(-(3630*'BMP P Tracking Table'!$AP329+20.691*'BMP P Tracking Table'!$AU329-216.711*'BMP P Tracking Table'!$AT329-83.853*'BMP P Tracking Table'!$AS329-42.834*'BMP P Tracking Table'!$AR329)+SQRT((3630*'BMP P Tracking Table'!$AP329+20.691*'BMP P Tracking Table'!$AU329-216.711*'BMP P Tracking Table'!$AT329-83.853*'BMP P Tracking Table'!$AS329-42.834*'BMP P Tracking Table'!$AR329)^2-(4*(149.919*'BMP P Tracking Table'!$AR329+236.676*'BMP P Tracking Table'!$AS329+726*'BMP P Tracking Table'!$AT329+996.798*'BMP P Tracking Table'!$AU329)*-'BMP P Tracking Table'!$AX329)))/(2*(149.919*'BMP P Tracking Table'!$AR329+236.676*'BMP P Tracking Table'!$AS329+726*'BMP P Tracking Table'!$AT329+996.798*'BMP P Tracking Table'!$AU329))))),MIN(2,IF('BMP P Tracking Table'!$AQ329="Total Pervious",(-(3630*'BMP P Tracking Table'!$V329+20.691*'BMP P Tracking Table'!$AB329)+SQRT((3630*'BMP P Tracking Table'!$V329+20.691*'BMP P Tracking Table'!$AB329)^2-(4*(996.798*'BMP P Tracking Table'!$AB329)*-'BMP P Tracking Table'!$AX329)))/(2*(996.798*'BMP P Tracking Table'!$AB329)),IF(SUM('BMP P Tracking Table'!$X329:$AA329)=0,'BMP P Tracking Table'!$AX329/(-3630*'BMP P Tracking Table'!$V329),(-(3630*'BMP P Tracking Table'!$V329+20.691*'BMP P Tracking Table'!$AA329-216.711*'BMP P Tracking Table'!$Z329-83.853*'BMP P Tracking Table'!$Y329-42.834*'BMP P Tracking Table'!$X329)+SQRT((3630*'BMP P Tracking Table'!$V329+20.691*'BMP P Tracking Table'!$AA329-216.711*'BMP P Tracking Table'!$Z329-83.853*'BMP P Tracking Table'!$Y329-42.834*'BMP P Tracking Table'!$X329)^2-(4*(149.919*'BMP P Tracking Table'!$X329+236.676*'BMP P Tracking Table'!$Y329+726*'BMP P Tracking Table'!$Z329+996.798*'BMP P Tracking Table'!$AA329)*-'BMP P Tracking Table'!$AX329)))/(2*(149.919*'BMP P Tracking Table'!$X329+236.676*'BMP P Tracking Table'!$Y329+726*'BMP P Tracking Table'!$Z329+996.798*'BMP P Tracking Table'!$AA329)))))),"")</f>
        <v/>
      </c>
      <c r="BB329" s="102" t="str">
        <f>IFERROR((VLOOKUP(CONCATENATE('BMP P Tracking Table'!$AW329," ",'BMP P Tracking Table'!$AY329),'Performance Curves'!$C$1:$L$46,_xlfn.SINGLE(MATCH('BMP P Tracking Table'!$BA329,'Performance Curves'!$D$1:$L$1,1))+2,FALSE)-VLOOKUP(CONCATENATE('BMP P Tracking Table'!$AW329," ",'BMP P Tracking Table'!$AY329),'Performance Curves'!$C$1:$L$46,_xlfn.SINGLE(MATCH('BMP P Tracking Table'!$BA329,'Performance Curves'!$D$1:$L$1,1))+1,FALSE)),"")</f>
        <v/>
      </c>
      <c r="BC329" s="102" t="str">
        <f>IFERROR(('BMP P Tracking Table'!$BA329-INDEX('Performance Curves'!$D$1:$L$1,1,MATCH('BMP P Tracking Table'!$BA329,'Performance Curves'!$D$1:$L$1,1)))/(INDEX('Performance Curves'!$D$1:$L$1,1,MATCH('BMP P Tracking Table'!$BA329,'Performance Curves'!$D$1:$L$1,1)+1)-INDEX('Performance Curves'!$D$1:$L$1,1,MATCH('BMP P Tracking Table'!$BA329,'Performance Curves'!$D$1:$L$1,1))),"")</f>
        <v/>
      </c>
      <c r="BD329" s="103" t="str" cm="1">
        <f t="array" ref="BD329">IFERROR(IF('BMP P Tracking Table'!$BA329=2,VLOOKUP(CONCATENATE('BMP P Tracking Table'!$AW329," ",'BMP P Tracking Table'!$AY329),'Performance Curves'!$C$1:$L$44,_xlfn.SINGLE(MATCH('BMP P Tracking Table'!$BA329,'Performance Curves'!$D$1:$L$1,1))+1,FALSE),'BMP P Tracking Table'!$BB329*'BMP P Tracking Table'!$BC329+VLOOKUP(CONCATENATE('BMP P Tracking Table'!$AW329," ",'BMP P Tracking Table'!$AY329),'Performance Curves'!$C$1:$L$44,_xlfn.SINGLE(MATCH('BMP P Tracking Table'!$BA329,'Performance Curves'!$D$1:$L$1,1))+1,FALSE)),"")</f>
        <v/>
      </c>
      <c r="BE329" s="104" t="str">
        <f>IFERROR('BMP P Tracking Table'!$BD329*'BMP P Tracking Table'!$AZ329,"")</f>
        <v/>
      </c>
      <c r="BF329" s="98"/>
      <c r="BG329" s="37">
        <f t="shared" si="38"/>
        <v>0</v>
      </c>
    </row>
    <row r="330" spans="2:59" s="36" customFormat="1">
      <c r="B330" s="65"/>
      <c r="C330" s="65"/>
      <c r="D330" s="65"/>
      <c r="E330" s="65"/>
      <c r="F330" s="94"/>
      <c r="G330" s="94"/>
      <c r="H330" s="65"/>
      <c r="I330" s="65"/>
      <c r="J330" s="65"/>
      <c r="K330" s="95"/>
      <c r="L330" s="65"/>
      <c r="M330" s="65"/>
      <c r="N330" s="65"/>
      <c r="O330" s="65"/>
      <c r="P330" s="65"/>
      <c r="Q330" s="65"/>
      <c r="R330" s="65" t="str">
        <f>IFERROR(VLOOKUP('BMP P Tracking Table'!$Q330,Dropdowns!$C$2:$E$15,3,FALSE),"")</f>
        <v/>
      </c>
      <c r="S330" s="65" t="str">
        <f>IFERROR(VLOOKUP('BMP P Tracking Table'!$R330,Dropdowns!$Q$3:$R$23,2,FALSE),"")</f>
        <v/>
      </c>
      <c r="T330" s="65"/>
      <c r="U330" s="65"/>
      <c r="V330" s="65"/>
      <c r="W330" s="65"/>
      <c r="X330" s="65"/>
      <c r="Y330" s="65"/>
      <c r="Z330" s="65"/>
      <c r="AA330" s="65"/>
      <c r="AB330" s="65"/>
      <c r="AC330" s="97"/>
      <c r="AD330" s="65"/>
      <c r="AE330" s="104" t="str">
        <f>IFERROR('BMP P Tracking Table'!$V330*VLOOKUP('BMP P Tracking Table'!$R330,'Loading Rates'!$B$1:$L$24,4,FALSE)+IF('BMP P Tracking Table'!$W330="By HSG",'BMP P Tracking Table'!$X330*VLOOKUP('BMP P Tracking Table'!$R330,'Loading Rates'!$B$1:$L$24,6,FALSE)+'BMP P Tracking Table'!$Y330*VLOOKUP('BMP P Tracking Table'!$R330,'Loading Rates'!$B$1:$L$24,7,FALSE)+'BMP P Tracking Table'!$Z330*VLOOKUP('BMP P Tracking Table'!$R330,'Loading Rates'!$B$1:$L$24,8,FALSE)+'BMP P Tracking Table'!$AA330*VLOOKUP('BMP P Tracking Table'!$R330,'Loading Rates'!$B$1:$L$24,9,FALSE),'BMP P Tracking Table'!$AB330*VLOOKUP('BMP P Tracking Table'!$R330,'Loading Rates'!$B$1:$L$24,10,FALSE)),"")</f>
        <v/>
      </c>
      <c r="AF330" s="104" t="str">
        <f>IFERROR(MIN(2,IF('BMP P Tracking Table'!$W330="Total Pervious",(-(3630*'BMP P Tracking Table'!$V330+20.691*'BMP P Tracking Table'!$AB330)+SQRT((3630*'BMP P Tracking Table'!$V330+20.691*'BMP P Tracking Table'!$AB330)^2-(4*(996.798*'BMP P Tracking Table'!$AB330)*-'BMP P Tracking Table'!$AC330)))/(2*(996.798*'BMP P Tracking Table'!$AB330)),IF(SUM('BMP P Tracking Table'!$X330:$AA330)=0,'BMP P Tracking Table'!$AC330/(-3630*'BMP P Tracking Table'!$V330),(-(3630*'BMP P Tracking Table'!$V330+20.691*'BMP P Tracking Table'!$AA330-216.711*'BMP P Tracking Table'!$Z330-83.853*'BMP P Tracking Table'!$Y330-42.834*'BMP P Tracking Table'!$X330)+SQRT((3630*'BMP P Tracking Table'!$V330+20.691*'BMP P Tracking Table'!$AA330-216.711*'BMP P Tracking Table'!$Z330-83.853*'BMP P Tracking Table'!$Y330-42.834*'BMP P Tracking Table'!$X330)^2-(4*(149.919*'BMP P Tracking Table'!$X330+236.676*'BMP P Tracking Table'!$Y330+726*'BMP P Tracking Table'!$Z330+996.798*'BMP P Tracking Table'!$AA330)*-'BMP P Tracking Table'!$AC330)))/(2*(149.919*'BMP P Tracking Table'!$X330+236.676*'BMP P Tracking Table'!$Y330+726*'BMP P Tracking Table'!$Z330+996.798*'BMP P Tracking Table'!$AA330))))),"")</f>
        <v/>
      </c>
      <c r="AG330" s="104" t="str">
        <f>IFERROR((VLOOKUP(CONCATENATE('BMP P Tracking Table'!$U330," ",'BMP P Tracking Table'!$AD330),'Performance Curves'!$C$1:$L$46,_xlfn.SINGLE(MATCH('BMP P Tracking Table'!$AF330,'Performance Curves'!$D$1:$L$1,1))+2,FALSE)-VLOOKUP(CONCATENATE('BMP P Tracking Table'!$U330," ",'BMP P Tracking Table'!$AD330),'Performance Curves'!$C$1:$L$46,_xlfn.SINGLE(MATCH('BMP P Tracking Table'!$AF330,'Performance Curves'!$D$1:$L$1,1))+1,FALSE)),"")</f>
        <v/>
      </c>
      <c r="AH330" s="104" t="str">
        <f>IFERROR(('BMP P Tracking Table'!$AF330-INDEX('Performance Curves'!$D$1:$L$1,1,MATCH('BMP P Tracking Table'!$AF330,'Performance Curves'!$D$1:$L$1,1)))/(INDEX('Performance Curves'!$D$1:$L$1,1,MATCH('BMP P Tracking Table'!$AF330,'Performance Curves'!$D$1:$L$1,1)+1)-INDEX('Performance Curves'!$D$1:$L$1,1,MATCH('BMP P Tracking Table'!$AF330,'Performance Curves'!$D$1:$L$1,1))),"")</f>
        <v/>
      </c>
      <c r="AI330" s="103" t="str">
        <f>IFERROR(IF('BMP P Tracking Table'!$AF330=2,VLOOKUP(CONCATENATE('BMP P Tracking Table'!$U330," ",'BMP P Tracking Table'!$AD330),'Performance Curves'!$C$1:$L$46,_xlfn.SINGLE(MATCH('BMP P Tracking Table'!$AF330,'Performance Curves'!$D$1:$L$1,1))+1,FALSE),'BMP P Tracking Table'!$AG330*'BMP P Tracking Table'!$AH330+VLOOKUP(CONCATENATE('BMP P Tracking Table'!$U330," ",'BMP P Tracking Table'!$AD330),'Performance Curves'!$C$1:$L$46,_xlfn.SINGLE(MATCH('BMP P Tracking Table'!$AF330,'Performance Curves'!$D$1:$L$1,1))+1,FALSE)),"")</f>
        <v/>
      </c>
      <c r="AJ330" s="104" t="str">
        <f>IFERROR('BMP P Tracking Table'!$AI330*'BMP P Tracking Table'!$AE330,"")</f>
        <v/>
      </c>
      <c r="AK330" s="65"/>
      <c r="AL330" s="98"/>
      <c r="AM330" s="98"/>
      <c r="AN330" s="64">
        <v>1</v>
      </c>
      <c r="AO330" s="102" t="str">
        <f t="shared" si="37"/>
        <v/>
      </c>
      <c r="AP330" s="98"/>
      <c r="AQ330" s="98"/>
      <c r="AR330" s="98"/>
      <c r="AS330" s="98"/>
      <c r="AT330" s="98"/>
      <c r="AU330" s="98"/>
      <c r="AV330" s="98"/>
      <c r="AW330" s="65"/>
      <c r="AX330" s="99"/>
      <c r="AY330" s="99"/>
      <c r="AZ330" s="104" t="str">
        <f>IF('BMP P Tracking Table'!$AL330="Yes",IF('BMP P Tracking Table'!$AM330="No",'BMP P Tracking Table'!$V330*VLOOKUP('BMP P Tracking Table'!$R330,'Loading Rates'!$B$1:$L$24,4,FALSE)+IF('BMP P Tracking Table'!$W330="By HSG",'BMP P Tracking Table'!$X330*VLOOKUP('BMP P Tracking Table'!$R330,'Loading Rates'!$B$1:$L$24,6,FALSE)+'BMP P Tracking Table'!$Y330*VLOOKUP('BMP P Tracking Table'!$R330,'Loading Rates'!$B$1:$L$24,7,FALSE)+'BMP P Tracking Table'!$Z330*VLOOKUP('BMP P Tracking Table'!$R330,'Loading Rates'!$B$1:$L$24,8,FALSE)+'BMP P Tracking Table'!$AA330*VLOOKUP('BMP P Tracking Table'!$R330,'Loading Rates'!$B$1:$L$24,9,FALSE),'BMP P Tracking Table'!$AB330*VLOOKUP('BMP P Tracking Table'!$R330,'Loading Rates'!$B$1:$L$24,10,FALSE)),'BMP P Tracking Table'!$AP330*VLOOKUP('BMP P Tracking Table'!$R330,'Loading Rates'!$B$1:$L$24,4,FALSE)+IF('BMP P Tracking Table'!$AQ330="By HSG",'BMP P Tracking Table'!$AR330*VLOOKUP('BMP P Tracking Table'!$R330,'Loading Rates'!$B$1:$L$24,6,FALSE)+'BMP P Tracking Table'!$AS330*VLOOKUP('BMP P Tracking Table'!$R330,'Loading Rates'!$B$1:$L$24,7,FALSE)+'BMP P Tracking Table'!$AT330*VLOOKUP('BMP P Tracking Table'!$R330,'Loading Rates'!$B$1:$L$24,8,FALSE)+'BMP P Tracking Table'!$AU330*VLOOKUP('BMP P Tracking Table'!$R330,'Loading Rates'!$B$1:$L$24,9,FALSE),'BMP P Tracking Table'!$AV330*VLOOKUP('BMP P Tracking Table'!$R330,'Loading Rates'!$B$1:$L$24,10,FALSE))),"")</f>
        <v/>
      </c>
      <c r="BA330" s="104" t="str">
        <f>IFERROR(IF('BMP P Tracking Table'!$AM330="Yes",MIN(2,IF('BMP P Tracking Table'!$AQ330="Total Pervious",(-(3630*'BMP P Tracking Table'!$AP330+20.691*'BMP P Tracking Table'!$AV330)+SQRT((3630*'BMP P Tracking Table'!$AP330+20.691*'BMP P Tracking Table'!$AV330)^2-(4*(996.798*'BMP P Tracking Table'!$AV330)*-'BMP P Tracking Table'!$AX330)))/(2*(996.798*'BMP P Tracking Table'!$AV330)),IF(SUM('BMP P Tracking Table'!$AR330:$AU330)=0,'BMP P Tracking Table'!$AV330/(-3630*'BMP P Tracking Table'!$AP330),(-(3630*'BMP P Tracking Table'!$AP330+20.691*'BMP P Tracking Table'!$AU330-216.711*'BMP P Tracking Table'!$AT330-83.853*'BMP P Tracking Table'!$AS330-42.834*'BMP P Tracking Table'!$AR330)+SQRT((3630*'BMP P Tracking Table'!$AP330+20.691*'BMP P Tracking Table'!$AU330-216.711*'BMP P Tracking Table'!$AT330-83.853*'BMP P Tracking Table'!$AS330-42.834*'BMP P Tracking Table'!$AR330)^2-(4*(149.919*'BMP P Tracking Table'!$AR330+236.676*'BMP P Tracking Table'!$AS330+726*'BMP P Tracking Table'!$AT330+996.798*'BMP P Tracking Table'!$AU330)*-'BMP P Tracking Table'!$AX330)))/(2*(149.919*'BMP P Tracking Table'!$AR330+236.676*'BMP P Tracking Table'!$AS330+726*'BMP P Tracking Table'!$AT330+996.798*'BMP P Tracking Table'!$AU330))))),MIN(2,IF('BMP P Tracking Table'!$AQ330="Total Pervious",(-(3630*'BMP P Tracking Table'!$V330+20.691*'BMP P Tracking Table'!$AB330)+SQRT((3630*'BMP P Tracking Table'!$V330+20.691*'BMP P Tracking Table'!$AB330)^2-(4*(996.798*'BMP P Tracking Table'!$AB330)*-'BMP P Tracking Table'!$AX330)))/(2*(996.798*'BMP P Tracking Table'!$AB330)),IF(SUM('BMP P Tracking Table'!$X330:$AA330)=0,'BMP P Tracking Table'!$AX330/(-3630*'BMP P Tracking Table'!$V330),(-(3630*'BMP P Tracking Table'!$V330+20.691*'BMP P Tracking Table'!$AA330-216.711*'BMP P Tracking Table'!$Z330-83.853*'BMP P Tracking Table'!$Y330-42.834*'BMP P Tracking Table'!$X330)+SQRT((3630*'BMP P Tracking Table'!$V330+20.691*'BMP P Tracking Table'!$AA330-216.711*'BMP P Tracking Table'!$Z330-83.853*'BMP P Tracking Table'!$Y330-42.834*'BMP P Tracking Table'!$X330)^2-(4*(149.919*'BMP P Tracking Table'!$X330+236.676*'BMP P Tracking Table'!$Y330+726*'BMP P Tracking Table'!$Z330+996.798*'BMP P Tracking Table'!$AA330)*-'BMP P Tracking Table'!$AX330)))/(2*(149.919*'BMP P Tracking Table'!$X330+236.676*'BMP P Tracking Table'!$Y330+726*'BMP P Tracking Table'!$Z330+996.798*'BMP P Tracking Table'!$AA330)))))),"")</f>
        <v/>
      </c>
      <c r="BB330" s="102" t="str">
        <f>IFERROR((VLOOKUP(CONCATENATE('BMP P Tracking Table'!$AW330," ",'BMP P Tracking Table'!$AY330),'Performance Curves'!$C$1:$L$46,_xlfn.SINGLE(MATCH('BMP P Tracking Table'!$BA330,'Performance Curves'!$D$1:$L$1,1))+2,FALSE)-VLOOKUP(CONCATENATE('BMP P Tracking Table'!$AW330," ",'BMP P Tracking Table'!$AY330),'Performance Curves'!$C$1:$L$46,_xlfn.SINGLE(MATCH('BMP P Tracking Table'!$BA330,'Performance Curves'!$D$1:$L$1,1))+1,FALSE)),"")</f>
        <v/>
      </c>
      <c r="BC330" s="102" t="str">
        <f>IFERROR(('BMP P Tracking Table'!$BA330-INDEX('Performance Curves'!$D$1:$L$1,1,MATCH('BMP P Tracking Table'!$BA330,'Performance Curves'!$D$1:$L$1,1)))/(INDEX('Performance Curves'!$D$1:$L$1,1,MATCH('BMP P Tracking Table'!$BA330,'Performance Curves'!$D$1:$L$1,1)+1)-INDEX('Performance Curves'!$D$1:$L$1,1,MATCH('BMP P Tracking Table'!$BA330,'Performance Curves'!$D$1:$L$1,1))),"")</f>
        <v/>
      </c>
      <c r="BD330" s="103" t="str" cm="1">
        <f t="array" ref="BD330">IFERROR(IF('BMP P Tracking Table'!$BA330=2,VLOOKUP(CONCATENATE('BMP P Tracking Table'!$AW330," ",'BMP P Tracking Table'!$AY330),'Performance Curves'!$C$1:$L$44,_xlfn.SINGLE(MATCH('BMP P Tracking Table'!$BA330,'Performance Curves'!$D$1:$L$1,1))+1,FALSE),'BMP P Tracking Table'!$BB330*'BMP P Tracking Table'!$BC330+VLOOKUP(CONCATENATE('BMP P Tracking Table'!$AW330," ",'BMP P Tracking Table'!$AY330),'Performance Curves'!$C$1:$L$44,_xlfn.SINGLE(MATCH('BMP P Tracking Table'!$BA330,'Performance Curves'!$D$1:$L$1,1))+1,FALSE)),"")</f>
        <v/>
      </c>
      <c r="BE330" s="104" t="str">
        <f>IFERROR('BMP P Tracking Table'!$BD330*'BMP P Tracking Table'!$AZ330,"")</f>
        <v/>
      </c>
      <c r="BF330" s="98"/>
      <c r="BG330" s="37">
        <f t="shared" si="38"/>
        <v>0</v>
      </c>
    </row>
    <row r="331" spans="2:59" s="36" customFormat="1">
      <c r="B331" s="65"/>
      <c r="C331" s="65"/>
      <c r="D331" s="65"/>
      <c r="E331" s="65"/>
      <c r="F331" s="94"/>
      <c r="G331" s="94"/>
      <c r="H331" s="65"/>
      <c r="I331" s="65"/>
      <c r="J331" s="65"/>
      <c r="K331" s="95"/>
      <c r="L331" s="65"/>
      <c r="M331" s="65"/>
      <c r="N331" s="65"/>
      <c r="O331" s="65"/>
      <c r="P331" s="65"/>
      <c r="Q331" s="65"/>
      <c r="R331" s="65" t="str">
        <f>IFERROR(VLOOKUP('BMP P Tracking Table'!$Q331,Dropdowns!$C$2:$E$15,3,FALSE),"")</f>
        <v/>
      </c>
      <c r="S331" s="65" t="str">
        <f>IFERROR(VLOOKUP('BMP P Tracking Table'!$R331,Dropdowns!$Q$3:$R$23,2,FALSE),"")</f>
        <v/>
      </c>
      <c r="T331" s="65"/>
      <c r="U331" s="65"/>
      <c r="V331" s="65"/>
      <c r="W331" s="65"/>
      <c r="X331" s="65"/>
      <c r="Y331" s="65"/>
      <c r="Z331" s="65"/>
      <c r="AA331" s="65"/>
      <c r="AB331" s="65"/>
      <c r="AC331" s="97"/>
      <c r="AD331" s="65"/>
      <c r="AE331" s="104" t="str">
        <f>IFERROR('BMP P Tracking Table'!$V331*VLOOKUP('BMP P Tracking Table'!$R331,'Loading Rates'!$B$1:$L$24,4,FALSE)+IF('BMP P Tracking Table'!$W331="By HSG",'BMP P Tracking Table'!$X331*VLOOKUP('BMP P Tracking Table'!$R331,'Loading Rates'!$B$1:$L$24,6,FALSE)+'BMP P Tracking Table'!$Y331*VLOOKUP('BMP P Tracking Table'!$R331,'Loading Rates'!$B$1:$L$24,7,FALSE)+'BMP P Tracking Table'!$Z331*VLOOKUP('BMP P Tracking Table'!$R331,'Loading Rates'!$B$1:$L$24,8,FALSE)+'BMP P Tracking Table'!$AA331*VLOOKUP('BMP P Tracking Table'!$R331,'Loading Rates'!$B$1:$L$24,9,FALSE),'BMP P Tracking Table'!$AB331*VLOOKUP('BMP P Tracking Table'!$R331,'Loading Rates'!$B$1:$L$24,10,FALSE)),"")</f>
        <v/>
      </c>
      <c r="AF331" s="104" t="str">
        <f>IFERROR(MIN(2,IF('BMP P Tracking Table'!$W331="Total Pervious",(-(3630*'BMP P Tracking Table'!$V331+20.691*'BMP P Tracking Table'!$AB331)+SQRT((3630*'BMP P Tracking Table'!$V331+20.691*'BMP P Tracking Table'!$AB331)^2-(4*(996.798*'BMP P Tracking Table'!$AB331)*-'BMP P Tracking Table'!$AC331)))/(2*(996.798*'BMP P Tracking Table'!$AB331)),IF(SUM('BMP P Tracking Table'!$X331:$AA331)=0,'BMP P Tracking Table'!$AC331/(-3630*'BMP P Tracking Table'!$V331),(-(3630*'BMP P Tracking Table'!$V331+20.691*'BMP P Tracking Table'!$AA331-216.711*'BMP P Tracking Table'!$Z331-83.853*'BMP P Tracking Table'!$Y331-42.834*'BMP P Tracking Table'!$X331)+SQRT((3630*'BMP P Tracking Table'!$V331+20.691*'BMP P Tracking Table'!$AA331-216.711*'BMP P Tracking Table'!$Z331-83.853*'BMP P Tracking Table'!$Y331-42.834*'BMP P Tracking Table'!$X331)^2-(4*(149.919*'BMP P Tracking Table'!$X331+236.676*'BMP P Tracking Table'!$Y331+726*'BMP P Tracking Table'!$Z331+996.798*'BMP P Tracking Table'!$AA331)*-'BMP P Tracking Table'!$AC331)))/(2*(149.919*'BMP P Tracking Table'!$X331+236.676*'BMP P Tracking Table'!$Y331+726*'BMP P Tracking Table'!$Z331+996.798*'BMP P Tracking Table'!$AA331))))),"")</f>
        <v/>
      </c>
      <c r="AG331" s="104" t="str">
        <f>IFERROR((VLOOKUP(CONCATENATE('BMP P Tracking Table'!$U331," ",'BMP P Tracking Table'!$AD331),'Performance Curves'!$C$1:$L$46,_xlfn.SINGLE(MATCH('BMP P Tracking Table'!$AF331,'Performance Curves'!$D$1:$L$1,1))+2,FALSE)-VLOOKUP(CONCATENATE('BMP P Tracking Table'!$U331," ",'BMP P Tracking Table'!$AD331),'Performance Curves'!$C$1:$L$46,_xlfn.SINGLE(MATCH('BMP P Tracking Table'!$AF331,'Performance Curves'!$D$1:$L$1,1))+1,FALSE)),"")</f>
        <v/>
      </c>
      <c r="AH331" s="104" t="str">
        <f>IFERROR(('BMP P Tracking Table'!$AF331-INDEX('Performance Curves'!$D$1:$L$1,1,MATCH('BMP P Tracking Table'!$AF331,'Performance Curves'!$D$1:$L$1,1)))/(INDEX('Performance Curves'!$D$1:$L$1,1,MATCH('BMP P Tracking Table'!$AF331,'Performance Curves'!$D$1:$L$1,1)+1)-INDEX('Performance Curves'!$D$1:$L$1,1,MATCH('BMP P Tracking Table'!$AF331,'Performance Curves'!$D$1:$L$1,1))),"")</f>
        <v/>
      </c>
      <c r="AI331" s="103" t="str">
        <f>IFERROR(IF('BMP P Tracking Table'!$AF331=2,VLOOKUP(CONCATENATE('BMP P Tracking Table'!$U331," ",'BMP P Tracking Table'!$AD331),'Performance Curves'!$C$1:$L$46,_xlfn.SINGLE(MATCH('BMP P Tracking Table'!$AF331,'Performance Curves'!$D$1:$L$1,1))+1,FALSE),'BMP P Tracking Table'!$AG331*'BMP P Tracking Table'!$AH331+VLOOKUP(CONCATENATE('BMP P Tracking Table'!$U331," ",'BMP P Tracking Table'!$AD331),'Performance Curves'!$C$1:$L$46,_xlfn.SINGLE(MATCH('BMP P Tracking Table'!$AF331,'Performance Curves'!$D$1:$L$1,1))+1,FALSE)),"")</f>
        <v/>
      </c>
      <c r="AJ331" s="104" t="str">
        <f>IFERROR('BMP P Tracking Table'!$AI331*'BMP P Tracking Table'!$AE331,"")</f>
        <v/>
      </c>
      <c r="AK331" s="65"/>
      <c r="AL331" s="98"/>
      <c r="AM331" s="98"/>
      <c r="AN331" s="64">
        <v>1</v>
      </c>
      <c r="AO331" s="102" t="str">
        <f t="shared" si="37"/>
        <v/>
      </c>
      <c r="AP331" s="98"/>
      <c r="AQ331" s="98"/>
      <c r="AR331" s="98"/>
      <c r="AS331" s="98"/>
      <c r="AT331" s="98"/>
      <c r="AU331" s="98"/>
      <c r="AV331" s="98"/>
      <c r="AW331" s="65"/>
      <c r="AX331" s="99"/>
      <c r="AY331" s="99"/>
      <c r="AZ331" s="104" t="str">
        <f>IF('BMP P Tracking Table'!$AL331="Yes",IF('BMP P Tracking Table'!$AM331="No",'BMP P Tracking Table'!$V331*VLOOKUP('BMP P Tracking Table'!$R331,'Loading Rates'!$B$1:$L$24,4,FALSE)+IF('BMP P Tracking Table'!$W331="By HSG",'BMP P Tracking Table'!$X331*VLOOKUP('BMP P Tracking Table'!$R331,'Loading Rates'!$B$1:$L$24,6,FALSE)+'BMP P Tracking Table'!$Y331*VLOOKUP('BMP P Tracking Table'!$R331,'Loading Rates'!$B$1:$L$24,7,FALSE)+'BMP P Tracking Table'!$Z331*VLOOKUP('BMP P Tracking Table'!$R331,'Loading Rates'!$B$1:$L$24,8,FALSE)+'BMP P Tracking Table'!$AA331*VLOOKUP('BMP P Tracking Table'!$R331,'Loading Rates'!$B$1:$L$24,9,FALSE),'BMP P Tracking Table'!$AB331*VLOOKUP('BMP P Tracking Table'!$R331,'Loading Rates'!$B$1:$L$24,10,FALSE)),'BMP P Tracking Table'!$AP331*VLOOKUP('BMP P Tracking Table'!$R331,'Loading Rates'!$B$1:$L$24,4,FALSE)+IF('BMP P Tracking Table'!$AQ331="By HSG",'BMP P Tracking Table'!$AR331*VLOOKUP('BMP P Tracking Table'!$R331,'Loading Rates'!$B$1:$L$24,6,FALSE)+'BMP P Tracking Table'!$AS331*VLOOKUP('BMP P Tracking Table'!$R331,'Loading Rates'!$B$1:$L$24,7,FALSE)+'BMP P Tracking Table'!$AT331*VLOOKUP('BMP P Tracking Table'!$R331,'Loading Rates'!$B$1:$L$24,8,FALSE)+'BMP P Tracking Table'!$AU331*VLOOKUP('BMP P Tracking Table'!$R331,'Loading Rates'!$B$1:$L$24,9,FALSE),'BMP P Tracking Table'!$AV331*VLOOKUP('BMP P Tracking Table'!$R331,'Loading Rates'!$B$1:$L$24,10,FALSE))),"")</f>
        <v/>
      </c>
      <c r="BA331" s="104" t="str">
        <f>IFERROR(IF('BMP P Tracking Table'!$AM331="Yes",MIN(2,IF('BMP P Tracking Table'!$AQ331="Total Pervious",(-(3630*'BMP P Tracking Table'!$AP331+20.691*'BMP P Tracking Table'!$AV331)+SQRT((3630*'BMP P Tracking Table'!$AP331+20.691*'BMP P Tracking Table'!$AV331)^2-(4*(996.798*'BMP P Tracking Table'!$AV331)*-'BMP P Tracking Table'!$AX331)))/(2*(996.798*'BMP P Tracking Table'!$AV331)),IF(SUM('BMP P Tracking Table'!$AR331:$AU331)=0,'BMP P Tracking Table'!$AV331/(-3630*'BMP P Tracking Table'!$AP331),(-(3630*'BMP P Tracking Table'!$AP331+20.691*'BMP P Tracking Table'!$AU331-216.711*'BMP P Tracking Table'!$AT331-83.853*'BMP P Tracking Table'!$AS331-42.834*'BMP P Tracking Table'!$AR331)+SQRT((3630*'BMP P Tracking Table'!$AP331+20.691*'BMP P Tracking Table'!$AU331-216.711*'BMP P Tracking Table'!$AT331-83.853*'BMP P Tracking Table'!$AS331-42.834*'BMP P Tracking Table'!$AR331)^2-(4*(149.919*'BMP P Tracking Table'!$AR331+236.676*'BMP P Tracking Table'!$AS331+726*'BMP P Tracking Table'!$AT331+996.798*'BMP P Tracking Table'!$AU331)*-'BMP P Tracking Table'!$AX331)))/(2*(149.919*'BMP P Tracking Table'!$AR331+236.676*'BMP P Tracking Table'!$AS331+726*'BMP P Tracking Table'!$AT331+996.798*'BMP P Tracking Table'!$AU331))))),MIN(2,IF('BMP P Tracking Table'!$AQ331="Total Pervious",(-(3630*'BMP P Tracking Table'!$V331+20.691*'BMP P Tracking Table'!$AB331)+SQRT((3630*'BMP P Tracking Table'!$V331+20.691*'BMP P Tracking Table'!$AB331)^2-(4*(996.798*'BMP P Tracking Table'!$AB331)*-'BMP P Tracking Table'!$AX331)))/(2*(996.798*'BMP P Tracking Table'!$AB331)),IF(SUM('BMP P Tracking Table'!$X331:$AA331)=0,'BMP P Tracking Table'!$AX331/(-3630*'BMP P Tracking Table'!$V331),(-(3630*'BMP P Tracking Table'!$V331+20.691*'BMP P Tracking Table'!$AA331-216.711*'BMP P Tracking Table'!$Z331-83.853*'BMP P Tracking Table'!$Y331-42.834*'BMP P Tracking Table'!$X331)+SQRT((3630*'BMP P Tracking Table'!$V331+20.691*'BMP P Tracking Table'!$AA331-216.711*'BMP P Tracking Table'!$Z331-83.853*'BMP P Tracking Table'!$Y331-42.834*'BMP P Tracking Table'!$X331)^2-(4*(149.919*'BMP P Tracking Table'!$X331+236.676*'BMP P Tracking Table'!$Y331+726*'BMP P Tracking Table'!$Z331+996.798*'BMP P Tracking Table'!$AA331)*-'BMP P Tracking Table'!$AX331)))/(2*(149.919*'BMP P Tracking Table'!$X331+236.676*'BMP P Tracking Table'!$Y331+726*'BMP P Tracking Table'!$Z331+996.798*'BMP P Tracking Table'!$AA331)))))),"")</f>
        <v/>
      </c>
      <c r="BB331" s="102" t="str">
        <f>IFERROR((VLOOKUP(CONCATENATE('BMP P Tracking Table'!$AW331," ",'BMP P Tracking Table'!$AY331),'Performance Curves'!$C$1:$L$46,_xlfn.SINGLE(MATCH('BMP P Tracking Table'!$BA331,'Performance Curves'!$D$1:$L$1,1))+2,FALSE)-VLOOKUP(CONCATENATE('BMP P Tracking Table'!$AW331," ",'BMP P Tracking Table'!$AY331),'Performance Curves'!$C$1:$L$46,_xlfn.SINGLE(MATCH('BMP P Tracking Table'!$BA331,'Performance Curves'!$D$1:$L$1,1))+1,FALSE)),"")</f>
        <v/>
      </c>
      <c r="BC331" s="102" t="str">
        <f>IFERROR(('BMP P Tracking Table'!$BA331-INDEX('Performance Curves'!$D$1:$L$1,1,MATCH('BMP P Tracking Table'!$BA331,'Performance Curves'!$D$1:$L$1,1)))/(INDEX('Performance Curves'!$D$1:$L$1,1,MATCH('BMP P Tracking Table'!$BA331,'Performance Curves'!$D$1:$L$1,1)+1)-INDEX('Performance Curves'!$D$1:$L$1,1,MATCH('BMP P Tracking Table'!$BA331,'Performance Curves'!$D$1:$L$1,1))),"")</f>
        <v/>
      </c>
      <c r="BD331" s="103" t="str" cm="1">
        <f t="array" ref="BD331">IFERROR(IF('BMP P Tracking Table'!$BA331=2,VLOOKUP(CONCATENATE('BMP P Tracking Table'!$AW331," ",'BMP P Tracking Table'!$AY331),'Performance Curves'!$C$1:$L$44,_xlfn.SINGLE(MATCH('BMP P Tracking Table'!$BA331,'Performance Curves'!$D$1:$L$1,1))+1,FALSE),'BMP P Tracking Table'!$BB331*'BMP P Tracking Table'!$BC331+VLOOKUP(CONCATENATE('BMP P Tracking Table'!$AW331," ",'BMP P Tracking Table'!$AY331),'Performance Curves'!$C$1:$L$44,_xlfn.SINGLE(MATCH('BMP P Tracking Table'!$BA331,'Performance Curves'!$D$1:$L$1,1))+1,FALSE)),"")</f>
        <v/>
      </c>
      <c r="BE331" s="104" t="str">
        <f>IFERROR('BMP P Tracking Table'!$BD331*'BMP P Tracking Table'!$AZ331,"")</f>
        <v/>
      </c>
      <c r="BF331" s="98"/>
      <c r="BG331" s="37">
        <f t="shared" si="38"/>
        <v>0</v>
      </c>
    </row>
    <row r="332" spans="2:59" s="36" customFormat="1">
      <c r="B332" s="65"/>
      <c r="C332" s="65"/>
      <c r="D332" s="65"/>
      <c r="E332" s="65"/>
      <c r="F332" s="94"/>
      <c r="G332" s="94"/>
      <c r="H332" s="65"/>
      <c r="I332" s="65"/>
      <c r="J332" s="65"/>
      <c r="K332" s="95"/>
      <c r="L332" s="65"/>
      <c r="M332" s="65"/>
      <c r="N332" s="65"/>
      <c r="O332" s="65"/>
      <c r="P332" s="65"/>
      <c r="Q332" s="65"/>
      <c r="R332" s="65" t="str">
        <f>IFERROR(VLOOKUP('BMP P Tracking Table'!$Q332,Dropdowns!$C$2:$E$15,3,FALSE),"")</f>
        <v/>
      </c>
      <c r="S332" s="65" t="str">
        <f>IFERROR(VLOOKUP('BMP P Tracking Table'!$R332,Dropdowns!$Q$3:$R$23,2,FALSE),"")</f>
        <v/>
      </c>
      <c r="T332" s="65"/>
      <c r="U332" s="65"/>
      <c r="V332" s="65"/>
      <c r="W332" s="65"/>
      <c r="X332" s="65"/>
      <c r="Y332" s="65"/>
      <c r="Z332" s="65"/>
      <c r="AA332" s="65"/>
      <c r="AB332" s="65"/>
      <c r="AC332" s="97"/>
      <c r="AD332" s="65"/>
      <c r="AE332" s="104" t="str">
        <f>IFERROR('BMP P Tracking Table'!$V332*VLOOKUP('BMP P Tracking Table'!$R332,'Loading Rates'!$B$1:$L$24,4,FALSE)+IF('BMP P Tracking Table'!$W332="By HSG",'BMP P Tracking Table'!$X332*VLOOKUP('BMP P Tracking Table'!$R332,'Loading Rates'!$B$1:$L$24,6,FALSE)+'BMP P Tracking Table'!$Y332*VLOOKUP('BMP P Tracking Table'!$R332,'Loading Rates'!$B$1:$L$24,7,FALSE)+'BMP P Tracking Table'!$Z332*VLOOKUP('BMP P Tracking Table'!$R332,'Loading Rates'!$B$1:$L$24,8,FALSE)+'BMP P Tracking Table'!$AA332*VLOOKUP('BMP P Tracking Table'!$R332,'Loading Rates'!$B$1:$L$24,9,FALSE),'BMP P Tracking Table'!$AB332*VLOOKUP('BMP P Tracking Table'!$R332,'Loading Rates'!$B$1:$L$24,10,FALSE)),"")</f>
        <v/>
      </c>
      <c r="AF332" s="104" t="str">
        <f>IFERROR(MIN(2,IF('BMP P Tracking Table'!$W332="Total Pervious",(-(3630*'BMP P Tracking Table'!$V332+20.691*'BMP P Tracking Table'!$AB332)+SQRT((3630*'BMP P Tracking Table'!$V332+20.691*'BMP P Tracking Table'!$AB332)^2-(4*(996.798*'BMP P Tracking Table'!$AB332)*-'BMP P Tracking Table'!$AC332)))/(2*(996.798*'BMP P Tracking Table'!$AB332)),IF(SUM('BMP P Tracking Table'!$X332:$AA332)=0,'BMP P Tracking Table'!$AC332/(-3630*'BMP P Tracking Table'!$V332),(-(3630*'BMP P Tracking Table'!$V332+20.691*'BMP P Tracking Table'!$AA332-216.711*'BMP P Tracking Table'!$Z332-83.853*'BMP P Tracking Table'!$Y332-42.834*'BMP P Tracking Table'!$X332)+SQRT((3630*'BMP P Tracking Table'!$V332+20.691*'BMP P Tracking Table'!$AA332-216.711*'BMP P Tracking Table'!$Z332-83.853*'BMP P Tracking Table'!$Y332-42.834*'BMP P Tracking Table'!$X332)^2-(4*(149.919*'BMP P Tracking Table'!$X332+236.676*'BMP P Tracking Table'!$Y332+726*'BMP P Tracking Table'!$Z332+996.798*'BMP P Tracking Table'!$AA332)*-'BMP P Tracking Table'!$AC332)))/(2*(149.919*'BMP P Tracking Table'!$X332+236.676*'BMP P Tracking Table'!$Y332+726*'BMP P Tracking Table'!$Z332+996.798*'BMP P Tracking Table'!$AA332))))),"")</f>
        <v/>
      </c>
      <c r="AG332" s="104" t="str">
        <f>IFERROR((VLOOKUP(CONCATENATE('BMP P Tracking Table'!$U332," ",'BMP P Tracking Table'!$AD332),'Performance Curves'!$C$1:$L$46,_xlfn.SINGLE(MATCH('BMP P Tracking Table'!$AF332,'Performance Curves'!$D$1:$L$1,1))+2,FALSE)-VLOOKUP(CONCATENATE('BMP P Tracking Table'!$U332," ",'BMP P Tracking Table'!$AD332),'Performance Curves'!$C$1:$L$46,_xlfn.SINGLE(MATCH('BMP P Tracking Table'!$AF332,'Performance Curves'!$D$1:$L$1,1))+1,FALSE)),"")</f>
        <v/>
      </c>
      <c r="AH332" s="104" t="str">
        <f>IFERROR(('BMP P Tracking Table'!$AF332-INDEX('Performance Curves'!$D$1:$L$1,1,MATCH('BMP P Tracking Table'!$AF332,'Performance Curves'!$D$1:$L$1,1)))/(INDEX('Performance Curves'!$D$1:$L$1,1,MATCH('BMP P Tracking Table'!$AF332,'Performance Curves'!$D$1:$L$1,1)+1)-INDEX('Performance Curves'!$D$1:$L$1,1,MATCH('BMP P Tracking Table'!$AF332,'Performance Curves'!$D$1:$L$1,1))),"")</f>
        <v/>
      </c>
      <c r="AI332" s="103" t="str">
        <f>IFERROR(IF('BMP P Tracking Table'!$AF332=2,VLOOKUP(CONCATENATE('BMP P Tracking Table'!$U332," ",'BMP P Tracking Table'!$AD332),'Performance Curves'!$C$1:$L$46,_xlfn.SINGLE(MATCH('BMP P Tracking Table'!$AF332,'Performance Curves'!$D$1:$L$1,1))+1,FALSE),'BMP P Tracking Table'!$AG332*'BMP P Tracking Table'!$AH332+VLOOKUP(CONCATENATE('BMP P Tracking Table'!$U332," ",'BMP P Tracking Table'!$AD332),'Performance Curves'!$C$1:$L$46,_xlfn.SINGLE(MATCH('BMP P Tracking Table'!$AF332,'Performance Curves'!$D$1:$L$1,1))+1,FALSE)),"")</f>
        <v/>
      </c>
      <c r="AJ332" s="104" t="str">
        <f>IFERROR('BMP P Tracking Table'!$AI332*'BMP P Tracking Table'!$AE332,"")</f>
        <v/>
      </c>
      <c r="AK332" s="65"/>
      <c r="AL332" s="98"/>
      <c r="AM332" s="98"/>
      <c r="AN332" s="64">
        <v>1</v>
      </c>
      <c r="AO332" s="102" t="str">
        <f t="shared" si="37"/>
        <v/>
      </c>
      <c r="AP332" s="98"/>
      <c r="AQ332" s="98"/>
      <c r="AR332" s="98"/>
      <c r="AS332" s="98"/>
      <c r="AT332" s="98"/>
      <c r="AU332" s="98"/>
      <c r="AV332" s="98"/>
      <c r="AW332" s="65"/>
      <c r="AX332" s="99"/>
      <c r="AY332" s="99"/>
      <c r="AZ332" s="104" t="str">
        <f>IF('BMP P Tracking Table'!$AL332="Yes",IF('BMP P Tracking Table'!$AM332="No",'BMP P Tracking Table'!$V332*VLOOKUP('BMP P Tracking Table'!$R332,'Loading Rates'!$B$1:$L$24,4,FALSE)+IF('BMP P Tracking Table'!$W332="By HSG",'BMP P Tracking Table'!$X332*VLOOKUP('BMP P Tracking Table'!$R332,'Loading Rates'!$B$1:$L$24,6,FALSE)+'BMP P Tracking Table'!$Y332*VLOOKUP('BMP P Tracking Table'!$R332,'Loading Rates'!$B$1:$L$24,7,FALSE)+'BMP P Tracking Table'!$Z332*VLOOKUP('BMP P Tracking Table'!$R332,'Loading Rates'!$B$1:$L$24,8,FALSE)+'BMP P Tracking Table'!$AA332*VLOOKUP('BMP P Tracking Table'!$R332,'Loading Rates'!$B$1:$L$24,9,FALSE),'BMP P Tracking Table'!$AB332*VLOOKUP('BMP P Tracking Table'!$R332,'Loading Rates'!$B$1:$L$24,10,FALSE)),'BMP P Tracking Table'!$AP332*VLOOKUP('BMP P Tracking Table'!$R332,'Loading Rates'!$B$1:$L$24,4,FALSE)+IF('BMP P Tracking Table'!$AQ332="By HSG",'BMP P Tracking Table'!$AR332*VLOOKUP('BMP P Tracking Table'!$R332,'Loading Rates'!$B$1:$L$24,6,FALSE)+'BMP P Tracking Table'!$AS332*VLOOKUP('BMP P Tracking Table'!$R332,'Loading Rates'!$B$1:$L$24,7,FALSE)+'BMP P Tracking Table'!$AT332*VLOOKUP('BMP P Tracking Table'!$R332,'Loading Rates'!$B$1:$L$24,8,FALSE)+'BMP P Tracking Table'!$AU332*VLOOKUP('BMP P Tracking Table'!$R332,'Loading Rates'!$B$1:$L$24,9,FALSE),'BMP P Tracking Table'!$AV332*VLOOKUP('BMP P Tracking Table'!$R332,'Loading Rates'!$B$1:$L$24,10,FALSE))),"")</f>
        <v/>
      </c>
      <c r="BA332" s="104" t="str">
        <f>IFERROR(IF('BMP P Tracking Table'!$AM332="Yes",MIN(2,IF('BMP P Tracking Table'!$AQ332="Total Pervious",(-(3630*'BMP P Tracking Table'!$AP332+20.691*'BMP P Tracking Table'!$AV332)+SQRT((3630*'BMP P Tracking Table'!$AP332+20.691*'BMP P Tracking Table'!$AV332)^2-(4*(996.798*'BMP P Tracking Table'!$AV332)*-'BMP P Tracking Table'!$AX332)))/(2*(996.798*'BMP P Tracking Table'!$AV332)),IF(SUM('BMP P Tracking Table'!$AR332:$AU332)=0,'BMP P Tracking Table'!$AV332/(-3630*'BMP P Tracking Table'!$AP332),(-(3630*'BMP P Tracking Table'!$AP332+20.691*'BMP P Tracking Table'!$AU332-216.711*'BMP P Tracking Table'!$AT332-83.853*'BMP P Tracking Table'!$AS332-42.834*'BMP P Tracking Table'!$AR332)+SQRT((3630*'BMP P Tracking Table'!$AP332+20.691*'BMP P Tracking Table'!$AU332-216.711*'BMP P Tracking Table'!$AT332-83.853*'BMP P Tracking Table'!$AS332-42.834*'BMP P Tracking Table'!$AR332)^2-(4*(149.919*'BMP P Tracking Table'!$AR332+236.676*'BMP P Tracking Table'!$AS332+726*'BMP P Tracking Table'!$AT332+996.798*'BMP P Tracking Table'!$AU332)*-'BMP P Tracking Table'!$AX332)))/(2*(149.919*'BMP P Tracking Table'!$AR332+236.676*'BMP P Tracking Table'!$AS332+726*'BMP P Tracking Table'!$AT332+996.798*'BMP P Tracking Table'!$AU332))))),MIN(2,IF('BMP P Tracking Table'!$AQ332="Total Pervious",(-(3630*'BMP P Tracking Table'!$V332+20.691*'BMP P Tracking Table'!$AB332)+SQRT((3630*'BMP P Tracking Table'!$V332+20.691*'BMP P Tracking Table'!$AB332)^2-(4*(996.798*'BMP P Tracking Table'!$AB332)*-'BMP P Tracking Table'!$AX332)))/(2*(996.798*'BMP P Tracking Table'!$AB332)),IF(SUM('BMP P Tracking Table'!$X332:$AA332)=0,'BMP P Tracking Table'!$AX332/(-3630*'BMP P Tracking Table'!$V332),(-(3630*'BMP P Tracking Table'!$V332+20.691*'BMP P Tracking Table'!$AA332-216.711*'BMP P Tracking Table'!$Z332-83.853*'BMP P Tracking Table'!$Y332-42.834*'BMP P Tracking Table'!$X332)+SQRT((3630*'BMP P Tracking Table'!$V332+20.691*'BMP P Tracking Table'!$AA332-216.711*'BMP P Tracking Table'!$Z332-83.853*'BMP P Tracking Table'!$Y332-42.834*'BMP P Tracking Table'!$X332)^2-(4*(149.919*'BMP P Tracking Table'!$X332+236.676*'BMP P Tracking Table'!$Y332+726*'BMP P Tracking Table'!$Z332+996.798*'BMP P Tracking Table'!$AA332)*-'BMP P Tracking Table'!$AX332)))/(2*(149.919*'BMP P Tracking Table'!$X332+236.676*'BMP P Tracking Table'!$Y332+726*'BMP P Tracking Table'!$Z332+996.798*'BMP P Tracking Table'!$AA332)))))),"")</f>
        <v/>
      </c>
      <c r="BB332" s="102" t="str">
        <f>IFERROR((VLOOKUP(CONCATENATE('BMP P Tracking Table'!$AW332," ",'BMP P Tracking Table'!$AY332),'Performance Curves'!$C$1:$L$46,_xlfn.SINGLE(MATCH('BMP P Tracking Table'!$BA332,'Performance Curves'!$D$1:$L$1,1))+2,FALSE)-VLOOKUP(CONCATENATE('BMP P Tracking Table'!$AW332," ",'BMP P Tracking Table'!$AY332),'Performance Curves'!$C$1:$L$46,_xlfn.SINGLE(MATCH('BMP P Tracking Table'!$BA332,'Performance Curves'!$D$1:$L$1,1))+1,FALSE)),"")</f>
        <v/>
      </c>
      <c r="BC332" s="102" t="str">
        <f>IFERROR(('BMP P Tracking Table'!$BA332-INDEX('Performance Curves'!$D$1:$L$1,1,MATCH('BMP P Tracking Table'!$BA332,'Performance Curves'!$D$1:$L$1,1)))/(INDEX('Performance Curves'!$D$1:$L$1,1,MATCH('BMP P Tracking Table'!$BA332,'Performance Curves'!$D$1:$L$1,1)+1)-INDEX('Performance Curves'!$D$1:$L$1,1,MATCH('BMP P Tracking Table'!$BA332,'Performance Curves'!$D$1:$L$1,1))),"")</f>
        <v/>
      </c>
      <c r="BD332" s="103" t="str" cm="1">
        <f t="array" ref="BD332">IFERROR(IF('BMP P Tracking Table'!$BA332=2,VLOOKUP(CONCATENATE('BMP P Tracking Table'!$AW332," ",'BMP P Tracking Table'!$AY332),'Performance Curves'!$C$1:$L$44,_xlfn.SINGLE(MATCH('BMP P Tracking Table'!$BA332,'Performance Curves'!$D$1:$L$1,1))+1,FALSE),'BMP P Tracking Table'!$BB332*'BMP P Tracking Table'!$BC332+VLOOKUP(CONCATENATE('BMP P Tracking Table'!$AW332," ",'BMP P Tracking Table'!$AY332),'Performance Curves'!$C$1:$L$44,_xlfn.SINGLE(MATCH('BMP P Tracking Table'!$BA332,'Performance Curves'!$D$1:$L$1,1))+1,FALSE)),"")</f>
        <v/>
      </c>
      <c r="BE332" s="104" t="str">
        <f>IFERROR('BMP P Tracking Table'!$BD332*'BMP P Tracking Table'!$AZ332,"")</f>
        <v/>
      </c>
      <c r="BF332" s="98"/>
      <c r="BG332" s="37">
        <f t="shared" si="38"/>
        <v>0</v>
      </c>
    </row>
    <row r="333" spans="2:59" s="36" customFormat="1">
      <c r="B333" s="65"/>
      <c r="C333" s="65"/>
      <c r="D333" s="65"/>
      <c r="E333" s="65"/>
      <c r="F333" s="94"/>
      <c r="G333" s="94"/>
      <c r="H333" s="65"/>
      <c r="I333" s="65"/>
      <c r="J333" s="65"/>
      <c r="K333" s="95"/>
      <c r="L333" s="65"/>
      <c r="M333" s="65"/>
      <c r="N333" s="65"/>
      <c r="O333" s="65"/>
      <c r="P333" s="65"/>
      <c r="Q333" s="65"/>
      <c r="R333" s="65" t="str">
        <f>IFERROR(VLOOKUP('BMP P Tracking Table'!$Q333,Dropdowns!$C$2:$E$15,3,FALSE),"")</f>
        <v/>
      </c>
      <c r="S333" s="65" t="str">
        <f>IFERROR(VLOOKUP('BMP P Tracking Table'!$R333,Dropdowns!$Q$3:$R$23,2,FALSE),"")</f>
        <v/>
      </c>
      <c r="T333" s="65"/>
      <c r="U333" s="65"/>
      <c r="V333" s="65"/>
      <c r="W333" s="65"/>
      <c r="X333" s="65"/>
      <c r="Y333" s="65"/>
      <c r="Z333" s="65"/>
      <c r="AA333" s="65"/>
      <c r="AB333" s="65"/>
      <c r="AC333" s="97"/>
      <c r="AD333" s="65"/>
      <c r="AE333" s="104" t="str">
        <f>IFERROR('BMP P Tracking Table'!$V333*VLOOKUP('BMP P Tracking Table'!$R333,'Loading Rates'!$B$1:$L$24,4,FALSE)+IF('BMP P Tracking Table'!$W333="By HSG",'BMP P Tracking Table'!$X333*VLOOKUP('BMP P Tracking Table'!$R333,'Loading Rates'!$B$1:$L$24,6,FALSE)+'BMP P Tracking Table'!$Y333*VLOOKUP('BMP P Tracking Table'!$R333,'Loading Rates'!$B$1:$L$24,7,FALSE)+'BMP P Tracking Table'!$Z333*VLOOKUP('BMP P Tracking Table'!$R333,'Loading Rates'!$B$1:$L$24,8,FALSE)+'BMP P Tracking Table'!$AA333*VLOOKUP('BMP P Tracking Table'!$R333,'Loading Rates'!$B$1:$L$24,9,FALSE),'BMP P Tracking Table'!$AB333*VLOOKUP('BMP P Tracking Table'!$R333,'Loading Rates'!$B$1:$L$24,10,FALSE)),"")</f>
        <v/>
      </c>
      <c r="AF333" s="104" t="str">
        <f>IFERROR(MIN(2,IF('BMP P Tracking Table'!$W333="Total Pervious",(-(3630*'BMP P Tracking Table'!$V333+20.691*'BMP P Tracking Table'!$AB333)+SQRT((3630*'BMP P Tracking Table'!$V333+20.691*'BMP P Tracking Table'!$AB333)^2-(4*(996.798*'BMP P Tracking Table'!$AB333)*-'BMP P Tracking Table'!$AC333)))/(2*(996.798*'BMP P Tracking Table'!$AB333)),IF(SUM('BMP P Tracking Table'!$X333:$AA333)=0,'BMP P Tracking Table'!$AC333/(-3630*'BMP P Tracking Table'!$V333),(-(3630*'BMP P Tracking Table'!$V333+20.691*'BMP P Tracking Table'!$AA333-216.711*'BMP P Tracking Table'!$Z333-83.853*'BMP P Tracking Table'!$Y333-42.834*'BMP P Tracking Table'!$X333)+SQRT((3630*'BMP P Tracking Table'!$V333+20.691*'BMP P Tracking Table'!$AA333-216.711*'BMP P Tracking Table'!$Z333-83.853*'BMP P Tracking Table'!$Y333-42.834*'BMP P Tracking Table'!$X333)^2-(4*(149.919*'BMP P Tracking Table'!$X333+236.676*'BMP P Tracking Table'!$Y333+726*'BMP P Tracking Table'!$Z333+996.798*'BMP P Tracking Table'!$AA333)*-'BMP P Tracking Table'!$AC333)))/(2*(149.919*'BMP P Tracking Table'!$X333+236.676*'BMP P Tracking Table'!$Y333+726*'BMP P Tracking Table'!$Z333+996.798*'BMP P Tracking Table'!$AA333))))),"")</f>
        <v/>
      </c>
      <c r="AG333" s="104" t="str">
        <f>IFERROR((VLOOKUP(CONCATENATE('BMP P Tracking Table'!$U333," ",'BMP P Tracking Table'!$AD333),'Performance Curves'!$C$1:$L$46,_xlfn.SINGLE(MATCH('BMP P Tracking Table'!$AF333,'Performance Curves'!$D$1:$L$1,1))+2,FALSE)-VLOOKUP(CONCATENATE('BMP P Tracking Table'!$U333," ",'BMP P Tracking Table'!$AD333),'Performance Curves'!$C$1:$L$46,_xlfn.SINGLE(MATCH('BMP P Tracking Table'!$AF333,'Performance Curves'!$D$1:$L$1,1))+1,FALSE)),"")</f>
        <v/>
      </c>
      <c r="AH333" s="104" t="str">
        <f>IFERROR(('BMP P Tracking Table'!$AF333-INDEX('Performance Curves'!$D$1:$L$1,1,MATCH('BMP P Tracking Table'!$AF333,'Performance Curves'!$D$1:$L$1,1)))/(INDEX('Performance Curves'!$D$1:$L$1,1,MATCH('BMP P Tracking Table'!$AF333,'Performance Curves'!$D$1:$L$1,1)+1)-INDEX('Performance Curves'!$D$1:$L$1,1,MATCH('BMP P Tracking Table'!$AF333,'Performance Curves'!$D$1:$L$1,1))),"")</f>
        <v/>
      </c>
      <c r="AI333" s="103" t="str">
        <f>IFERROR(IF('BMP P Tracking Table'!$AF333=2,VLOOKUP(CONCATENATE('BMP P Tracking Table'!$U333," ",'BMP P Tracking Table'!$AD333),'Performance Curves'!$C$1:$L$46,_xlfn.SINGLE(MATCH('BMP P Tracking Table'!$AF333,'Performance Curves'!$D$1:$L$1,1))+1,FALSE),'BMP P Tracking Table'!$AG333*'BMP P Tracking Table'!$AH333+VLOOKUP(CONCATENATE('BMP P Tracking Table'!$U333," ",'BMP P Tracking Table'!$AD333),'Performance Curves'!$C$1:$L$46,_xlfn.SINGLE(MATCH('BMP P Tracking Table'!$AF333,'Performance Curves'!$D$1:$L$1,1))+1,FALSE)),"")</f>
        <v/>
      </c>
      <c r="AJ333" s="104" t="str">
        <f>IFERROR('BMP P Tracking Table'!$AI333*'BMP P Tracking Table'!$AE333,"")</f>
        <v/>
      </c>
      <c r="AK333" s="65"/>
      <c r="AL333" s="98"/>
      <c r="AM333" s="98"/>
      <c r="AN333" s="64">
        <v>1</v>
      </c>
      <c r="AO333" s="102" t="str">
        <f t="shared" si="37"/>
        <v/>
      </c>
      <c r="AP333" s="98"/>
      <c r="AQ333" s="98"/>
      <c r="AR333" s="98"/>
      <c r="AS333" s="98"/>
      <c r="AT333" s="98"/>
      <c r="AU333" s="98"/>
      <c r="AV333" s="98"/>
      <c r="AW333" s="65"/>
      <c r="AX333" s="99"/>
      <c r="AY333" s="99"/>
      <c r="AZ333" s="104" t="str">
        <f>IF('BMP P Tracking Table'!$AL333="Yes",IF('BMP P Tracking Table'!$AM333="No",'BMP P Tracking Table'!$V333*VLOOKUP('BMP P Tracking Table'!$R333,'Loading Rates'!$B$1:$L$24,4,FALSE)+IF('BMP P Tracking Table'!$W333="By HSG",'BMP P Tracking Table'!$X333*VLOOKUP('BMP P Tracking Table'!$R333,'Loading Rates'!$B$1:$L$24,6,FALSE)+'BMP P Tracking Table'!$Y333*VLOOKUP('BMP P Tracking Table'!$R333,'Loading Rates'!$B$1:$L$24,7,FALSE)+'BMP P Tracking Table'!$Z333*VLOOKUP('BMP P Tracking Table'!$R333,'Loading Rates'!$B$1:$L$24,8,FALSE)+'BMP P Tracking Table'!$AA333*VLOOKUP('BMP P Tracking Table'!$R333,'Loading Rates'!$B$1:$L$24,9,FALSE),'BMP P Tracking Table'!$AB333*VLOOKUP('BMP P Tracking Table'!$R333,'Loading Rates'!$B$1:$L$24,10,FALSE)),'BMP P Tracking Table'!$AP333*VLOOKUP('BMP P Tracking Table'!$R333,'Loading Rates'!$B$1:$L$24,4,FALSE)+IF('BMP P Tracking Table'!$AQ333="By HSG",'BMP P Tracking Table'!$AR333*VLOOKUP('BMP P Tracking Table'!$R333,'Loading Rates'!$B$1:$L$24,6,FALSE)+'BMP P Tracking Table'!$AS333*VLOOKUP('BMP P Tracking Table'!$R333,'Loading Rates'!$B$1:$L$24,7,FALSE)+'BMP P Tracking Table'!$AT333*VLOOKUP('BMP P Tracking Table'!$R333,'Loading Rates'!$B$1:$L$24,8,FALSE)+'BMP P Tracking Table'!$AU333*VLOOKUP('BMP P Tracking Table'!$R333,'Loading Rates'!$B$1:$L$24,9,FALSE),'BMP P Tracking Table'!$AV333*VLOOKUP('BMP P Tracking Table'!$R333,'Loading Rates'!$B$1:$L$24,10,FALSE))),"")</f>
        <v/>
      </c>
      <c r="BA333" s="104" t="str">
        <f>IFERROR(IF('BMP P Tracking Table'!$AM333="Yes",MIN(2,IF('BMP P Tracking Table'!$AQ333="Total Pervious",(-(3630*'BMP P Tracking Table'!$AP333+20.691*'BMP P Tracking Table'!$AV333)+SQRT((3630*'BMP P Tracking Table'!$AP333+20.691*'BMP P Tracking Table'!$AV333)^2-(4*(996.798*'BMP P Tracking Table'!$AV333)*-'BMP P Tracking Table'!$AX333)))/(2*(996.798*'BMP P Tracking Table'!$AV333)),IF(SUM('BMP P Tracking Table'!$AR333:$AU333)=0,'BMP P Tracking Table'!$AV333/(-3630*'BMP P Tracking Table'!$AP333),(-(3630*'BMP P Tracking Table'!$AP333+20.691*'BMP P Tracking Table'!$AU333-216.711*'BMP P Tracking Table'!$AT333-83.853*'BMP P Tracking Table'!$AS333-42.834*'BMP P Tracking Table'!$AR333)+SQRT((3630*'BMP P Tracking Table'!$AP333+20.691*'BMP P Tracking Table'!$AU333-216.711*'BMP P Tracking Table'!$AT333-83.853*'BMP P Tracking Table'!$AS333-42.834*'BMP P Tracking Table'!$AR333)^2-(4*(149.919*'BMP P Tracking Table'!$AR333+236.676*'BMP P Tracking Table'!$AS333+726*'BMP P Tracking Table'!$AT333+996.798*'BMP P Tracking Table'!$AU333)*-'BMP P Tracking Table'!$AX333)))/(2*(149.919*'BMP P Tracking Table'!$AR333+236.676*'BMP P Tracking Table'!$AS333+726*'BMP P Tracking Table'!$AT333+996.798*'BMP P Tracking Table'!$AU333))))),MIN(2,IF('BMP P Tracking Table'!$AQ333="Total Pervious",(-(3630*'BMP P Tracking Table'!$V333+20.691*'BMP P Tracking Table'!$AB333)+SQRT((3630*'BMP P Tracking Table'!$V333+20.691*'BMP P Tracking Table'!$AB333)^2-(4*(996.798*'BMP P Tracking Table'!$AB333)*-'BMP P Tracking Table'!$AX333)))/(2*(996.798*'BMP P Tracking Table'!$AB333)),IF(SUM('BMP P Tracking Table'!$X333:$AA333)=0,'BMP P Tracking Table'!$AX333/(-3630*'BMP P Tracking Table'!$V333),(-(3630*'BMP P Tracking Table'!$V333+20.691*'BMP P Tracking Table'!$AA333-216.711*'BMP P Tracking Table'!$Z333-83.853*'BMP P Tracking Table'!$Y333-42.834*'BMP P Tracking Table'!$X333)+SQRT((3630*'BMP P Tracking Table'!$V333+20.691*'BMP P Tracking Table'!$AA333-216.711*'BMP P Tracking Table'!$Z333-83.853*'BMP P Tracking Table'!$Y333-42.834*'BMP P Tracking Table'!$X333)^2-(4*(149.919*'BMP P Tracking Table'!$X333+236.676*'BMP P Tracking Table'!$Y333+726*'BMP P Tracking Table'!$Z333+996.798*'BMP P Tracking Table'!$AA333)*-'BMP P Tracking Table'!$AX333)))/(2*(149.919*'BMP P Tracking Table'!$X333+236.676*'BMP P Tracking Table'!$Y333+726*'BMP P Tracking Table'!$Z333+996.798*'BMP P Tracking Table'!$AA333)))))),"")</f>
        <v/>
      </c>
      <c r="BB333" s="102" t="str">
        <f>IFERROR((VLOOKUP(CONCATENATE('BMP P Tracking Table'!$AW333," ",'BMP P Tracking Table'!$AY333),'Performance Curves'!$C$1:$L$46,_xlfn.SINGLE(MATCH('BMP P Tracking Table'!$BA333,'Performance Curves'!$D$1:$L$1,1))+2,FALSE)-VLOOKUP(CONCATENATE('BMP P Tracking Table'!$AW333," ",'BMP P Tracking Table'!$AY333),'Performance Curves'!$C$1:$L$46,_xlfn.SINGLE(MATCH('BMP P Tracking Table'!$BA333,'Performance Curves'!$D$1:$L$1,1))+1,FALSE)),"")</f>
        <v/>
      </c>
      <c r="BC333" s="102" t="str">
        <f>IFERROR(('BMP P Tracking Table'!$BA333-INDEX('Performance Curves'!$D$1:$L$1,1,MATCH('BMP P Tracking Table'!$BA333,'Performance Curves'!$D$1:$L$1,1)))/(INDEX('Performance Curves'!$D$1:$L$1,1,MATCH('BMP P Tracking Table'!$BA333,'Performance Curves'!$D$1:$L$1,1)+1)-INDEX('Performance Curves'!$D$1:$L$1,1,MATCH('BMP P Tracking Table'!$BA333,'Performance Curves'!$D$1:$L$1,1))),"")</f>
        <v/>
      </c>
      <c r="BD333" s="103" t="str" cm="1">
        <f t="array" ref="BD333">IFERROR(IF('BMP P Tracking Table'!$BA333=2,VLOOKUP(CONCATENATE('BMP P Tracking Table'!$AW333," ",'BMP P Tracking Table'!$AY333),'Performance Curves'!$C$1:$L$44,_xlfn.SINGLE(MATCH('BMP P Tracking Table'!$BA333,'Performance Curves'!$D$1:$L$1,1))+1,FALSE),'BMP P Tracking Table'!$BB333*'BMP P Tracking Table'!$BC333+VLOOKUP(CONCATENATE('BMP P Tracking Table'!$AW333," ",'BMP P Tracking Table'!$AY333),'Performance Curves'!$C$1:$L$44,_xlfn.SINGLE(MATCH('BMP P Tracking Table'!$BA333,'Performance Curves'!$D$1:$L$1,1))+1,FALSE)),"")</f>
        <v/>
      </c>
      <c r="BE333" s="104" t="str">
        <f>IFERROR('BMP P Tracking Table'!$BD333*'BMP P Tracking Table'!$AZ333,"")</f>
        <v/>
      </c>
      <c r="BF333" s="98"/>
      <c r="BG333" s="37">
        <f t="shared" si="38"/>
        <v>0</v>
      </c>
    </row>
    <row r="334" spans="2:59" s="36" customFormat="1">
      <c r="B334" s="65"/>
      <c r="C334" s="65"/>
      <c r="D334" s="65"/>
      <c r="E334" s="65"/>
      <c r="F334" s="94"/>
      <c r="G334" s="94"/>
      <c r="H334" s="65"/>
      <c r="I334" s="65"/>
      <c r="J334" s="65"/>
      <c r="K334" s="95"/>
      <c r="L334" s="65"/>
      <c r="M334" s="65"/>
      <c r="N334" s="65"/>
      <c r="O334" s="65"/>
      <c r="P334" s="65"/>
      <c r="Q334" s="65"/>
      <c r="R334" s="65" t="str">
        <f>IFERROR(VLOOKUP('BMP P Tracking Table'!$Q334,Dropdowns!$C$2:$E$15,3,FALSE),"")</f>
        <v/>
      </c>
      <c r="S334" s="65" t="str">
        <f>IFERROR(VLOOKUP('BMP P Tracking Table'!$R334,Dropdowns!$Q$3:$R$23,2,FALSE),"")</f>
        <v/>
      </c>
      <c r="T334" s="65"/>
      <c r="U334" s="65"/>
      <c r="V334" s="65"/>
      <c r="W334" s="65"/>
      <c r="X334" s="65"/>
      <c r="Y334" s="65"/>
      <c r="Z334" s="65"/>
      <c r="AA334" s="65"/>
      <c r="AB334" s="65"/>
      <c r="AC334" s="97"/>
      <c r="AD334" s="65"/>
      <c r="AE334" s="104" t="str">
        <f>IFERROR('BMP P Tracking Table'!$V334*VLOOKUP('BMP P Tracking Table'!$R334,'Loading Rates'!$B$1:$L$24,4,FALSE)+IF('BMP P Tracking Table'!$W334="By HSG",'BMP P Tracking Table'!$X334*VLOOKUP('BMP P Tracking Table'!$R334,'Loading Rates'!$B$1:$L$24,6,FALSE)+'BMP P Tracking Table'!$Y334*VLOOKUP('BMP P Tracking Table'!$R334,'Loading Rates'!$B$1:$L$24,7,FALSE)+'BMP P Tracking Table'!$Z334*VLOOKUP('BMP P Tracking Table'!$R334,'Loading Rates'!$B$1:$L$24,8,FALSE)+'BMP P Tracking Table'!$AA334*VLOOKUP('BMP P Tracking Table'!$R334,'Loading Rates'!$B$1:$L$24,9,FALSE),'BMP P Tracking Table'!$AB334*VLOOKUP('BMP P Tracking Table'!$R334,'Loading Rates'!$B$1:$L$24,10,FALSE)),"")</f>
        <v/>
      </c>
      <c r="AF334" s="104" t="str">
        <f>IFERROR(MIN(2,IF('BMP P Tracking Table'!$W334="Total Pervious",(-(3630*'BMP P Tracking Table'!$V334+20.691*'BMP P Tracking Table'!$AB334)+SQRT((3630*'BMP P Tracking Table'!$V334+20.691*'BMP P Tracking Table'!$AB334)^2-(4*(996.798*'BMP P Tracking Table'!$AB334)*-'BMP P Tracking Table'!$AC334)))/(2*(996.798*'BMP P Tracking Table'!$AB334)),IF(SUM('BMP P Tracking Table'!$X334:$AA334)=0,'BMP P Tracking Table'!$AC334/(-3630*'BMP P Tracking Table'!$V334),(-(3630*'BMP P Tracking Table'!$V334+20.691*'BMP P Tracking Table'!$AA334-216.711*'BMP P Tracking Table'!$Z334-83.853*'BMP P Tracking Table'!$Y334-42.834*'BMP P Tracking Table'!$X334)+SQRT((3630*'BMP P Tracking Table'!$V334+20.691*'BMP P Tracking Table'!$AA334-216.711*'BMP P Tracking Table'!$Z334-83.853*'BMP P Tracking Table'!$Y334-42.834*'BMP P Tracking Table'!$X334)^2-(4*(149.919*'BMP P Tracking Table'!$X334+236.676*'BMP P Tracking Table'!$Y334+726*'BMP P Tracking Table'!$Z334+996.798*'BMP P Tracking Table'!$AA334)*-'BMP P Tracking Table'!$AC334)))/(2*(149.919*'BMP P Tracking Table'!$X334+236.676*'BMP P Tracking Table'!$Y334+726*'BMP P Tracking Table'!$Z334+996.798*'BMP P Tracking Table'!$AA334))))),"")</f>
        <v/>
      </c>
      <c r="AG334" s="104" t="str">
        <f>IFERROR((VLOOKUP(CONCATENATE('BMP P Tracking Table'!$U334," ",'BMP P Tracking Table'!$AD334),'Performance Curves'!$C$1:$L$46,_xlfn.SINGLE(MATCH('BMP P Tracking Table'!$AF334,'Performance Curves'!$D$1:$L$1,1))+2,FALSE)-VLOOKUP(CONCATENATE('BMP P Tracking Table'!$U334," ",'BMP P Tracking Table'!$AD334),'Performance Curves'!$C$1:$L$46,_xlfn.SINGLE(MATCH('BMP P Tracking Table'!$AF334,'Performance Curves'!$D$1:$L$1,1))+1,FALSE)),"")</f>
        <v/>
      </c>
      <c r="AH334" s="104" t="str">
        <f>IFERROR(('BMP P Tracking Table'!$AF334-INDEX('Performance Curves'!$D$1:$L$1,1,MATCH('BMP P Tracking Table'!$AF334,'Performance Curves'!$D$1:$L$1,1)))/(INDEX('Performance Curves'!$D$1:$L$1,1,MATCH('BMP P Tracking Table'!$AF334,'Performance Curves'!$D$1:$L$1,1)+1)-INDEX('Performance Curves'!$D$1:$L$1,1,MATCH('BMP P Tracking Table'!$AF334,'Performance Curves'!$D$1:$L$1,1))),"")</f>
        <v/>
      </c>
      <c r="AI334" s="103" t="str">
        <f>IFERROR(IF('BMP P Tracking Table'!$AF334=2,VLOOKUP(CONCATENATE('BMP P Tracking Table'!$U334," ",'BMP P Tracking Table'!$AD334),'Performance Curves'!$C$1:$L$46,_xlfn.SINGLE(MATCH('BMP P Tracking Table'!$AF334,'Performance Curves'!$D$1:$L$1,1))+1,FALSE),'BMP P Tracking Table'!$AG334*'BMP P Tracking Table'!$AH334+VLOOKUP(CONCATENATE('BMP P Tracking Table'!$U334," ",'BMP P Tracking Table'!$AD334),'Performance Curves'!$C$1:$L$46,_xlfn.SINGLE(MATCH('BMP P Tracking Table'!$AF334,'Performance Curves'!$D$1:$L$1,1))+1,FALSE)),"")</f>
        <v/>
      </c>
      <c r="AJ334" s="104" t="str">
        <f>IFERROR('BMP P Tracking Table'!$AI334*'BMP P Tracking Table'!$AE334,"")</f>
        <v/>
      </c>
      <c r="AK334" s="65"/>
      <c r="AL334" s="98"/>
      <c r="AM334" s="98"/>
      <c r="AN334" s="64">
        <v>1</v>
      </c>
      <c r="AO334" s="102" t="str">
        <f t="shared" si="37"/>
        <v/>
      </c>
      <c r="AP334" s="98"/>
      <c r="AQ334" s="98"/>
      <c r="AR334" s="98"/>
      <c r="AS334" s="98"/>
      <c r="AT334" s="98"/>
      <c r="AU334" s="98"/>
      <c r="AV334" s="98"/>
      <c r="AW334" s="65"/>
      <c r="AX334" s="99"/>
      <c r="AY334" s="99"/>
      <c r="AZ334" s="104" t="str">
        <f>IF('BMP P Tracking Table'!$AL334="Yes",IF('BMP P Tracking Table'!$AM334="No",'BMP P Tracking Table'!$V334*VLOOKUP('BMP P Tracking Table'!$R334,'Loading Rates'!$B$1:$L$24,4,FALSE)+IF('BMP P Tracking Table'!$W334="By HSG",'BMP P Tracking Table'!$X334*VLOOKUP('BMP P Tracking Table'!$R334,'Loading Rates'!$B$1:$L$24,6,FALSE)+'BMP P Tracking Table'!$Y334*VLOOKUP('BMP P Tracking Table'!$R334,'Loading Rates'!$B$1:$L$24,7,FALSE)+'BMP P Tracking Table'!$Z334*VLOOKUP('BMP P Tracking Table'!$R334,'Loading Rates'!$B$1:$L$24,8,FALSE)+'BMP P Tracking Table'!$AA334*VLOOKUP('BMP P Tracking Table'!$R334,'Loading Rates'!$B$1:$L$24,9,FALSE),'BMP P Tracking Table'!$AB334*VLOOKUP('BMP P Tracking Table'!$R334,'Loading Rates'!$B$1:$L$24,10,FALSE)),'BMP P Tracking Table'!$AP334*VLOOKUP('BMP P Tracking Table'!$R334,'Loading Rates'!$B$1:$L$24,4,FALSE)+IF('BMP P Tracking Table'!$AQ334="By HSG",'BMP P Tracking Table'!$AR334*VLOOKUP('BMP P Tracking Table'!$R334,'Loading Rates'!$B$1:$L$24,6,FALSE)+'BMP P Tracking Table'!$AS334*VLOOKUP('BMP P Tracking Table'!$R334,'Loading Rates'!$B$1:$L$24,7,FALSE)+'BMP P Tracking Table'!$AT334*VLOOKUP('BMP P Tracking Table'!$R334,'Loading Rates'!$B$1:$L$24,8,FALSE)+'BMP P Tracking Table'!$AU334*VLOOKUP('BMP P Tracking Table'!$R334,'Loading Rates'!$B$1:$L$24,9,FALSE),'BMP P Tracking Table'!$AV334*VLOOKUP('BMP P Tracking Table'!$R334,'Loading Rates'!$B$1:$L$24,10,FALSE))),"")</f>
        <v/>
      </c>
      <c r="BA334" s="104" t="str">
        <f>IFERROR(IF('BMP P Tracking Table'!$AM334="Yes",MIN(2,IF('BMP P Tracking Table'!$AQ334="Total Pervious",(-(3630*'BMP P Tracking Table'!$AP334+20.691*'BMP P Tracking Table'!$AV334)+SQRT((3630*'BMP P Tracking Table'!$AP334+20.691*'BMP P Tracking Table'!$AV334)^2-(4*(996.798*'BMP P Tracking Table'!$AV334)*-'BMP P Tracking Table'!$AX334)))/(2*(996.798*'BMP P Tracking Table'!$AV334)),IF(SUM('BMP P Tracking Table'!$AR334:$AU334)=0,'BMP P Tracking Table'!$AV334/(-3630*'BMP P Tracking Table'!$AP334),(-(3630*'BMP P Tracking Table'!$AP334+20.691*'BMP P Tracking Table'!$AU334-216.711*'BMP P Tracking Table'!$AT334-83.853*'BMP P Tracking Table'!$AS334-42.834*'BMP P Tracking Table'!$AR334)+SQRT((3630*'BMP P Tracking Table'!$AP334+20.691*'BMP P Tracking Table'!$AU334-216.711*'BMP P Tracking Table'!$AT334-83.853*'BMP P Tracking Table'!$AS334-42.834*'BMP P Tracking Table'!$AR334)^2-(4*(149.919*'BMP P Tracking Table'!$AR334+236.676*'BMP P Tracking Table'!$AS334+726*'BMP P Tracking Table'!$AT334+996.798*'BMP P Tracking Table'!$AU334)*-'BMP P Tracking Table'!$AX334)))/(2*(149.919*'BMP P Tracking Table'!$AR334+236.676*'BMP P Tracking Table'!$AS334+726*'BMP P Tracking Table'!$AT334+996.798*'BMP P Tracking Table'!$AU334))))),MIN(2,IF('BMP P Tracking Table'!$AQ334="Total Pervious",(-(3630*'BMP P Tracking Table'!$V334+20.691*'BMP P Tracking Table'!$AB334)+SQRT((3630*'BMP P Tracking Table'!$V334+20.691*'BMP P Tracking Table'!$AB334)^2-(4*(996.798*'BMP P Tracking Table'!$AB334)*-'BMP P Tracking Table'!$AX334)))/(2*(996.798*'BMP P Tracking Table'!$AB334)),IF(SUM('BMP P Tracking Table'!$X334:$AA334)=0,'BMP P Tracking Table'!$AX334/(-3630*'BMP P Tracking Table'!$V334),(-(3630*'BMP P Tracking Table'!$V334+20.691*'BMP P Tracking Table'!$AA334-216.711*'BMP P Tracking Table'!$Z334-83.853*'BMP P Tracking Table'!$Y334-42.834*'BMP P Tracking Table'!$X334)+SQRT((3630*'BMP P Tracking Table'!$V334+20.691*'BMP P Tracking Table'!$AA334-216.711*'BMP P Tracking Table'!$Z334-83.853*'BMP P Tracking Table'!$Y334-42.834*'BMP P Tracking Table'!$X334)^2-(4*(149.919*'BMP P Tracking Table'!$X334+236.676*'BMP P Tracking Table'!$Y334+726*'BMP P Tracking Table'!$Z334+996.798*'BMP P Tracking Table'!$AA334)*-'BMP P Tracking Table'!$AX334)))/(2*(149.919*'BMP P Tracking Table'!$X334+236.676*'BMP P Tracking Table'!$Y334+726*'BMP P Tracking Table'!$Z334+996.798*'BMP P Tracking Table'!$AA334)))))),"")</f>
        <v/>
      </c>
      <c r="BB334" s="102" t="str">
        <f>IFERROR((VLOOKUP(CONCATENATE('BMP P Tracking Table'!$AW334," ",'BMP P Tracking Table'!$AY334),'Performance Curves'!$C$1:$L$46,_xlfn.SINGLE(MATCH('BMP P Tracking Table'!$BA334,'Performance Curves'!$D$1:$L$1,1))+2,FALSE)-VLOOKUP(CONCATENATE('BMP P Tracking Table'!$AW334," ",'BMP P Tracking Table'!$AY334),'Performance Curves'!$C$1:$L$46,_xlfn.SINGLE(MATCH('BMP P Tracking Table'!$BA334,'Performance Curves'!$D$1:$L$1,1))+1,FALSE)),"")</f>
        <v/>
      </c>
      <c r="BC334" s="102" t="str">
        <f>IFERROR(('BMP P Tracking Table'!$BA334-INDEX('Performance Curves'!$D$1:$L$1,1,MATCH('BMP P Tracking Table'!$BA334,'Performance Curves'!$D$1:$L$1,1)))/(INDEX('Performance Curves'!$D$1:$L$1,1,MATCH('BMP P Tracking Table'!$BA334,'Performance Curves'!$D$1:$L$1,1)+1)-INDEX('Performance Curves'!$D$1:$L$1,1,MATCH('BMP P Tracking Table'!$BA334,'Performance Curves'!$D$1:$L$1,1))),"")</f>
        <v/>
      </c>
      <c r="BD334" s="103" t="str" cm="1">
        <f t="array" ref="BD334">IFERROR(IF('BMP P Tracking Table'!$BA334=2,VLOOKUP(CONCATENATE('BMP P Tracking Table'!$AW334," ",'BMP P Tracking Table'!$AY334),'Performance Curves'!$C$1:$L$44,_xlfn.SINGLE(MATCH('BMP P Tracking Table'!$BA334,'Performance Curves'!$D$1:$L$1,1))+1,FALSE),'BMP P Tracking Table'!$BB334*'BMP P Tracking Table'!$BC334+VLOOKUP(CONCATENATE('BMP P Tracking Table'!$AW334," ",'BMP P Tracking Table'!$AY334),'Performance Curves'!$C$1:$L$44,_xlfn.SINGLE(MATCH('BMP P Tracking Table'!$BA334,'Performance Curves'!$D$1:$L$1,1))+1,FALSE)),"")</f>
        <v/>
      </c>
      <c r="BE334" s="104" t="str">
        <f>IFERROR('BMP P Tracking Table'!$BD334*'BMP P Tracking Table'!$AZ334,"")</f>
        <v/>
      </c>
      <c r="BF334" s="98"/>
      <c r="BG334" s="37">
        <f t="shared" si="38"/>
        <v>0</v>
      </c>
    </row>
    <row r="335" spans="2:59" s="36" customFormat="1">
      <c r="B335" s="65"/>
      <c r="C335" s="65"/>
      <c r="D335" s="65"/>
      <c r="E335" s="65"/>
      <c r="F335" s="94"/>
      <c r="G335" s="94"/>
      <c r="H335" s="65"/>
      <c r="I335" s="65"/>
      <c r="J335" s="65"/>
      <c r="K335" s="95"/>
      <c r="L335" s="65"/>
      <c r="M335" s="65"/>
      <c r="N335" s="65"/>
      <c r="O335" s="65"/>
      <c r="P335" s="65"/>
      <c r="Q335" s="65"/>
      <c r="R335" s="65" t="str">
        <f>IFERROR(VLOOKUP('BMP P Tracking Table'!$Q335,Dropdowns!$C$2:$E$15,3,FALSE),"")</f>
        <v/>
      </c>
      <c r="S335" s="65" t="str">
        <f>IFERROR(VLOOKUP('BMP P Tracking Table'!$R335,Dropdowns!$Q$3:$R$23,2,FALSE),"")</f>
        <v/>
      </c>
      <c r="T335" s="65"/>
      <c r="U335" s="65"/>
      <c r="V335" s="65"/>
      <c r="W335" s="65"/>
      <c r="X335" s="65"/>
      <c r="Y335" s="65"/>
      <c r="Z335" s="65"/>
      <c r="AA335" s="65"/>
      <c r="AB335" s="65"/>
      <c r="AC335" s="97"/>
      <c r="AD335" s="65"/>
      <c r="AE335" s="104" t="str">
        <f>IFERROR('BMP P Tracking Table'!$V335*VLOOKUP('BMP P Tracking Table'!$R335,'Loading Rates'!$B$1:$L$24,4,FALSE)+IF('BMP P Tracking Table'!$W335="By HSG",'BMP P Tracking Table'!$X335*VLOOKUP('BMP P Tracking Table'!$R335,'Loading Rates'!$B$1:$L$24,6,FALSE)+'BMP P Tracking Table'!$Y335*VLOOKUP('BMP P Tracking Table'!$R335,'Loading Rates'!$B$1:$L$24,7,FALSE)+'BMP P Tracking Table'!$Z335*VLOOKUP('BMP P Tracking Table'!$R335,'Loading Rates'!$B$1:$L$24,8,FALSE)+'BMP P Tracking Table'!$AA335*VLOOKUP('BMP P Tracking Table'!$R335,'Loading Rates'!$B$1:$L$24,9,FALSE),'BMP P Tracking Table'!$AB335*VLOOKUP('BMP P Tracking Table'!$R335,'Loading Rates'!$B$1:$L$24,10,FALSE)),"")</f>
        <v/>
      </c>
      <c r="AF335" s="104" t="str">
        <f>IFERROR(MIN(2,IF('BMP P Tracking Table'!$W335="Total Pervious",(-(3630*'BMP P Tracking Table'!$V335+20.691*'BMP P Tracking Table'!$AB335)+SQRT((3630*'BMP P Tracking Table'!$V335+20.691*'BMP P Tracking Table'!$AB335)^2-(4*(996.798*'BMP P Tracking Table'!$AB335)*-'BMP P Tracking Table'!$AC335)))/(2*(996.798*'BMP P Tracking Table'!$AB335)),IF(SUM('BMP P Tracking Table'!$X335:$AA335)=0,'BMP P Tracking Table'!$AC335/(-3630*'BMP P Tracking Table'!$V335),(-(3630*'BMP P Tracking Table'!$V335+20.691*'BMP P Tracking Table'!$AA335-216.711*'BMP P Tracking Table'!$Z335-83.853*'BMP P Tracking Table'!$Y335-42.834*'BMP P Tracking Table'!$X335)+SQRT((3630*'BMP P Tracking Table'!$V335+20.691*'BMP P Tracking Table'!$AA335-216.711*'BMP P Tracking Table'!$Z335-83.853*'BMP P Tracking Table'!$Y335-42.834*'BMP P Tracking Table'!$X335)^2-(4*(149.919*'BMP P Tracking Table'!$X335+236.676*'BMP P Tracking Table'!$Y335+726*'BMP P Tracking Table'!$Z335+996.798*'BMP P Tracking Table'!$AA335)*-'BMP P Tracking Table'!$AC335)))/(2*(149.919*'BMP P Tracking Table'!$X335+236.676*'BMP P Tracking Table'!$Y335+726*'BMP P Tracking Table'!$Z335+996.798*'BMP P Tracking Table'!$AA335))))),"")</f>
        <v/>
      </c>
      <c r="AG335" s="104" t="str">
        <f>IFERROR((VLOOKUP(CONCATENATE('BMP P Tracking Table'!$U335," ",'BMP P Tracking Table'!$AD335),'Performance Curves'!$C$1:$L$46,_xlfn.SINGLE(MATCH('BMP P Tracking Table'!$AF335,'Performance Curves'!$D$1:$L$1,1))+2,FALSE)-VLOOKUP(CONCATENATE('BMP P Tracking Table'!$U335," ",'BMP P Tracking Table'!$AD335),'Performance Curves'!$C$1:$L$46,_xlfn.SINGLE(MATCH('BMP P Tracking Table'!$AF335,'Performance Curves'!$D$1:$L$1,1))+1,FALSE)),"")</f>
        <v/>
      </c>
      <c r="AH335" s="104" t="str">
        <f>IFERROR(('BMP P Tracking Table'!$AF335-INDEX('Performance Curves'!$D$1:$L$1,1,MATCH('BMP P Tracking Table'!$AF335,'Performance Curves'!$D$1:$L$1,1)))/(INDEX('Performance Curves'!$D$1:$L$1,1,MATCH('BMP P Tracking Table'!$AF335,'Performance Curves'!$D$1:$L$1,1)+1)-INDEX('Performance Curves'!$D$1:$L$1,1,MATCH('BMP P Tracking Table'!$AF335,'Performance Curves'!$D$1:$L$1,1))),"")</f>
        <v/>
      </c>
      <c r="AI335" s="103" t="str">
        <f>IFERROR(IF('BMP P Tracking Table'!$AF335=2,VLOOKUP(CONCATENATE('BMP P Tracking Table'!$U335," ",'BMP P Tracking Table'!$AD335),'Performance Curves'!$C$1:$L$46,_xlfn.SINGLE(MATCH('BMP P Tracking Table'!$AF335,'Performance Curves'!$D$1:$L$1,1))+1,FALSE),'BMP P Tracking Table'!$AG335*'BMP P Tracking Table'!$AH335+VLOOKUP(CONCATENATE('BMP P Tracking Table'!$U335," ",'BMP P Tracking Table'!$AD335),'Performance Curves'!$C$1:$L$46,_xlfn.SINGLE(MATCH('BMP P Tracking Table'!$AF335,'Performance Curves'!$D$1:$L$1,1))+1,FALSE)),"")</f>
        <v/>
      </c>
      <c r="AJ335" s="104" t="str">
        <f>IFERROR('BMP P Tracking Table'!$AI335*'BMP P Tracking Table'!$AE335,"")</f>
        <v/>
      </c>
      <c r="AK335" s="65"/>
      <c r="AL335" s="98"/>
      <c r="AM335" s="98"/>
      <c r="AN335" s="64">
        <v>1</v>
      </c>
      <c r="AO335" s="102" t="str">
        <f t="shared" si="37"/>
        <v/>
      </c>
      <c r="AP335" s="98"/>
      <c r="AQ335" s="98"/>
      <c r="AR335" s="98"/>
      <c r="AS335" s="98"/>
      <c r="AT335" s="98"/>
      <c r="AU335" s="98"/>
      <c r="AV335" s="98"/>
      <c r="AW335" s="65"/>
      <c r="AX335" s="99"/>
      <c r="AY335" s="99"/>
      <c r="AZ335" s="104" t="str">
        <f>IF('BMP P Tracking Table'!$AL335="Yes",IF('BMP P Tracking Table'!$AM335="No",'BMP P Tracking Table'!$V335*VLOOKUP('BMP P Tracking Table'!$R335,'Loading Rates'!$B$1:$L$24,4,FALSE)+IF('BMP P Tracking Table'!$W335="By HSG",'BMP P Tracking Table'!$X335*VLOOKUP('BMP P Tracking Table'!$R335,'Loading Rates'!$B$1:$L$24,6,FALSE)+'BMP P Tracking Table'!$Y335*VLOOKUP('BMP P Tracking Table'!$R335,'Loading Rates'!$B$1:$L$24,7,FALSE)+'BMP P Tracking Table'!$Z335*VLOOKUP('BMP P Tracking Table'!$R335,'Loading Rates'!$B$1:$L$24,8,FALSE)+'BMP P Tracking Table'!$AA335*VLOOKUP('BMP P Tracking Table'!$R335,'Loading Rates'!$B$1:$L$24,9,FALSE),'BMP P Tracking Table'!$AB335*VLOOKUP('BMP P Tracking Table'!$R335,'Loading Rates'!$B$1:$L$24,10,FALSE)),'BMP P Tracking Table'!$AP335*VLOOKUP('BMP P Tracking Table'!$R335,'Loading Rates'!$B$1:$L$24,4,FALSE)+IF('BMP P Tracking Table'!$AQ335="By HSG",'BMP P Tracking Table'!$AR335*VLOOKUP('BMP P Tracking Table'!$R335,'Loading Rates'!$B$1:$L$24,6,FALSE)+'BMP P Tracking Table'!$AS335*VLOOKUP('BMP P Tracking Table'!$R335,'Loading Rates'!$B$1:$L$24,7,FALSE)+'BMP P Tracking Table'!$AT335*VLOOKUP('BMP P Tracking Table'!$R335,'Loading Rates'!$B$1:$L$24,8,FALSE)+'BMP P Tracking Table'!$AU335*VLOOKUP('BMP P Tracking Table'!$R335,'Loading Rates'!$B$1:$L$24,9,FALSE),'BMP P Tracking Table'!$AV335*VLOOKUP('BMP P Tracking Table'!$R335,'Loading Rates'!$B$1:$L$24,10,FALSE))),"")</f>
        <v/>
      </c>
      <c r="BA335" s="104" t="str">
        <f>IFERROR(IF('BMP P Tracking Table'!$AM335="Yes",MIN(2,IF('BMP P Tracking Table'!$AQ335="Total Pervious",(-(3630*'BMP P Tracking Table'!$AP335+20.691*'BMP P Tracking Table'!$AV335)+SQRT((3630*'BMP P Tracking Table'!$AP335+20.691*'BMP P Tracking Table'!$AV335)^2-(4*(996.798*'BMP P Tracking Table'!$AV335)*-'BMP P Tracking Table'!$AX335)))/(2*(996.798*'BMP P Tracking Table'!$AV335)),IF(SUM('BMP P Tracking Table'!$AR335:$AU335)=0,'BMP P Tracking Table'!$AV335/(-3630*'BMP P Tracking Table'!$AP335),(-(3630*'BMP P Tracking Table'!$AP335+20.691*'BMP P Tracking Table'!$AU335-216.711*'BMP P Tracking Table'!$AT335-83.853*'BMP P Tracking Table'!$AS335-42.834*'BMP P Tracking Table'!$AR335)+SQRT((3630*'BMP P Tracking Table'!$AP335+20.691*'BMP P Tracking Table'!$AU335-216.711*'BMP P Tracking Table'!$AT335-83.853*'BMP P Tracking Table'!$AS335-42.834*'BMP P Tracking Table'!$AR335)^2-(4*(149.919*'BMP P Tracking Table'!$AR335+236.676*'BMP P Tracking Table'!$AS335+726*'BMP P Tracking Table'!$AT335+996.798*'BMP P Tracking Table'!$AU335)*-'BMP P Tracking Table'!$AX335)))/(2*(149.919*'BMP P Tracking Table'!$AR335+236.676*'BMP P Tracking Table'!$AS335+726*'BMP P Tracking Table'!$AT335+996.798*'BMP P Tracking Table'!$AU335))))),MIN(2,IF('BMP P Tracking Table'!$AQ335="Total Pervious",(-(3630*'BMP P Tracking Table'!$V335+20.691*'BMP P Tracking Table'!$AB335)+SQRT((3630*'BMP P Tracking Table'!$V335+20.691*'BMP P Tracking Table'!$AB335)^2-(4*(996.798*'BMP P Tracking Table'!$AB335)*-'BMP P Tracking Table'!$AX335)))/(2*(996.798*'BMP P Tracking Table'!$AB335)),IF(SUM('BMP P Tracking Table'!$X335:$AA335)=0,'BMP P Tracking Table'!$AX335/(-3630*'BMP P Tracking Table'!$V335),(-(3630*'BMP P Tracking Table'!$V335+20.691*'BMP P Tracking Table'!$AA335-216.711*'BMP P Tracking Table'!$Z335-83.853*'BMP P Tracking Table'!$Y335-42.834*'BMP P Tracking Table'!$X335)+SQRT((3630*'BMP P Tracking Table'!$V335+20.691*'BMP P Tracking Table'!$AA335-216.711*'BMP P Tracking Table'!$Z335-83.853*'BMP P Tracking Table'!$Y335-42.834*'BMP P Tracking Table'!$X335)^2-(4*(149.919*'BMP P Tracking Table'!$X335+236.676*'BMP P Tracking Table'!$Y335+726*'BMP P Tracking Table'!$Z335+996.798*'BMP P Tracking Table'!$AA335)*-'BMP P Tracking Table'!$AX335)))/(2*(149.919*'BMP P Tracking Table'!$X335+236.676*'BMP P Tracking Table'!$Y335+726*'BMP P Tracking Table'!$Z335+996.798*'BMP P Tracking Table'!$AA335)))))),"")</f>
        <v/>
      </c>
      <c r="BB335" s="102" t="str">
        <f>IFERROR((VLOOKUP(CONCATENATE('BMP P Tracking Table'!$AW335," ",'BMP P Tracking Table'!$AY335),'Performance Curves'!$C$1:$L$46,_xlfn.SINGLE(MATCH('BMP P Tracking Table'!$BA335,'Performance Curves'!$D$1:$L$1,1))+2,FALSE)-VLOOKUP(CONCATENATE('BMP P Tracking Table'!$AW335," ",'BMP P Tracking Table'!$AY335),'Performance Curves'!$C$1:$L$46,_xlfn.SINGLE(MATCH('BMP P Tracking Table'!$BA335,'Performance Curves'!$D$1:$L$1,1))+1,FALSE)),"")</f>
        <v/>
      </c>
      <c r="BC335" s="102" t="str">
        <f>IFERROR(('BMP P Tracking Table'!$BA335-INDEX('Performance Curves'!$D$1:$L$1,1,MATCH('BMP P Tracking Table'!$BA335,'Performance Curves'!$D$1:$L$1,1)))/(INDEX('Performance Curves'!$D$1:$L$1,1,MATCH('BMP P Tracking Table'!$BA335,'Performance Curves'!$D$1:$L$1,1)+1)-INDEX('Performance Curves'!$D$1:$L$1,1,MATCH('BMP P Tracking Table'!$BA335,'Performance Curves'!$D$1:$L$1,1))),"")</f>
        <v/>
      </c>
      <c r="BD335" s="103" t="str" cm="1">
        <f t="array" ref="BD335">IFERROR(IF('BMP P Tracking Table'!$BA335=2,VLOOKUP(CONCATENATE('BMP P Tracking Table'!$AW335," ",'BMP P Tracking Table'!$AY335),'Performance Curves'!$C$1:$L$44,_xlfn.SINGLE(MATCH('BMP P Tracking Table'!$BA335,'Performance Curves'!$D$1:$L$1,1))+1,FALSE),'BMP P Tracking Table'!$BB335*'BMP P Tracking Table'!$BC335+VLOOKUP(CONCATENATE('BMP P Tracking Table'!$AW335," ",'BMP P Tracking Table'!$AY335),'Performance Curves'!$C$1:$L$44,_xlfn.SINGLE(MATCH('BMP P Tracking Table'!$BA335,'Performance Curves'!$D$1:$L$1,1))+1,FALSE)),"")</f>
        <v/>
      </c>
      <c r="BE335" s="104" t="str">
        <f>IFERROR('BMP P Tracking Table'!$BD335*'BMP P Tracking Table'!$AZ335,"")</f>
        <v/>
      </c>
      <c r="BF335" s="98"/>
      <c r="BG335" s="37">
        <f t="shared" si="38"/>
        <v>0</v>
      </c>
    </row>
    <row r="336" spans="2:59" s="36" customFormat="1">
      <c r="B336" s="65"/>
      <c r="C336" s="65"/>
      <c r="D336" s="65"/>
      <c r="E336" s="65"/>
      <c r="F336" s="94"/>
      <c r="G336" s="94"/>
      <c r="H336" s="65"/>
      <c r="I336" s="65"/>
      <c r="J336" s="65"/>
      <c r="K336" s="95"/>
      <c r="L336" s="65"/>
      <c r="M336" s="65"/>
      <c r="N336" s="65"/>
      <c r="O336" s="65"/>
      <c r="P336" s="65"/>
      <c r="Q336" s="65"/>
      <c r="R336" s="65" t="str">
        <f>IFERROR(VLOOKUP('BMP P Tracking Table'!$Q336,Dropdowns!$C$2:$E$15,3,FALSE),"")</f>
        <v/>
      </c>
      <c r="S336" s="65" t="str">
        <f>IFERROR(VLOOKUP('BMP P Tracking Table'!$R336,Dropdowns!$Q$3:$R$23,2,FALSE),"")</f>
        <v/>
      </c>
      <c r="T336" s="65"/>
      <c r="U336" s="65"/>
      <c r="V336" s="65"/>
      <c r="W336" s="65"/>
      <c r="X336" s="65"/>
      <c r="Y336" s="65"/>
      <c r="Z336" s="65"/>
      <c r="AA336" s="65"/>
      <c r="AB336" s="65"/>
      <c r="AC336" s="97"/>
      <c r="AD336" s="65"/>
      <c r="AE336" s="104" t="str">
        <f>IFERROR('BMP P Tracking Table'!$V336*VLOOKUP('BMP P Tracking Table'!$R336,'Loading Rates'!$B$1:$L$24,4,FALSE)+IF('BMP P Tracking Table'!$W336="By HSG",'BMP P Tracking Table'!$X336*VLOOKUP('BMP P Tracking Table'!$R336,'Loading Rates'!$B$1:$L$24,6,FALSE)+'BMP P Tracking Table'!$Y336*VLOOKUP('BMP P Tracking Table'!$R336,'Loading Rates'!$B$1:$L$24,7,FALSE)+'BMP P Tracking Table'!$Z336*VLOOKUP('BMP P Tracking Table'!$R336,'Loading Rates'!$B$1:$L$24,8,FALSE)+'BMP P Tracking Table'!$AA336*VLOOKUP('BMP P Tracking Table'!$R336,'Loading Rates'!$B$1:$L$24,9,FALSE),'BMP P Tracking Table'!$AB336*VLOOKUP('BMP P Tracking Table'!$R336,'Loading Rates'!$B$1:$L$24,10,FALSE)),"")</f>
        <v/>
      </c>
      <c r="AF336" s="104" t="str">
        <f>IFERROR(MIN(2,IF('BMP P Tracking Table'!$W336="Total Pervious",(-(3630*'BMP P Tracking Table'!$V336+20.691*'BMP P Tracking Table'!$AB336)+SQRT((3630*'BMP P Tracking Table'!$V336+20.691*'BMP P Tracking Table'!$AB336)^2-(4*(996.798*'BMP P Tracking Table'!$AB336)*-'BMP P Tracking Table'!$AC336)))/(2*(996.798*'BMP P Tracking Table'!$AB336)),IF(SUM('BMP P Tracking Table'!$X336:$AA336)=0,'BMP P Tracking Table'!$AC336/(-3630*'BMP P Tracking Table'!$V336),(-(3630*'BMP P Tracking Table'!$V336+20.691*'BMP P Tracking Table'!$AA336-216.711*'BMP P Tracking Table'!$Z336-83.853*'BMP P Tracking Table'!$Y336-42.834*'BMP P Tracking Table'!$X336)+SQRT((3630*'BMP P Tracking Table'!$V336+20.691*'BMP P Tracking Table'!$AA336-216.711*'BMP P Tracking Table'!$Z336-83.853*'BMP P Tracking Table'!$Y336-42.834*'BMP P Tracking Table'!$X336)^2-(4*(149.919*'BMP P Tracking Table'!$X336+236.676*'BMP P Tracking Table'!$Y336+726*'BMP P Tracking Table'!$Z336+996.798*'BMP P Tracking Table'!$AA336)*-'BMP P Tracking Table'!$AC336)))/(2*(149.919*'BMP P Tracking Table'!$X336+236.676*'BMP P Tracking Table'!$Y336+726*'BMP P Tracking Table'!$Z336+996.798*'BMP P Tracking Table'!$AA336))))),"")</f>
        <v/>
      </c>
      <c r="AG336" s="104" t="str">
        <f>IFERROR((VLOOKUP(CONCATENATE('BMP P Tracking Table'!$U336," ",'BMP P Tracking Table'!$AD336),'Performance Curves'!$C$1:$L$46,_xlfn.SINGLE(MATCH('BMP P Tracking Table'!$AF336,'Performance Curves'!$D$1:$L$1,1))+2,FALSE)-VLOOKUP(CONCATENATE('BMP P Tracking Table'!$U336," ",'BMP P Tracking Table'!$AD336),'Performance Curves'!$C$1:$L$46,_xlfn.SINGLE(MATCH('BMP P Tracking Table'!$AF336,'Performance Curves'!$D$1:$L$1,1))+1,FALSE)),"")</f>
        <v/>
      </c>
      <c r="AH336" s="104" t="str">
        <f>IFERROR(('BMP P Tracking Table'!$AF336-INDEX('Performance Curves'!$D$1:$L$1,1,MATCH('BMP P Tracking Table'!$AF336,'Performance Curves'!$D$1:$L$1,1)))/(INDEX('Performance Curves'!$D$1:$L$1,1,MATCH('BMP P Tracking Table'!$AF336,'Performance Curves'!$D$1:$L$1,1)+1)-INDEX('Performance Curves'!$D$1:$L$1,1,MATCH('BMP P Tracking Table'!$AF336,'Performance Curves'!$D$1:$L$1,1))),"")</f>
        <v/>
      </c>
      <c r="AI336" s="103" t="str">
        <f>IFERROR(IF('BMP P Tracking Table'!$AF336=2,VLOOKUP(CONCATENATE('BMP P Tracking Table'!$U336," ",'BMP P Tracking Table'!$AD336),'Performance Curves'!$C$1:$L$46,_xlfn.SINGLE(MATCH('BMP P Tracking Table'!$AF336,'Performance Curves'!$D$1:$L$1,1))+1,FALSE),'BMP P Tracking Table'!$AG336*'BMP P Tracking Table'!$AH336+VLOOKUP(CONCATENATE('BMP P Tracking Table'!$U336," ",'BMP P Tracking Table'!$AD336),'Performance Curves'!$C$1:$L$46,_xlfn.SINGLE(MATCH('BMP P Tracking Table'!$AF336,'Performance Curves'!$D$1:$L$1,1))+1,FALSE)),"")</f>
        <v/>
      </c>
      <c r="AJ336" s="104" t="str">
        <f>IFERROR('BMP P Tracking Table'!$AI336*'BMP P Tracking Table'!$AE336,"")</f>
        <v/>
      </c>
      <c r="AK336" s="65"/>
      <c r="AL336" s="98"/>
      <c r="AM336" s="98"/>
      <c r="AN336" s="64">
        <v>1</v>
      </c>
      <c r="AO336" s="102" t="str">
        <f t="shared" si="37"/>
        <v/>
      </c>
      <c r="AP336" s="98"/>
      <c r="AQ336" s="98"/>
      <c r="AR336" s="98"/>
      <c r="AS336" s="98"/>
      <c r="AT336" s="98"/>
      <c r="AU336" s="98"/>
      <c r="AV336" s="98"/>
      <c r="AW336" s="65"/>
      <c r="AX336" s="99"/>
      <c r="AY336" s="99"/>
      <c r="AZ336" s="104" t="str">
        <f>IF('BMP P Tracking Table'!$AL336="Yes",IF('BMP P Tracking Table'!$AM336="No",'BMP P Tracking Table'!$V336*VLOOKUP('BMP P Tracking Table'!$R336,'Loading Rates'!$B$1:$L$24,4,FALSE)+IF('BMP P Tracking Table'!$W336="By HSG",'BMP P Tracking Table'!$X336*VLOOKUP('BMP P Tracking Table'!$R336,'Loading Rates'!$B$1:$L$24,6,FALSE)+'BMP P Tracking Table'!$Y336*VLOOKUP('BMP P Tracking Table'!$R336,'Loading Rates'!$B$1:$L$24,7,FALSE)+'BMP P Tracking Table'!$Z336*VLOOKUP('BMP P Tracking Table'!$R336,'Loading Rates'!$B$1:$L$24,8,FALSE)+'BMP P Tracking Table'!$AA336*VLOOKUP('BMP P Tracking Table'!$R336,'Loading Rates'!$B$1:$L$24,9,FALSE),'BMP P Tracking Table'!$AB336*VLOOKUP('BMP P Tracking Table'!$R336,'Loading Rates'!$B$1:$L$24,10,FALSE)),'BMP P Tracking Table'!$AP336*VLOOKUP('BMP P Tracking Table'!$R336,'Loading Rates'!$B$1:$L$24,4,FALSE)+IF('BMP P Tracking Table'!$AQ336="By HSG",'BMP P Tracking Table'!$AR336*VLOOKUP('BMP P Tracking Table'!$R336,'Loading Rates'!$B$1:$L$24,6,FALSE)+'BMP P Tracking Table'!$AS336*VLOOKUP('BMP P Tracking Table'!$R336,'Loading Rates'!$B$1:$L$24,7,FALSE)+'BMP P Tracking Table'!$AT336*VLOOKUP('BMP P Tracking Table'!$R336,'Loading Rates'!$B$1:$L$24,8,FALSE)+'BMP P Tracking Table'!$AU336*VLOOKUP('BMP P Tracking Table'!$R336,'Loading Rates'!$B$1:$L$24,9,FALSE),'BMP P Tracking Table'!$AV336*VLOOKUP('BMP P Tracking Table'!$R336,'Loading Rates'!$B$1:$L$24,10,FALSE))),"")</f>
        <v/>
      </c>
      <c r="BA336" s="104" t="str">
        <f>IFERROR(IF('BMP P Tracking Table'!$AM336="Yes",MIN(2,IF('BMP P Tracking Table'!$AQ336="Total Pervious",(-(3630*'BMP P Tracking Table'!$AP336+20.691*'BMP P Tracking Table'!$AV336)+SQRT((3630*'BMP P Tracking Table'!$AP336+20.691*'BMP P Tracking Table'!$AV336)^2-(4*(996.798*'BMP P Tracking Table'!$AV336)*-'BMP P Tracking Table'!$AX336)))/(2*(996.798*'BMP P Tracking Table'!$AV336)),IF(SUM('BMP P Tracking Table'!$AR336:$AU336)=0,'BMP P Tracking Table'!$AV336/(-3630*'BMP P Tracking Table'!$AP336),(-(3630*'BMP P Tracking Table'!$AP336+20.691*'BMP P Tracking Table'!$AU336-216.711*'BMP P Tracking Table'!$AT336-83.853*'BMP P Tracking Table'!$AS336-42.834*'BMP P Tracking Table'!$AR336)+SQRT((3630*'BMP P Tracking Table'!$AP336+20.691*'BMP P Tracking Table'!$AU336-216.711*'BMP P Tracking Table'!$AT336-83.853*'BMP P Tracking Table'!$AS336-42.834*'BMP P Tracking Table'!$AR336)^2-(4*(149.919*'BMP P Tracking Table'!$AR336+236.676*'BMP P Tracking Table'!$AS336+726*'BMP P Tracking Table'!$AT336+996.798*'BMP P Tracking Table'!$AU336)*-'BMP P Tracking Table'!$AX336)))/(2*(149.919*'BMP P Tracking Table'!$AR336+236.676*'BMP P Tracking Table'!$AS336+726*'BMP P Tracking Table'!$AT336+996.798*'BMP P Tracking Table'!$AU336))))),MIN(2,IF('BMP P Tracking Table'!$AQ336="Total Pervious",(-(3630*'BMP P Tracking Table'!$V336+20.691*'BMP P Tracking Table'!$AB336)+SQRT((3630*'BMP P Tracking Table'!$V336+20.691*'BMP P Tracking Table'!$AB336)^2-(4*(996.798*'BMP P Tracking Table'!$AB336)*-'BMP P Tracking Table'!$AX336)))/(2*(996.798*'BMP P Tracking Table'!$AB336)),IF(SUM('BMP P Tracking Table'!$X336:$AA336)=0,'BMP P Tracking Table'!$AX336/(-3630*'BMP P Tracking Table'!$V336),(-(3630*'BMP P Tracking Table'!$V336+20.691*'BMP P Tracking Table'!$AA336-216.711*'BMP P Tracking Table'!$Z336-83.853*'BMP P Tracking Table'!$Y336-42.834*'BMP P Tracking Table'!$X336)+SQRT((3630*'BMP P Tracking Table'!$V336+20.691*'BMP P Tracking Table'!$AA336-216.711*'BMP P Tracking Table'!$Z336-83.853*'BMP P Tracking Table'!$Y336-42.834*'BMP P Tracking Table'!$X336)^2-(4*(149.919*'BMP P Tracking Table'!$X336+236.676*'BMP P Tracking Table'!$Y336+726*'BMP P Tracking Table'!$Z336+996.798*'BMP P Tracking Table'!$AA336)*-'BMP P Tracking Table'!$AX336)))/(2*(149.919*'BMP P Tracking Table'!$X336+236.676*'BMP P Tracking Table'!$Y336+726*'BMP P Tracking Table'!$Z336+996.798*'BMP P Tracking Table'!$AA336)))))),"")</f>
        <v/>
      </c>
      <c r="BB336" s="102" t="str">
        <f>IFERROR((VLOOKUP(CONCATENATE('BMP P Tracking Table'!$AW336," ",'BMP P Tracking Table'!$AY336),'Performance Curves'!$C$1:$L$46,_xlfn.SINGLE(MATCH('BMP P Tracking Table'!$BA336,'Performance Curves'!$D$1:$L$1,1))+2,FALSE)-VLOOKUP(CONCATENATE('BMP P Tracking Table'!$AW336," ",'BMP P Tracking Table'!$AY336),'Performance Curves'!$C$1:$L$46,_xlfn.SINGLE(MATCH('BMP P Tracking Table'!$BA336,'Performance Curves'!$D$1:$L$1,1))+1,FALSE)),"")</f>
        <v/>
      </c>
      <c r="BC336" s="102" t="str">
        <f>IFERROR(('BMP P Tracking Table'!$BA336-INDEX('Performance Curves'!$D$1:$L$1,1,MATCH('BMP P Tracking Table'!$BA336,'Performance Curves'!$D$1:$L$1,1)))/(INDEX('Performance Curves'!$D$1:$L$1,1,MATCH('BMP P Tracking Table'!$BA336,'Performance Curves'!$D$1:$L$1,1)+1)-INDEX('Performance Curves'!$D$1:$L$1,1,MATCH('BMP P Tracking Table'!$BA336,'Performance Curves'!$D$1:$L$1,1))),"")</f>
        <v/>
      </c>
      <c r="BD336" s="103" t="str" cm="1">
        <f t="array" ref="BD336">IFERROR(IF('BMP P Tracking Table'!$BA336=2,VLOOKUP(CONCATENATE('BMP P Tracking Table'!$AW336," ",'BMP P Tracking Table'!$AY336),'Performance Curves'!$C$1:$L$44,_xlfn.SINGLE(MATCH('BMP P Tracking Table'!$BA336,'Performance Curves'!$D$1:$L$1,1))+1,FALSE),'BMP P Tracking Table'!$BB336*'BMP P Tracking Table'!$BC336+VLOOKUP(CONCATENATE('BMP P Tracking Table'!$AW336," ",'BMP P Tracking Table'!$AY336),'Performance Curves'!$C$1:$L$44,_xlfn.SINGLE(MATCH('BMP P Tracking Table'!$BA336,'Performance Curves'!$D$1:$L$1,1))+1,FALSE)),"")</f>
        <v/>
      </c>
      <c r="BE336" s="104" t="str">
        <f>IFERROR('BMP P Tracking Table'!$BD336*'BMP P Tracking Table'!$AZ336,"")</f>
        <v/>
      </c>
      <c r="BF336" s="98"/>
      <c r="BG336" s="37">
        <f t="shared" si="38"/>
        <v>0</v>
      </c>
    </row>
    <row r="337" spans="2:59" s="36" customFormat="1">
      <c r="B337" s="65"/>
      <c r="C337" s="65"/>
      <c r="D337" s="65"/>
      <c r="E337" s="65"/>
      <c r="F337" s="94"/>
      <c r="G337" s="94"/>
      <c r="H337" s="65"/>
      <c r="I337" s="65"/>
      <c r="J337" s="65"/>
      <c r="K337" s="95"/>
      <c r="L337" s="65"/>
      <c r="M337" s="65"/>
      <c r="N337" s="65"/>
      <c r="O337" s="65"/>
      <c r="P337" s="65"/>
      <c r="Q337" s="65"/>
      <c r="R337" s="65" t="str">
        <f>IFERROR(VLOOKUP('BMP P Tracking Table'!$Q337,Dropdowns!$C$2:$E$15,3,FALSE),"")</f>
        <v/>
      </c>
      <c r="S337" s="65" t="str">
        <f>IFERROR(VLOOKUP('BMP P Tracking Table'!$R337,Dropdowns!$Q$3:$R$23,2,FALSE),"")</f>
        <v/>
      </c>
      <c r="T337" s="65"/>
      <c r="U337" s="65"/>
      <c r="V337" s="65"/>
      <c r="W337" s="65"/>
      <c r="X337" s="65"/>
      <c r="Y337" s="65"/>
      <c r="Z337" s="65"/>
      <c r="AA337" s="65"/>
      <c r="AB337" s="65"/>
      <c r="AC337" s="97"/>
      <c r="AD337" s="65"/>
      <c r="AE337" s="104" t="str">
        <f>IFERROR('BMP P Tracking Table'!$V337*VLOOKUP('BMP P Tracking Table'!$R337,'Loading Rates'!$B$1:$L$24,4,FALSE)+IF('BMP P Tracking Table'!$W337="By HSG",'BMP P Tracking Table'!$X337*VLOOKUP('BMP P Tracking Table'!$R337,'Loading Rates'!$B$1:$L$24,6,FALSE)+'BMP P Tracking Table'!$Y337*VLOOKUP('BMP P Tracking Table'!$R337,'Loading Rates'!$B$1:$L$24,7,FALSE)+'BMP P Tracking Table'!$Z337*VLOOKUP('BMP P Tracking Table'!$R337,'Loading Rates'!$B$1:$L$24,8,FALSE)+'BMP P Tracking Table'!$AA337*VLOOKUP('BMP P Tracking Table'!$R337,'Loading Rates'!$B$1:$L$24,9,FALSE),'BMP P Tracking Table'!$AB337*VLOOKUP('BMP P Tracking Table'!$R337,'Loading Rates'!$B$1:$L$24,10,FALSE)),"")</f>
        <v/>
      </c>
      <c r="AF337" s="104" t="str">
        <f>IFERROR(MIN(2,IF('BMP P Tracking Table'!$W337="Total Pervious",(-(3630*'BMP P Tracking Table'!$V337+20.691*'BMP P Tracking Table'!$AB337)+SQRT((3630*'BMP P Tracking Table'!$V337+20.691*'BMP P Tracking Table'!$AB337)^2-(4*(996.798*'BMP P Tracking Table'!$AB337)*-'BMP P Tracking Table'!$AC337)))/(2*(996.798*'BMP P Tracking Table'!$AB337)),IF(SUM('BMP P Tracking Table'!$X337:$AA337)=0,'BMP P Tracking Table'!$AC337/(-3630*'BMP P Tracking Table'!$V337),(-(3630*'BMP P Tracking Table'!$V337+20.691*'BMP P Tracking Table'!$AA337-216.711*'BMP P Tracking Table'!$Z337-83.853*'BMP P Tracking Table'!$Y337-42.834*'BMP P Tracking Table'!$X337)+SQRT((3630*'BMP P Tracking Table'!$V337+20.691*'BMP P Tracking Table'!$AA337-216.711*'BMP P Tracking Table'!$Z337-83.853*'BMP P Tracking Table'!$Y337-42.834*'BMP P Tracking Table'!$X337)^2-(4*(149.919*'BMP P Tracking Table'!$X337+236.676*'BMP P Tracking Table'!$Y337+726*'BMP P Tracking Table'!$Z337+996.798*'BMP P Tracking Table'!$AA337)*-'BMP P Tracking Table'!$AC337)))/(2*(149.919*'BMP P Tracking Table'!$X337+236.676*'BMP P Tracking Table'!$Y337+726*'BMP P Tracking Table'!$Z337+996.798*'BMP P Tracking Table'!$AA337))))),"")</f>
        <v/>
      </c>
      <c r="AG337" s="104" t="str">
        <f>IFERROR((VLOOKUP(CONCATENATE('BMP P Tracking Table'!$U337," ",'BMP P Tracking Table'!$AD337),'Performance Curves'!$C$1:$L$46,_xlfn.SINGLE(MATCH('BMP P Tracking Table'!$AF337,'Performance Curves'!$D$1:$L$1,1))+2,FALSE)-VLOOKUP(CONCATENATE('BMP P Tracking Table'!$U337," ",'BMP P Tracking Table'!$AD337),'Performance Curves'!$C$1:$L$46,_xlfn.SINGLE(MATCH('BMP P Tracking Table'!$AF337,'Performance Curves'!$D$1:$L$1,1))+1,FALSE)),"")</f>
        <v/>
      </c>
      <c r="AH337" s="104" t="str">
        <f>IFERROR(('BMP P Tracking Table'!$AF337-INDEX('Performance Curves'!$D$1:$L$1,1,MATCH('BMP P Tracking Table'!$AF337,'Performance Curves'!$D$1:$L$1,1)))/(INDEX('Performance Curves'!$D$1:$L$1,1,MATCH('BMP P Tracking Table'!$AF337,'Performance Curves'!$D$1:$L$1,1)+1)-INDEX('Performance Curves'!$D$1:$L$1,1,MATCH('BMP P Tracking Table'!$AF337,'Performance Curves'!$D$1:$L$1,1))),"")</f>
        <v/>
      </c>
      <c r="AI337" s="103" t="str">
        <f>IFERROR(IF('BMP P Tracking Table'!$AF337=2,VLOOKUP(CONCATENATE('BMP P Tracking Table'!$U337," ",'BMP P Tracking Table'!$AD337),'Performance Curves'!$C$1:$L$46,_xlfn.SINGLE(MATCH('BMP P Tracking Table'!$AF337,'Performance Curves'!$D$1:$L$1,1))+1,FALSE),'BMP P Tracking Table'!$AG337*'BMP P Tracking Table'!$AH337+VLOOKUP(CONCATENATE('BMP P Tracking Table'!$U337," ",'BMP P Tracking Table'!$AD337),'Performance Curves'!$C$1:$L$46,_xlfn.SINGLE(MATCH('BMP P Tracking Table'!$AF337,'Performance Curves'!$D$1:$L$1,1))+1,FALSE)),"")</f>
        <v/>
      </c>
      <c r="AJ337" s="104" t="str">
        <f>IFERROR('BMP P Tracking Table'!$AI337*'BMP P Tracking Table'!$AE337,"")</f>
        <v/>
      </c>
      <c r="AK337" s="65"/>
      <c r="AL337" s="98"/>
      <c r="AM337" s="98"/>
      <c r="AN337" s="64">
        <v>1</v>
      </c>
      <c r="AO337" s="102" t="str">
        <f t="shared" si="37"/>
        <v/>
      </c>
      <c r="AP337" s="98"/>
      <c r="AQ337" s="98"/>
      <c r="AR337" s="98"/>
      <c r="AS337" s="98"/>
      <c r="AT337" s="98"/>
      <c r="AU337" s="98"/>
      <c r="AV337" s="98"/>
      <c r="AW337" s="65"/>
      <c r="AX337" s="99"/>
      <c r="AY337" s="99"/>
      <c r="AZ337" s="104" t="str">
        <f>IF('BMP P Tracking Table'!$AL337="Yes",IF('BMP P Tracking Table'!$AM337="No",'BMP P Tracking Table'!$V337*VLOOKUP('BMP P Tracking Table'!$R337,'Loading Rates'!$B$1:$L$24,4,FALSE)+IF('BMP P Tracking Table'!$W337="By HSG",'BMP P Tracking Table'!$X337*VLOOKUP('BMP P Tracking Table'!$R337,'Loading Rates'!$B$1:$L$24,6,FALSE)+'BMP P Tracking Table'!$Y337*VLOOKUP('BMP P Tracking Table'!$R337,'Loading Rates'!$B$1:$L$24,7,FALSE)+'BMP P Tracking Table'!$Z337*VLOOKUP('BMP P Tracking Table'!$R337,'Loading Rates'!$B$1:$L$24,8,FALSE)+'BMP P Tracking Table'!$AA337*VLOOKUP('BMP P Tracking Table'!$R337,'Loading Rates'!$B$1:$L$24,9,FALSE),'BMP P Tracking Table'!$AB337*VLOOKUP('BMP P Tracking Table'!$R337,'Loading Rates'!$B$1:$L$24,10,FALSE)),'BMP P Tracking Table'!$AP337*VLOOKUP('BMP P Tracking Table'!$R337,'Loading Rates'!$B$1:$L$24,4,FALSE)+IF('BMP P Tracking Table'!$AQ337="By HSG",'BMP P Tracking Table'!$AR337*VLOOKUP('BMP P Tracking Table'!$R337,'Loading Rates'!$B$1:$L$24,6,FALSE)+'BMP P Tracking Table'!$AS337*VLOOKUP('BMP P Tracking Table'!$R337,'Loading Rates'!$B$1:$L$24,7,FALSE)+'BMP P Tracking Table'!$AT337*VLOOKUP('BMP P Tracking Table'!$R337,'Loading Rates'!$B$1:$L$24,8,FALSE)+'BMP P Tracking Table'!$AU337*VLOOKUP('BMP P Tracking Table'!$R337,'Loading Rates'!$B$1:$L$24,9,FALSE),'BMP P Tracking Table'!$AV337*VLOOKUP('BMP P Tracking Table'!$R337,'Loading Rates'!$B$1:$L$24,10,FALSE))),"")</f>
        <v/>
      </c>
      <c r="BA337" s="104" t="str">
        <f>IFERROR(IF('BMP P Tracking Table'!$AM337="Yes",MIN(2,IF('BMP P Tracking Table'!$AQ337="Total Pervious",(-(3630*'BMP P Tracking Table'!$AP337+20.691*'BMP P Tracking Table'!$AV337)+SQRT((3630*'BMP P Tracking Table'!$AP337+20.691*'BMP P Tracking Table'!$AV337)^2-(4*(996.798*'BMP P Tracking Table'!$AV337)*-'BMP P Tracking Table'!$AX337)))/(2*(996.798*'BMP P Tracking Table'!$AV337)),IF(SUM('BMP P Tracking Table'!$AR337:$AU337)=0,'BMP P Tracking Table'!$AV337/(-3630*'BMP P Tracking Table'!$AP337),(-(3630*'BMP P Tracking Table'!$AP337+20.691*'BMP P Tracking Table'!$AU337-216.711*'BMP P Tracking Table'!$AT337-83.853*'BMP P Tracking Table'!$AS337-42.834*'BMP P Tracking Table'!$AR337)+SQRT((3630*'BMP P Tracking Table'!$AP337+20.691*'BMP P Tracking Table'!$AU337-216.711*'BMP P Tracking Table'!$AT337-83.853*'BMP P Tracking Table'!$AS337-42.834*'BMP P Tracking Table'!$AR337)^2-(4*(149.919*'BMP P Tracking Table'!$AR337+236.676*'BMP P Tracking Table'!$AS337+726*'BMP P Tracking Table'!$AT337+996.798*'BMP P Tracking Table'!$AU337)*-'BMP P Tracking Table'!$AX337)))/(2*(149.919*'BMP P Tracking Table'!$AR337+236.676*'BMP P Tracking Table'!$AS337+726*'BMP P Tracking Table'!$AT337+996.798*'BMP P Tracking Table'!$AU337))))),MIN(2,IF('BMP P Tracking Table'!$AQ337="Total Pervious",(-(3630*'BMP P Tracking Table'!$V337+20.691*'BMP P Tracking Table'!$AB337)+SQRT((3630*'BMP P Tracking Table'!$V337+20.691*'BMP P Tracking Table'!$AB337)^2-(4*(996.798*'BMP P Tracking Table'!$AB337)*-'BMP P Tracking Table'!$AX337)))/(2*(996.798*'BMP P Tracking Table'!$AB337)),IF(SUM('BMP P Tracking Table'!$X337:$AA337)=0,'BMP P Tracking Table'!$AX337/(-3630*'BMP P Tracking Table'!$V337),(-(3630*'BMP P Tracking Table'!$V337+20.691*'BMP P Tracking Table'!$AA337-216.711*'BMP P Tracking Table'!$Z337-83.853*'BMP P Tracking Table'!$Y337-42.834*'BMP P Tracking Table'!$X337)+SQRT((3630*'BMP P Tracking Table'!$V337+20.691*'BMP P Tracking Table'!$AA337-216.711*'BMP P Tracking Table'!$Z337-83.853*'BMP P Tracking Table'!$Y337-42.834*'BMP P Tracking Table'!$X337)^2-(4*(149.919*'BMP P Tracking Table'!$X337+236.676*'BMP P Tracking Table'!$Y337+726*'BMP P Tracking Table'!$Z337+996.798*'BMP P Tracking Table'!$AA337)*-'BMP P Tracking Table'!$AX337)))/(2*(149.919*'BMP P Tracking Table'!$X337+236.676*'BMP P Tracking Table'!$Y337+726*'BMP P Tracking Table'!$Z337+996.798*'BMP P Tracking Table'!$AA337)))))),"")</f>
        <v/>
      </c>
      <c r="BB337" s="102" t="str">
        <f>IFERROR((VLOOKUP(CONCATENATE('BMP P Tracking Table'!$AW337," ",'BMP P Tracking Table'!$AY337),'Performance Curves'!$C$1:$L$46,_xlfn.SINGLE(MATCH('BMP P Tracking Table'!$BA337,'Performance Curves'!$D$1:$L$1,1))+2,FALSE)-VLOOKUP(CONCATENATE('BMP P Tracking Table'!$AW337," ",'BMP P Tracking Table'!$AY337),'Performance Curves'!$C$1:$L$46,_xlfn.SINGLE(MATCH('BMP P Tracking Table'!$BA337,'Performance Curves'!$D$1:$L$1,1))+1,FALSE)),"")</f>
        <v/>
      </c>
      <c r="BC337" s="102" t="str">
        <f>IFERROR(('BMP P Tracking Table'!$BA337-INDEX('Performance Curves'!$D$1:$L$1,1,MATCH('BMP P Tracking Table'!$BA337,'Performance Curves'!$D$1:$L$1,1)))/(INDEX('Performance Curves'!$D$1:$L$1,1,MATCH('BMP P Tracking Table'!$BA337,'Performance Curves'!$D$1:$L$1,1)+1)-INDEX('Performance Curves'!$D$1:$L$1,1,MATCH('BMP P Tracking Table'!$BA337,'Performance Curves'!$D$1:$L$1,1))),"")</f>
        <v/>
      </c>
      <c r="BD337" s="103" t="str" cm="1">
        <f t="array" ref="BD337">IFERROR(IF('BMP P Tracking Table'!$BA337=2,VLOOKUP(CONCATENATE('BMP P Tracking Table'!$AW337," ",'BMP P Tracking Table'!$AY337),'Performance Curves'!$C$1:$L$44,_xlfn.SINGLE(MATCH('BMP P Tracking Table'!$BA337,'Performance Curves'!$D$1:$L$1,1))+1,FALSE),'BMP P Tracking Table'!$BB337*'BMP P Tracking Table'!$BC337+VLOOKUP(CONCATENATE('BMP P Tracking Table'!$AW337," ",'BMP P Tracking Table'!$AY337),'Performance Curves'!$C$1:$L$44,_xlfn.SINGLE(MATCH('BMP P Tracking Table'!$BA337,'Performance Curves'!$D$1:$L$1,1))+1,FALSE)),"")</f>
        <v/>
      </c>
      <c r="BE337" s="104" t="str">
        <f>IFERROR('BMP P Tracking Table'!$BD337*'BMP P Tracking Table'!$AZ337,"")</f>
        <v/>
      </c>
      <c r="BF337" s="98"/>
      <c r="BG337" s="37">
        <f t="shared" si="38"/>
        <v>0</v>
      </c>
    </row>
    <row r="338" spans="2:59" s="36" customFormat="1">
      <c r="B338" s="65"/>
      <c r="C338" s="65"/>
      <c r="D338" s="65"/>
      <c r="E338" s="65"/>
      <c r="F338" s="94"/>
      <c r="G338" s="94"/>
      <c r="H338" s="65"/>
      <c r="I338" s="65"/>
      <c r="J338" s="65"/>
      <c r="K338" s="95"/>
      <c r="L338" s="65"/>
      <c r="M338" s="65"/>
      <c r="N338" s="65"/>
      <c r="O338" s="65"/>
      <c r="P338" s="65"/>
      <c r="Q338" s="65"/>
      <c r="R338" s="65" t="str">
        <f>IFERROR(VLOOKUP('BMP P Tracking Table'!$Q338,Dropdowns!$C$2:$E$15,3,FALSE),"")</f>
        <v/>
      </c>
      <c r="S338" s="65" t="str">
        <f>IFERROR(VLOOKUP('BMP P Tracking Table'!$R338,Dropdowns!$Q$3:$R$23,2,FALSE),"")</f>
        <v/>
      </c>
      <c r="T338" s="65"/>
      <c r="U338" s="65"/>
      <c r="V338" s="65"/>
      <c r="W338" s="65"/>
      <c r="X338" s="65"/>
      <c r="Y338" s="65"/>
      <c r="Z338" s="65"/>
      <c r="AA338" s="65"/>
      <c r="AB338" s="65"/>
      <c r="AC338" s="97"/>
      <c r="AD338" s="65"/>
      <c r="AE338" s="104" t="str">
        <f>IFERROR('BMP P Tracking Table'!$V338*VLOOKUP('BMP P Tracking Table'!$R338,'Loading Rates'!$B$1:$L$24,4,FALSE)+IF('BMP P Tracking Table'!$W338="By HSG",'BMP P Tracking Table'!$X338*VLOOKUP('BMP P Tracking Table'!$R338,'Loading Rates'!$B$1:$L$24,6,FALSE)+'BMP P Tracking Table'!$Y338*VLOOKUP('BMP P Tracking Table'!$R338,'Loading Rates'!$B$1:$L$24,7,FALSE)+'BMP P Tracking Table'!$Z338*VLOOKUP('BMP P Tracking Table'!$R338,'Loading Rates'!$B$1:$L$24,8,FALSE)+'BMP P Tracking Table'!$AA338*VLOOKUP('BMP P Tracking Table'!$R338,'Loading Rates'!$B$1:$L$24,9,FALSE),'BMP P Tracking Table'!$AB338*VLOOKUP('BMP P Tracking Table'!$R338,'Loading Rates'!$B$1:$L$24,10,FALSE)),"")</f>
        <v/>
      </c>
      <c r="AF338" s="104" t="str">
        <f>IFERROR(MIN(2,IF('BMP P Tracking Table'!$W338="Total Pervious",(-(3630*'BMP P Tracking Table'!$V338+20.691*'BMP P Tracking Table'!$AB338)+SQRT((3630*'BMP P Tracking Table'!$V338+20.691*'BMP P Tracking Table'!$AB338)^2-(4*(996.798*'BMP P Tracking Table'!$AB338)*-'BMP P Tracking Table'!$AC338)))/(2*(996.798*'BMP P Tracking Table'!$AB338)),IF(SUM('BMP P Tracking Table'!$X338:$AA338)=0,'BMP P Tracking Table'!$AC338/(-3630*'BMP P Tracking Table'!$V338),(-(3630*'BMP P Tracking Table'!$V338+20.691*'BMP P Tracking Table'!$AA338-216.711*'BMP P Tracking Table'!$Z338-83.853*'BMP P Tracking Table'!$Y338-42.834*'BMP P Tracking Table'!$X338)+SQRT((3630*'BMP P Tracking Table'!$V338+20.691*'BMP P Tracking Table'!$AA338-216.711*'BMP P Tracking Table'!$Z338-83.853*'BMP P Tracking Table'!$Y338-42.834*'BMP P Tracking Table'!$X338)^2-(4*(149.919*'BMP P Tracking Table'!$X338+236.676*'BMP P Tracking Table'!$Y338+726*'BMP P Tracking Table'!$Z338+996.798*'BMP P Tracking Table'!$AA338)*-'BMP P Tracking Table'!$AC338)))/(2*(149.919*'BMP P Tracking Table'!$X338+236.676*'BMP P Tracking Table'!$Y338+726*'BMP P Tracking Table'!$Z338+996.798*'BMP P Tracking Table'!$AA338))))),"")</f>
        <v/>
      </c>
      <c r="AG338" s="104" t="str">
        <f>IFERROR((VLOOKUP(CONCATENATE('BMP P Tracking Table'!$U338," ",'BMP P Tracking Table'!$AD338),'Performance Curves'!$C$1:$L$46,_xlfn.SINGLE(MATCH('BMP P Tracking Table'!$AF338,'Performance Curves'!$D$1:$L$1,1))+2,FALSE)-VLOOKUP(CONCATENATE('BMP P Tracking Table'!$U338," ",'BMP P Tracking Table'!$AD338),'Performance Curves'!$C$1:$L$46,_xlfn.SINGLE(MATCH('BMP P Tracking Table'!$AF338,'Performance Curves'!$D$1:$L$1,1))+1,FALSE)),"")</f>
        <v/>
      </c>
      <c r="AH338" s="104" t="str">
        <f>IFERROR(('BMP P Tracking Table'!$AF338-INDEX('Performance Curves'!$D$1:$L$1,1,MATCH('BMP P Tracking Table'!$AF338,'Performance Curves'!$D$1:$L$1,1)))/(INDEX('Performance Curves'!$D$1:$L$1,1,MATCH('BMP P Tracking Table'!$AF338,'Performance Curves'!$D$1:$L$1,1)+1)-INDEX('Performance Curves'!$D$1:$L$1,1,MATCH('BMP P Tracking Table'!$AF338,'Performance Curves'!$D$1:$L$1,1))),"")</f>
        <v/>
      </c>
      <c r="AI338" s="103" t="str">
        <f>IFERROR(IF('BMP P Tracking Table'!$AF338=2,VLOOKUP(CONCATENATE('BMP P Tracking Table'!$U338," ",'BMP P Tracking Table'!$AD338),'Performance Curves'!$C$1:$L$46,_xlfn.SINGLE(MATCH('BMP P Tracking Table'!$AF338,'Performance Curves'!$D$1:$L$1,1))+1,FALSE),'BMP P Tracking Table'!$AG338*'BMP P Tracking Table'!$AH338+VLOOKUP(CONCATENATE('BMP P Tracking Table'!$U338," ",'BMP P Tracking Table'!$AD338),'Performance Curves'!$C$1:$L$46,_xlfn.SINGLE(MATCH('BMP P Tracking Table'!$AF338,'Performance Curves'!$D$1:$L$1,1))+1,FALSE)),"")</f>
        <v/>
      </c>
      <c r="AJ338" s="104" t="str">
        <f>IFERROR('BMP P Tracking Table'!$AI338*'BMP P Tracking Table'!$AE338,"")</f>
        <v/>
      </c>
      <c r="AK338" s="65"/>
      <c r="AL338" s="98"/>
      <c r="AM338" s="98"/>
      <c r="AN338" s="64">
        <v>1</v>
      </c>
      <c r="AO338" s="102" t="str">
        <f t="shared" si="37"/>
        <v/>
      </c>
      <c r="AP338" s="98"/>
      <c r="AQ338" s="98"/>
      <c r="AR338" s="98"/>
      <c r="AS338" s="98"/>
      <c r="AT338" s="98"/>
      <c r="AU338" s="98"/>
      <c r="AV338" s="98"/>
      <c r="AW338" s="65"/>
      <c r="AX338" s="99"/>
      <c r="AY338" s="99"/>
      <c r="AZ338" s="104" t="str">
        <f>IF('BMP P Tracking Table'!$AL338="Yes",IF('BMP P Tracking Table'!$AM338="No",'BMP P Tracking Table'!$V338*VLOOKUP('BMP P Tracking Table'!$R338,'Loading Rates'!$B$1:$L$24,4,FALSE)+IF('BMP P Tracking Table'!$W338="By HSG",'BMP P Tracking Table'!$X338*VLOOKUP('BMP P Tracking Table'!$R338,'Loading Rates'!$B$1:$L$24,6,FALSE)+'BMP P Tracking Table'!$Y338*VLOOKUP('BMP P Tracking Table'!$R338,'Loading Rates'!$B$1:$L$24,7,FALSE)+'BMP P Tracking Table'!$Z338*VLOOKUP('BMP P Tracking Table'!$R338,'Loading Rates'!$B$1:$L$24,8,FALSE)+'BMP P Tracking Table'!$AA338*VLOOKUP('BMP P Tracking Table'!$R338,'Loading Rates'!$B$1:$L$24,9,FALSE),'BMP P Tracking Table'!$AB338*VLOOKUP('BMP P Tracking Table'!$R338,'Loading Rates'!$B$1:$L$24,10,FALSE)),'BMP P Tracking Table'!$AP338*VLOOKUP('BMP P Tracking Table'!$R338,'Loading Rates'!$B$1:$L$24,4,FALSE)+IF('BMP P Tracking Table'!$AQ338="By HSG",'BMP P Tracking Table'!$AR338*VLOOKUP('BMP P Tracking Table'!$R338,'Loading Rates'!$B$1:$L$24,6,FALSE)+'BMP P Tracking Table'!$AS338*VLOOKUP('BMP P Tracking Table'!$R338,'Loading Rates'!$B$1:$L$24,7,FALSE)+'BMP P Tracking Table'!$AT338*VLOOKUP('BMP P Tracking Table'!$R338,'Loading Rates'!$B$1:$L$24,8,FALSE)+'BMP P Tracking Table'!$AU338*VLOOKUP('BMP P Tracking Table'!$R338,'Loading Rates'!$B$1:$L$24,9,FALSE),'BMP P Tracking Table'!$AV338*VLOOKUP('BMP P Tracking Table'!$R338,'Loading Rates'!$B$1:$L$24,10,FALSE))),"")</f>
        <v/>
      </c>
      <c r="BA338" s="104" t="str">
        <f>IFERROR(IF('BMP P Tracking Table'!$AM338="Yes",MIN(2,IF('BMP P Tracking Table'!$AQ338="Total Pervious",(-(3630*'BMP P Tracking Table'!$AP338+20.691*'BMP P Tracking Table'!$AV338)+SQRT((3630*'BMP P Tracking Table'!$AP338+20.691*'BMP P Tracking Table'!$AV338)^2-(4*(996.798*'BMP P Tracking Table'!$AV338)*-'BMP P Tracking Table'!$AX338)))/(2*(996.798*'BMP P Tracking Table'!$AV338)),IF(SUM('BMP P Tracking Table'!$AR338:$AU338)=0,'BMP P Tracking Table'!$AV338/(-3630*'BMP P Tracking Table'!$AP338),(-(3630*'BMP P Tracking Table'!$AP338+20.691*'BMP P Tracking Table'!$AU338-216.711*'BMP P Tracking Table'!$AT338-83.853*'BMP P Tracking Table'!$AS338-42.834*'BMP P Tracking Table'!$AR338)+SQRT((3630*'BMP P Tracking Table'!$AP338+20.691*'BMP P Tracking Table'!$AU338-216.711*'BMP P Tracking Table'!$AT338-83.853*'BMP P Tracking Table'!$AS338-42.834*'BMP P Tracking Table'!$AR338)^2-(4*(149.919*'BMP P Tracking Table'!$AR338+236.676*'BMP P Tracking Table'!$AS338+726*'BMP P Tracking Table'!$AT338+996.798*'BMP P Tracking Table'!$AU338)*-'BMP P Tracking Table'!$AX338)))/(2*(149.919*'BMP P Tracking Table'!$AR338+236.676*'BMP P Tracking Table'!$AS338+726*'BMP P Tracking Table'!$AT338+996.798*'BMP P Tracking Table'!$AU338))))),MIN(2,IF('BMP P Tracking Table'!$AQ338="Total Pervious",(-(3630*'BMP P Tracking Table'!$V338+20.691*'BMP P Tracking Table'!$AB338)+SQRT((3630*'BMP P Tracking Table'!$V338+20.691*'BMP P Tracking Table'!$AB338)^2-(4*(996.798*'BMP P Tracking Table'!$AB338)*-'BMP P Tracking Table'!$AX338)))/(2*(996.798*'BMP P Tracking Table'!$AB338)),IF(SUM('BMP P Tracking Table'!$X338:$AA338)=0,'BMP P Tracking Table'!$AX338/(-3630*'BMP P Tracking Table'!$V338),(-(3630*'BMP P Tracking Table'!$V338+20.691*'BMP P Tracking Table'!$AA338-216.711*'BMP P Tracking Table'!$Z338-83.853*'BMP P Tracking Table'!$Y338-42.834*'BMP P Tracking Table'!$X338)+SQRT((3630*'BMP P Tracking Table'!$V338+20.691*'BMP P Tracking Table'!$AA338-216.711*'BMP P Tracking Table'!$Z338-83.853*'BMP P Tracking Table'!$Y338-42.834*'BMP P Tracking Table'!$X338)^2-(4*(149.919*'BMP P Tracking Table'!$X338+236.676*'BMP P Tracking Table'!$Y338+726*'BMP P Tracking Table'!$Z338+996.798*'BMP P Tracking Table'!$AA338)*-'BMP P Tracking Table'!$AX338)))/(2*(149.919*'BMP P Tracking Table'!$X338+236.676*'BMP P Tracking Table'!$Y338+726*'BMP P Tracking Table'!$Z338+996.798*'BMP P Tracking Table'!$AA338)))))),"")</f>
        <v/>
      </c>
      <c r="BB338" s="102" t="str">
        <f>IFERROR((VLOOKUP(CONCATENATE('BMP P Tracking Table'!$AW338," ",'BMP P Tracking Table'!$AY338),'Performance Curves'!$C$1:$L$46,_xlfn.SINGLE(MATCH('BMP P Tracking Table'!$BA338,'Performance Curves'!$D$1:$L$1,1))+2,FALSE)-VLOOKUP(CONCATENATE('BMP P Tracking Table'!$AW338," ",'BMP P Tracking Table'!$AY338),'Performance Curves'!$C$1:$L$46,_xlfn.SINGLE(MATCH('BMP P Tracking Table'!$BA338,'Performance Curves'!$D$1:$L$1,1))+1,FALSE)),"")</f>
        <v/>
      </c>
      <c r="BC338" s="102" t="str">
        <f>IFERROR(('BMP P Tracking Table'!$BA338-INDEX('Performance Curves'!$D$1:$L$1,1,MATCH('BMP P Tracking Table'!$BA338,'Performance Curves'!$D$1:$L$1,1)))/(INDEX('Performance Curves'!$D$1:$L$1,1,MATCH('BMP P Tracking Table'!$BA338,'Performance Curves'!$D$1:$L$1,1)+1)-INDEX('Performance Curves'!$D$1:$L$1,1,MATCH('BMP P Tracking Table'!$BA338,'Performance Curves'!$D$1:$L$1,1))),"")</f>
        <v/>
      </c>
      <c r="BD338" s="103" t="str" cm="1">
        <f t="array" ref="BD338">IFERROR(IF('BMP P Tracking Table'!$BA338=2,VLOOKUP(CONCATENATE('BMP P Tracking Table'!$AW338," ",'BMP P Tracking Table'!$AY338),'Performance Curves'!$C$1:$L$44,_xlfn.SINGLE(MATCH('BMP P Tracking Table'!$BA338,'Performance Curves'!$D$1:$L$1,1))+1,FALSE),'BMP P Tracking Table'!$BB338*'BMP P Tracking Table'!$BC338+VLOOKUP(CONCATENATE('BMP P Tracking Table'!$AW338," ",'BMP P Tracking Table'!$AY338),'Performance Curves'!$C$1:$L$44,_xlfn.SINGLE(MATCH('BMP P Tracking Table'!$BA338,'Performance Curves'!$D$1:$L$1,1))+1,FALSE)),"")</f>
        <v/>
      </c>
      <c r="BE338" s="104" t="str">
        <f>IFERROR('BMP P Tracking Table'!$BD338*'BMP P Tracking Table'!$AZ338,"")</f>
        <v/>
      </c>
      <c r="BF338" s="92"/>
      <c r="BG338" s="37">
        <f t="shared" si="38"/>
        <v>0</v>
      </c>
    </row>
    <row r="339" spans="2:59" s="36" customFormat="1">
      <c r="B339" s="65"/>
      <c r="C339" s="65"/>
      <c r="D339" s="65"/>
      <c r="E339" s="65"/>
      <c r="F339" s="94"/>
      <c r="G339" s="94"/>
      <c r="H339" s="65"/>
      <c r="I339" s="65"/>
      <c r="J339" s="65"/>
      <c r="K339" s="95"/>
      <c r="L339" s="65"/>
      <c r="M339" s="65"/>
      <c r="N339" s="65"/>
      <c r="O339" s="65"/>
      <c r="P339" s="65"/>
      <c r="Q339" s="65"/>
      <c r="R339" s="65" t="str">
        <f>IFERROR(VLOOKUP('BMP P Tracking Table'!$Q339,Dropdowns!$C$2:$E$15,3,FALSE),"")</f>
        <v/>
      </c>
      <c r="S339" s="65" t="str">
        <f>IFERROR(VLOOKUP('BMP P Tracking Table'!$R339,Dropdowns!$Q$3:$R$23,2,FALSE),"")</f>
        <v/>
      </c>
      <c r="T339" s="65"/>
      <c r="U339" s="65"/>
      <c r="V339" s="65"/>
      <c r="W339" s="65"/>
      <c r="X339" s="65"/>
      <c r="Y339" s="65"/>
      <c r="Z339" s="65"/>
      <c r="AA339" s="65"/>
      <c r="AB339" s="65"/>
      <c r="AC339" s="97"/>
      <c r="AD339" s="65"/>
      <c r="AE339" s="104" t="str">
        <f>IFERROR('BMP P Tracking Table'!$V339*VLOOKUP('BMP P Tracking Table'!$R339,'Loading Rates'!$B$1:$L$24,4,FALSE)+IF('BMP P Tracking Table'!$W339="By HSG",'BMP P Tracking Table'!$X339*VLOOKUP('BMP P Tracking Table'!$R339,'Loading Rates'!$B$1:$L$24,6,FALSE)+'BMP P Tracking Table'!$Y339*VLOOKUP('BMP P Tracking Table'!$R339,'Loading Rates'!$B$1:$L$24,7,FALSE)+'BMP P Tracking Table'!$Z339*VLOOKUP('BMP P Tracking Table'!$R339,'Loading Rates'!$B$1:$L$24,8,FALSE)+'BMP P Tracking Table'!$AA339*VLOOKUP('BMP P Tracking Table'!$R339,'Loading Rates'!$B$1:$L$24,9,FALSE),'BMP P Tracking Table'!$AB339*VLOOKUP('BMP P Tracking Table'!$R339,'Loading Rates'!$B$1:$L$24,10,FALSE)),"")</f>
        <v/>
      </c>
      <c r="AF339" s="104" t="str">
        <f>IFERROR(MIN(2,IF('BMP P Tracking Table'!$W339="Total Pervious",(-(3630*'BMP P Tracking Table'!$V339+20.691*'BMP P Tracking Table'!$AB339)+SQRT((3630*'BMP P Tracking Table'!$V339+20.691*'BMP P Tracking Table'!$AB339)^2-(4*(996.798*'BMP P Tracking Table'!$AB339)*-'BMP P Tracking Table'!$AC339)))/(2*(996.798*'BMP P Tracking Table'!$AB339)),IF(SUM('BMP P Tracking Table'!$X339:$AA339)=0,'BMP P Tracking Table'!$AC339/(-3630*'BMP P Tracking Table'!$V339),(-(3630*'BMP P Tracking Table'!$V339+20.691*'BMP P Tracking Table'!$AA339-216.711*'BMP P Tracking Table'!$Z339-83.853*'BMP P Tracking Table'!$Y339-42.834*'BMP P Tracking Table'!$X339)+SQRT((3630*'BMP P Tracking Table'!$V339+20.691*'BMP P Tracking Table'!$AA339-216.711*'BMP P Tracking Table'!$Z339-83.853*'BMP P Tracking Table'!$Y339-42.834*'BMP P Tracking Table'!$X339)^2-(4*(149.919*'BMP P Tracking Table'!$X339+236.676*'BMP P Tracking Table'!$Y339+726*'BMP P Tracking Table'!$Z339+996.798*'BMP P Tracking Table'!$AA339)*-'BMP P Tracking Table'!$AC339)))/(2*(149.919*'BMP P Tracking Table'!$X339+236.676*'BMP P Tracking Table'!$Y339+726*'BMP P Tracking Table'!$Z339+996.798*'BMP P Tracking Table'!$AA339))))),"")</f>
        <v/>
      </c>
      <c r="AG339" s="104" t="str">
        <f>IFERROR((VLOOKUP(CONCATENATE('BMP P Tracking Table'!$U339," ",'BMP P Tracking Table'!$AD339),'Performance Curves'!$C$1:$L$46,_xlfn.SINGLE(MATCH('BMP P Tracking Table'!$AF339,'Performance Curves'!$D$1:$L$1,1))+2,FALSE)-VLOOKUP(CONCATENATE('BMP P Tracking Table'!$U339," ",'BMP P Tracking Table'!$AD339),'Performance Curves'!$C$1:$L$46,_xlfn.SINGLE(MATCH('BMP P Tracking Table'!$AF339,'Performance Curves'!$D$1:$L$1,1))+1,FALSE)),"")</f>
        <v/>
      </c>
      <c r="AH339" s="104" t="str">
        <f>IFERROR(('BMP P Tracking Table'!$AF339-INDEX('Performance Curves'!$D$1:$L$1,1,MATCH('BMP P Tracking Table'!$AF339,'Performance Curves'!$D$1:$L$1,1)))/(INDEX('Performance Curves'!$D$1:$L$1,1,MATCH('BMP P Tracking Table'!$AF339,'Performance Curves'!$D$1:$L$1,1)+1)-INDEX('Performance Curves'!$D$1:$L$1,1,MATCH('BMP P Tracking Table'!$AF339,'Performance Curves'!$D$1:$L$1,1))),"")</f>
        <v/>
      </c>
      <c r="AI339" s="103" t="str">
        <f>IFERROR(IF('BMP P Tracking Table'!$AF339=2,VLOOKUP(CONCATENATE('BMP P Tracking Table'!$U339," ",'BMP P Tracking Table'!$AD339),'Performance Curves'!$C$1:$L$46,_xlfn.SINGLE(MATCH('BMP P Tracking Table'!$AF339,'Performance Curves'!$D$1:$L$1,1))+1,FALSE),'BMP P Tracking Table'!$AG339*'BMP P Tracking Table'!$AH339+VLOOKUP(CONCATENATE('BMP P Tracking Table'!$U339," ",'BMP P Tracking Table'!$AD339),'Performance Curves'!$C$1:$L$46,_xlfn.SINGLE(MATCH('BMP P Tracking Table'!$AF339,'Performance Curves'!$D$1:$L$1,1))+1,FALSE)),"")</f>
        <v/>
      </c>
      <c r="AJ339" s="104" t="str">
        <f>IFERROR('BMP P Tracking Table'!$AI339*'BMP P Tracking Table'!$AE339,"")</f>
        <v/>
      </c>
      <c r="AK339" s="65"/>
      <c r="AL339" s="98"/>
      <c r="AM339" s="98"/>
      <c r="AN339" s="64">
        <v>1</v>
      </c>
      <c r="AO339" s="102" t="str">
        <f t="shared" si="37"/>
        <v/>
      </c>
      <c r="AP339" s="98"/>
      <c r="AQ339" s="98"/>
      <c r="AR339" s="98"/>
      <c r="AS339" s="98"/>
      <c r="AT339" s="98"/>
      <c r="AU339" s="98"/>
      <c r="AV339" s="98"/>
      <c r="AW339" s="65"/>
      <c r="AX339" s="99"/>
      <c r="AY339" s="99"/>
      <c r="AZ339" s="104" t="str">
        <f>IF('BMP P Tracking Table'!$AL339="Yes",IF('BMP P Tracking Table'!$AM339="No",'BMP P Tracking Table'!$V339*VLOOKUP('BMP P Tracking Table'!$R339,'Loading Rates'!$B$1:$L$24,4,FALSE)+IF('BMP P Tracking Table'!$W339="By HSG",'BMP P Tracking Table'!$X339*VLOOKUP('BMP P Tracking Table'!$R339,'Loading Rates'!$B$1:$L$24,6,FALSE)+'BMP P Tracking Table'!$Y339*VLOOKUP('BMP P Tracking Table'!$R339,'Loading Rates'!$B$1:$L$24,7,FALSE)+'BMP P Tracking Table'!$Z339*VLOOKUP('BMP P Tracking Table'!$R339,'Loading Rates'!$B$1:$L$24,8,FALSE)+'BMP P Tracking Table'!$AA339*VLOOKUP('BMP P Tracking Table'!$R339,'Loading Rates'!$B$1:$L$24,9,FALSE),'BMP P Tracking Table'!$AB339*VLOOKUP('BMP P Tracking Table'!$R339,'Loading Rates'!$B$1:$L$24,10,FALSE)),'BMP P Tracking Table'!$AP339*VLOOKUP('BMP P Tracking Table'!$R339,'Loading Rates'!$B$1:$L$24,4,FALSE)+IF('BMP P Tracking Table'!$AQ339="By HSG",'BMP P Tracking Table'!$AR339*VLOOKUP('BMP P Tracking Table'!$R339,'Loading Rates'!$B$1:$L$24,6,FALSE)+'BMP P Tracking Table'!$AS339*VLOOKUP('BMP P Tracking Table'!$R339,'Loading Rates'!$B$1:$L$24,7,FALSE)+'BMP P Tracking Table'!$AT339*VLOOKUP('BMP P Tracking Table'!$R339,'Loading Rates'!$B$1:$L$24,8,FALSE)+'BMP P Tracking Table'!$AU339*VLOOKUP('BMP P Tracking Table'!$R339,'Loading Rates'!$B$1:$L$24,9,FALSE),'BMP P Tracking Table'!$AV339*VLOOKUP('BMP P Tracking Table'!$R339,'Loading Rates'!$B$1:$L$24,10,FALSE))),"")</f>
        <v/>
      </c>
      <c r="BA339" s="104" t="str">
        <f>IFERROR(IF('BMP P Tracking Table'!$AM339="Yes",MIN(2,IF('BMP P Tracking Table'!$AQ339="Total Pervious",(-(3630*'BMP P Tracking Table'!$AP339+20.691*'BMP P Tracking Table'!$AV339)+SQRT((3630*'BMP P Tracking Table'!$AP339+20.691*'BMP P Tracking Table'!$AV339)^2-(4*(996.798*'BMP P Tracking Table'!$AV339)*-'BMP P Tracking Table'!$AX339)))/(2*(996.798*'BMP P Tracking Table'!$AV339)),IF(SUM('BMP P Tracking Table'!$AR339:$AU339)=0,'BMP P Tracking Table'!$AV339/(-3630*'BMP P Tracking Table'!$AP339),(-(3630*'BMP P Tracking Table'!$AP339+20.691*'BMP P Tracking Table'!$AU339-216.711*'BMP P Tracking Table'!$AT339-83.853*'BMP P Tracking Table'!$AS339-42.834*'BMP P Tracking Table'!$AR339)+SQRT((3630*'BMP P Tracking Table'!$AP339+20.691*'BMP P Tracking Table'!$AU339-216.711*'BMP P Tracking Table'!$AT339-83.853*'BMP P Tracking Table'!$AS339-42.834*'BMP P Tracking Table'!$AR339)^2-(4*(149.919*'BMP P Tracking Table'!$AR339+236.676*'BMP P Tracking Table'!$AS339+726*'BMP P Tracking Table'!$AT339+996.798*'BMP P Tracking Table'!$AU339)*-'BMP P Tracking Table'!$AX339)))/(2*(149.919*'BMP P Tracking Table'!$AR339+236.676*'BMP P Tracking Table'!$AS339+726*'BMP P Tracking Table'!$AT339+996.798*'BMP P Tracking Table'!$AU339))))),MIN(2,IF('BMP P Tracking Table'!$AQ339="Total Pervious",(-(3630*'BMP P Tracking Table'!$V339+20.691*'BMP P Tracking Table'!$AB339)+SQRT((3630*'BMP P Tracking Table'!$V339+20.691*'BMP P Tracking Table'!$AB339)^2-(4*(996.798*'BMP P Tracking Table'!$AB339)*-'BMP P Tracking Table'!$AX339)))/(2*(996.798*'BMP P Tracking Table'!$AB339)),IF(SUM('BMP P Tracking Table'!$X339:$AA339)=0,'BMP P Tracking Table'!$AX339/(-3630*'BMP P Tracking Table'!$V339),(-(3630*'BMP P Tracking Table'!$V339+20.691*'BMP P Tracking Table'!$AA339-216.711*'BMP P Tracking Table'!$Z339-83.853*'BMP P Tracking Table'!$Y339-42.834*'BMP P Tracking Table'!$X339)+SQRT((3630*'BMP P Tracking Table'!$V339+20.691*'BMP P Tracking Table'!$AA339-216.711*'BMP P Tracking Table'!$Z339-83.853*'BMP P Tracking Table'!$Y339-42.834*'BMP P Tracking Table'!$X339)^2-(4*(149.919*'BMP P Tracking Table'!$X339+236.676*'BMP P Tracking Table'!$Y339+726*'BMP P Tracking Table'!$Z339+996.798*'BMP P Tracking Table'!$AA339)*-'BMP P Tracking Table'!$AX339)))/(2*(149.919*'BMP P Tracking Table'!$X339+236.676*'BMP P Tracking Table'!$Y339+726*'BMP P Tracking Table'!$Z339+996.798*'BMP P Tracking Table'!$AA339)))))),"")</f>
        <v/>
      </c>
      <c r="BB339" s="102" t="str">
        <f>IFERROR((VLOOKUP(CONCATENATE('BMP P Tracking Table'!$AW339," ",'BMP P Tracking Table'!$AY339),'Performance Curves'!$C$1:$L$46,_xlfn.SINGLE(MATCH('BMP P Tracking Table'!$BA339,'Performance Curves'!$D$1:$L$1,1))+2,FALSE)-VLOOKUP(CONCATENATE('BMP P Tracking Table'!$AW339," ",'BMP P Tracking Table'!$AY339),'Performance Curves'!$C$1:$L$46,_xlfn.SINGLE(MATCH('BMP P Tracking Table'!$BA339,'Performance Curves'!$D$1:$L$1,1))+1,FALSE)),"")</f>
        <v/>
      </c>
      <c r="BC339" s="102" t="str">
        <f>IFERROR(('BMP P Tracking Table'!$BA339-INDEX('Performance Curves'!$D$1:$L$1,1,MATCH('BMP P Tracking Table'!$BA339,'Performance Curves'!$D$1:$L$1,1)))/(INDEX('Performance Curves'!$D$1:$L$1,1,MATCH('BMP P Tracking Table'!$BA339,'Performance Curves'!$D$1:$L$1,1)+1)-INDEX('Performance Curves'!$D$1:$L$1,1,MATCH('BMP P Tracking Table'!$BA339,'Performance Curves'!$D$1:$L$1,1))),"")</f>
        <v/>
      </c>
      <c r="BD339" s="103" t="str" cm="1">
        <f t="array" ref="BD339">IFERROR(IF('BMP P Tracking Table'!$BA339=2,VLOOKUP(CONCATENATE('BMP P Tracking Table'!$AW339," ",'BMP P Tracking Table'!$AY339),'Performance Curves'!$C$1:$L$44,_xlfn.SINGLE(MATCH('BMP P Tracking Table'!$BA339,'Performance Curves'!$D$1:$L$1,1))+1,FALSE),'BMP P Tracking Table'!$BB339*'BMP P Tracking Table'!$BC339+VLOOKUP(CONCATENATE('BMP P Tracking Table'!$AW339," ",'BMP P Tracking Table'!$AY339),'Performance Curves'!$C$1:$L$44,_xlfn.SINGLE(MATCH('BMP P Tracking Table'!$BA339,'Performance Curves'!$D$1:$L$1,1))+1,FALSE)),"")</f>
        <v/>
      </c>
      <c r="BE339" s="104" t="str">
        <f>IFERROR('BMP P Tracking Table'!$BD339*'BMP P Tracking Table'!$AZ339,"")</f>
        <v/>
      </c>
      <c r="BF339" s="98"/>
      <c r="BG339" s="37">
        <f t="shared" si="38"/>
        <v>0</v>
      </c>
    </row>
    <row r="340" spans="2:59" s="36" customFormat="1">
      <c r="B340" s="65"/>
      <c r="C340" s="65"/>
      <c r="D340" s="65"/>
      <c r="E340" s="65"/>
      <c r="F340" s="94"/>
      <c r="G340" s="94"/>
      <c r="H340" s="65"/>
      <c r="I340" s="65"/>
      <c r="J340" s="65"/>
      <c r="K340" s="95"/>
      <c r="L340" s="65"/>
      <c r="M340" s="65"/>
      <c r="N340" s="65"/>
      <c r="O340" s="65"/>
      <c r="P340" s="65"/>
      <c r="Q340" s="65"/>
      <c r="R340" s="65" t="str">
        <f>IFERROR(VLOOKUP('BMP P Tracking Table'!$Q340,Dropdowns!$C$2:$E$15,3,FALSE),"")</f>
        <v/>
      </c>
      <c r="S340" s="65" t="str">
        <f>IFERROR(VLOOKUP('BMP P Tracking Table'!$R340,Dropdowns!$Q$3:$R$23,2,FALSE),"")</f>
        <v/>
      </c>
      <c r="T340" s="65"/>
      <c r="U340" s="65"/>
      <c r="V340" s="65"/>
      <c r="W340" s="65"/>
      <c r="X340" s="65"/>
      <c r="Y340" s="65"/>
      <c r="Z340" s="65"/>
      <c r="AA340" s="65"/>
      <c r="AB340" s="65"/>
      <c r="AC340" s="97"/>
      <c r="AD340" s="65"/>
      <c r="AE340" s="104" t="str">
        <f>IFERROR('BMP P Tracking Table'!$V340*VLOOKUP('BMP P Tracking Table'!$R340,'Loading Rates'!$B$1:$L$24,4,FALSE)+IF('BMP P Tracking Table'!$W340="By HSG",'BMP P Tracking Table'!$X340*VLOOKUP('BMP P Tracking Table'!$R340,'Loading Rates'!$B$1:$L$24,6,FALSE)+'BMP P Tracking Table'!$Y340*VLOOKUP('BMP P Tracking Table'!$R340,'Loading Rates'!$B$1:$L$24,7,FALSE)+'BMP P Tracking Table'!$Z340*VLOOKUP('BMP P Tracking Table'!$R340,'Loading Rates'!$B$1:$L$24,8,FALSE)+'BMP P Tracking Table'!$AA340*VLOOKUP('BMP P Tracking Table'!$R340,'Loading Rates'!$B$1:$L$24,9,FALSE),'BMP P Tracking Table'!$AB340*VLOOKUP('BMP P Tracking Table'!$R340,'Loading Rates'!$B$1:$L$24,10,FALSE)),"")</f>
        <v/>
      </c>
      <c r="AF340" s="104" t="str">
        <f>IFERROR(MIN(2,IF('BMP P Tracking Table'!$W340="Total Pervious",(-(3630*'BMP P Tracking Table'!$V340+20.691*'BMP P Tracking Table'!$AB340)+SQRT((3630*'BMP P Tracking Table'!$V340+20.691*'BMP P Tracking Table'!$AB340)^2-(4*(996.798*'BMP P Tracking Table'!$AB340)*-'BMP P Tracking Table'!$AC340)))/(2*(996.798*'BMP P Tracking Table'!$AB340)),IF(SUM('BMP P Tracking Table'!$X340:$AA340)=0,'BMP P Tracking Table'!$AC340/(-3630*'BMP P Tracking Table'!$V340),(-(3630*'BMP P Tracking Table'!$V340+20.691*'BMP P Tracking Table'!$AA340-216.711*'BMP P Tracking Table'!$Z340-83.853*'BMP P Tracking Table'!$Y340-42.834*'BMP P Tracking Table'!$X340)+SQRT((3630*'BMP P Tracking Table'!$V340+20.691*'BMP P Tracking Table'!$AA340-216.711*'BMP P Tracking Table'!$Z340-83.853*'BMP P Tracking Table'!$Y340-42.834*'BMP P Tracking Table'!$X340)^2-(4*(149.919*'BMP P Tracking Table'!$X340+236.676*'BMP P Tracking Table'!$Y340+726*'BMP P Tracking Table'!$Z340+996.798*'BMP P Tracking Table'!$AA340)*-'BMP P Tracking Table'!$AC340)))/(2*(149.919*'BMP P Tracking Table'!$X340+236.676*'BMP P Tracking Table'!$Y340+726*'BMP P Tracking Table'!$Z340+996.798*'BMP P Tracking Table'!$AA340))))),"")</f>
        <v/>
      </c>
      <c r="AG340" s="104" t="str">
        <f>IFERROR((VLOOKUP(CONCATENATE('BMP P Tracking Table'!$U340," ",'BMP P Tracking Table'!$AD340),'Performance Curves'!$C$1:$L$46,_xlfn.SINGLE(MATCH('BMP P Tracking Table'!$AF340,'Performance Curves'!$D$1:$L$1,1))+2,FALSE)-VLOOKUP(CONCATENATE('BMP P Tracking Table'!$U340," ",'BMP P Tracking Table'!$AD340),'Performance Curves'!$C$1:$L$46,_xlfn.SINGLE(MATCH('BMP P Tracking Table'!$AF340,'Performance Curves'!$D$1:$L$1,1))+1,FALSE)),"")</f>
        <v/>
      </c>
      <c r="AH340" s="104" t="str">
        <f>IFERROR(('BMP P Tracking Table'!$AF340-INDEX('Performance Curves'!$D$1:$L$1,1,MATCH('BMP P Tracking Table'!$AF340,'Performance Curves'!$D$1:$L$1,1)))/(INDEX('Performance Curves'!$D$1:$L$1,1,MATCH('BMP P Tracking Table'!$AF340,'Performance Curves'!$D$1:$L$1,1)+1)-INDEX('Performance Curves'!$D$1:$L$1,1,MATCH('BMP P Tracking Table'!$AF340,'Performance Curves'!$D$1:$L$1,1))),"")</f>
        <v/>
      </c>
      <c r="AI340" s="103" t="str">
        <f>IFERROR(IF('BMP P Tracking Table'!$AF340=2,VLOOKUP(CONCATENATE('BMP P Tracking Table'!$U340," ",'BMP P Tracking Table'!$AD340),'Performance Curves'!$C$1:$L$46,_xlfn.SINGLE(MATCH('BMP P Tracking Table'!$AF340,'Performance Curves'!$D$1:$L$1,1))+1,FALSE),'BMP P Tracking Table'!$AG340*'BMP P Tracking Table'!$AH340+VLOOKUP(CONCATENATE('BMP P Tracking Table'!$U340," ",'BMP P Tracking Table'!$AD340),'Performance Curves'!$C$1:$L$46,_xlfn.SINGLE(MATCH('BMP P Tracking Table'!$AF340,'Performance Curves'!$D$1:$L$1,1))+1,FALSE)),"")</f>
        <v/>
      </c>
      <c r="AJ340" s="104" t="str">
        <f>IFERROR('BMP P Tracking Table'!$AI340*'BMP P Tracking Table'!$AE340,"")</f>
        <v/>
      </c>
      <c r="AK340" s="65"/>
      <c r="AL340" s="98"/>
      <c r="AM340" s="98"/>
      <c r="AN340" s="64">
        <v>1</v>
      </c>
      <c r="AO340" s="102" t="str">
        <f t="shared" si="37"/>
        <v/>
      </c>
      <c r="AP340" s="98"/>
      <c r="AQ340" s="98"/>
      <c r="AR340" s="98"/>
      <c r="AS340" s="98"/>
      <c r="AT340" s="98"/>
      <c r="AU340" s="98"/>
      <c r="AV340" s="98"/>
      <c r="AW340" s="65"/>
      <c r="AX340" s="99"/>
      <c r="AY340" s="99"/>
      <c r="AZ340" s="104" t="str">
        <f>IF('BMP P Tracking Table'!$AL340="Yes",IF('BMP P Tracking Table'!$AM340="No",'BMP P Tracking Table'!$V340*VLOOKUP('BMP P Tracking Table'!$R340,'Loading Rates'!$B$1:$L$24,4,FALSE)+IF('BMP P Tracking Table'!$W340="By HSG",'BMP P Tracking Table'!$X340*VLOOKUP('BMP P Tracking Table'!$R340,'Loading Rates'!$B$1:$L$24,6,FALSE)+'BMP P Tracking Table'!$Y340*VLOOKUP('BMP P Tracking Table'!$R340,'Loading Rates'!$B$1:$L$24,7,FALSE)+'BMP P Tracking Table'!$Z340*VLOOKUP('BMP P Tracking Table'!$R340,'Loading Rates'!$B$1:$L$24,8,FALSE)+'BMP P Tracking Table'!$AA340*VLOOKUP('BMP P Tracking Table'!$R340,'Loading Rates'!$B$1:$L$24,9,FALSE),'BMP P Tracking Table'!$AB340*VLOOKUP('BMP P Tracking Table'!$R340,'Loading Rates'!$B$1:$L$24,10,FALSE)),'BMP P Tracking Table'!$AP340*VLOOKUP('BMP P Tracking Table'!$R340,'Loading Rates'!$B$1:$L$24,4,FALSE)+IF('BMP P Tracking Table'!$AQ340="By HSG",'BMP P Tracking Table'!$AR340*VLOOKUP('BMP P Tracking Table'!$R340,'Loading Rates'!$B$1:$L$24,6,FALSE)+'BMP P Tracking Table'!$AS340*VLOOKUP('BMP P Tracking Table'!$R340,'Loading Rates'!$B$1:$L$24,7,FALSE)+'BMP P Tracking Table'!$AT340*VLOOKUP('BMP P Tracking Table'!$R340,'Loading Rates'!$B$1:$L$24,8,FALSE)+'BMP P Tracking Table'!$AU340*VLOOKUP('BMP P Tracking Table'!$R340,'Loading Rates'!$B$1:$L$24,9,FALSE),'BMP P Tracking Table'!$AV340*VLOOKUP('BMP P Tracking Table'!$R340,'Loading Rates'!$B$1:$L$24,10,FALSE))),"")</f>
        <v/>
      </c>
      <c r="BA340" s="104" t="str">
        <f>IFERROR(IF('BMP P Tracking Table'!$AM340="Yes",MIN(2,IF('BMP P Tracking Table'!$AQ340="Total Pervious",(-(3630*'BMP P Tracking Table'!$AP340+20.691*'BMP P Tracking Table'!$AV340)+SQRT((3630*'BMP P Tracking Table'!$AP340+20.691*'BMP P Tracking Table'!$AV340)^2-(4*(996.798*'BMP P Tracking Table'!$AV340)*-'BMP P Tracking Table'!$AX340)))/(2*(996.798*'BMP P Tracking Table'!$AV340)),IF(SUM('BMP P Tracking Table'!$AR340:$AU340)=0,'BMP P Tracking Table'!$AV340/(-3630*'BMP P Tracking Table'!$AP340),(-(3630*'BMP P Tracking Table'!$AP340+20.691*'BMP P Tracking Table'!$AU340-216.711*'BMP P Tracking Table'!$AT340-83.853*'BMP P Tracking Table'!$AS340-42.834*'BMP P Tracking Table'!$AR340)+SQRT((3630*'BMP P Tracking Table'!$AP340+20.691*'BMP P Tracking Table'!$AU340-216.711*'BMP P Tracking Table'!$AT340-83.853*'BMP P Tracking Table'!$AS340-42.834*'BMP P Tracking Table'!$AR340)^2-(4*(149.919*'BMP P Tracking Table'!$AR340+236.676*'BMP P Tracking Table'!$AS340+726*'BMP P Tracking Table'!$AT340+996.798*'BMP P Tracking Table'!$AU340)*-'BMP P Tracking Table'!$AX340)))/(2*(149.919*'BMP P Tracking Table'!$AR340+236.676*'BMP P Tracking Table'!$AS340+726*'BMP P Tracking Table'!$AT340+996.798*'BMP P Tracking Table'!$AU340))))),MIN(2,IF('BMP P Tracking Table'!$AQ340="Total Pervious",(-(3630*'BMP P Tracking Table'!$V340+20.691*'BMP P Tracking Table'!$AB340)+SQRT((3630*'BMP P Tracking Table'!$V340+20.691*'BMP P Tracking Table'!$AB340)^2-(4*(996.798*'BMP P Tracking Table'!$AB340)*-'BMP P Tracking Table'!$AX340)))/(2*(996.798*'BMP P Tracking Table'!$AB340)),IF(SUM('BMP P Tracking Table'!$X340:$AA340)=0,'BMP P Tracking Table'!$AX340/(-3630*'BMP P Tracking Table'!$V340),(-(3630*'BMP P Tracking Table'!$V340+20.691*'BMP P Tracking Table'!$AA340-216.711*'BMP P Tracking Table'!$Z340-83.853*'BMP P Tracking Table'!$Y340-42.834*'BMP P Tracking Table'!$X340)+SQRT((3630*'BMP P Tracking Table'!$V340+20.691*'BMP P Tracking Table'!$AA340-216.711*'BMP P Tracking Table'!$Z340-83.853*'BMP P Tracking Table'!$Y340-42.834*'BMP P Tracking Table'!$X340)^2-(4*(149.919*'BMP P Tracking Table'!$X340+236.676*'BMP P Tracking Table'!$Y340+726*'BMP P Tracking Table'!$Z340+996.798*'BMP P Tracking Table'!$AA340)*-'BMP P Tracking Table'!$AX340)))/(2*(149.919*'BMP P Tracking Table'!$X340+236.676*'BMP P Tracking Table'!$Y340+726*'BMP P Tracking Table'!$Z340+996.798*'BMP P Tracking Table'!$AA340)))))),"")</f>
        <v/>
      </c>
      <c r="BB340" s="102" t="str">
        <f>IFERROR((VLOOKUP(CONCATENATE('BMP P Tracking Table'!$AW340," ",'BMP P Tracking Table'!$AY340),'Performance Curves'!$C$1:$L$46,_xlfn.SINGLE(MATCH('BMP P Tracking Table'!$BA340,'Performance Curves'!$D$1:$L$1,1))+2,FALSE)-VLOOKUP(CONCATENATE('BMP P Tracking Table'!$AW340," ",'BMP P Tracking Table'!$AY340),'Performance Curves'!$C$1:$L$46,_xlfn.SINGLE(MATCH('BMP P Tracking Table'!$BA340,'Performance Curves'!$D$1:$L$1,1))+1,FALSE)),"")</f>
        <v/>
      </c>
      <c r="BC340" s="102" t="str">
        <f>IFERROR(('BMP P Tracking Table'!$BA340-INDEX('Performance Curves'!$D$1:$L$1,1,MATCH('BMP P Tracking Table'!$BA340,'Performance Curves'!$D$1:$L$1,1)))/(INDEX('Performance Curves'!$D$1:$L$1,1,MATCH('BMP P Tracking Table'!$BA340,'Performance Curves'!$D$1:$L$1,1)+1)-INDEX('Performance Curves'!$D$1:$L$1,1,MATCH('BMP P Tracking Table'!$BA340,'Performance Curves'!$D$1:$L$1,1))),"")</f>
        <v/>
      </c>
      <c r="BD340" s="103" t="str" cm="1">
        <f t="array" ref="BD340">IFERROR(IF('BMP P Tracking Table'!$BA340=2,VLOOKUP(CONCATENATE('BMP P Tracking Table'!$AW340," ",'BMP P Tracking Table'!$AY340),'Performance Curves'!$C$1:$L$44,_xlfn.SINGLE(MATCH('BMP P Tracking Table'!$BA340,'Performance Curves'!$D$1:$L$1,1))+1,FALSE),'BMP P Tracking Table'!$BB340*'BMP P Tracking Table'!$BC340+VLOOKUP(CONCATENATE('BMP P Tracking Table'!$AW340," ",'BMP P Tracking Table'!$AY340),'Performance Curves'!$C$1:$L$44,_xlfn.SINGLE(MATCH('BMP P Tracking Table'!$BA340,'Performance Curves'!$D$1:$L$1,1))+1,FALSE)),"")</f>
        <v/>
      </c>
      <c r="BE340" s="104" t="str">
        <f>IFERROR('BMP P Tracking Table'!$BD340*'BMP P Tracking Table'!$AZ340,"")</f>
        <v/>
      </c>
      <c r="BF340" s="98"/>
      <c r="BG340" s="37">
        <f t="shared" si="38"/>
        <v>0</v>
      </c>
    </row>
    <row r="341" spans="2:59" s="36" customFormat="1">
      <c r="B341" s="65"/>
      <c r="C341" s="65"/>
      <c r="D341" s="65"/>
      <c r="E341" s="65"/>
      <c r="F341" s="94"/>
      <c r="G341" s="94"/>
      <c r="H341" s="65"/>
      <c r="I341" s="65"/>
      <c r="J341" s="65"/>
      <c r="K341" s="95"/>
      <c r="L341" s="65"/>
      <c r="M341" s="65"/>
      <c r="N341" s="65"/>
      <c r="O341" s="65"/>
      <c r="P341" s="65"/>
      <c r="Q341" s="65"/>
      <c r="R341" s="65" t="str">
        <f>IFERROR(VLOOKUP('BMP P Tracking Table'!$Q341,Dropdowns!$C$2:$E$15,3,FALSE),"")</f>
        <v/>
      </c>
      <c r="S341" s="65" t="str">
        <f>IFERROR(VLOOKUP('BMP P Tracking Table'!$R341,Dropdowns!$Q$3:$R$23,2,FALSE),"")</f>
        <v/>
      </c>
      <c r="T341" s="65"/>
      <c r="U341" s="65"/>
      <c r="V341" s="65"/>
      <c r="W341" s="65"/>
      <c r="X341" s="65"/>
      <c r="Y341" s="65"/>
      <c r="Z341" s="65"/>
      <c r="AA341" s="65"/>
      <c r="AB341" s="65"/>
      <c r="AC341" s="97"/>
      <c r="AD341" s="65"/>
      <c r="AE341" s="104" t="str">
        <f>IFERROR('BMP P Tracking Table'!$V341*VLOOKUP('BMP P Tracking Table'!$R341,'Loading Rates'!$B$1:$L$24,4,FALSE)+IF('BMP P Tracking Table'!$W341="By HSG",'BMP P Tracking Table'!$X341*VLOOKUP('BMP P Tracking Table'!$R341,'Loading Rates'!$B$1:$L$24,6,FALSE)+'BMP P Tracking Table'!$Y341*VLOOKUP('BMP P Tracking Table'!$R341,'Loading Rates'!$B$1:$L$24,7,FALSE)+'BMP P Tracking Table'!$Z341*VLOOKUP('BMP P Tracking Table'!$R341,'Loading Rates'!$B$1:$L$24,8,FALSE)+'BMP P Tracking Table'!$AA341*VLOOKUP('BMP P Tracking Table'!$R341,'Loading Rates'!$B$1:$L$24,9,FALSE),'BMP P Tracking Table'!$AB341*VLOOKUP('BMP P Tracking Table'!$R341,'Loading Rates'!$B$1:$L$24,10,FALSE)),"")</f>
        <v/>
      </c>
      <c r="AF341" s="104" t="str">
        <f>IFERROR(MIN(2,IF('BMP P Tracking Table'!$W341="Total Pervious",(-(3630*'BMP P Tracking Table'!$V341+20.691*'BMP P Tracking Table'!$AB341)+SQRT((3630*'BMP P Tracking Table'!$V341+20.691*'BMP P Tracking Table'!$AB341)^2-(4*(996.798*'BMP P Tracking Table'!$AB341)*-'BMP P Tracking Table'!$AC341)))/(2*(996.798*'BMP P Tracking Table'!$AB341)),IF(SUM('BMP P Tracking Table'!$X341:$AA341)=0,'BMP P Tracking Table'!$AC341/(-3630*'BMP P Tracking Table'!$V341),(-(3630*'BMP P Tracking Table'!$V341+20.691*'BMP P Tracking Table'!$AA341-216.711*'BMP P Tracking Table'!$Z341-83.853*'BMP P Tracking Table'!$Y341-42.834*'BMP P Tracking Table'!$X341)+SQRT((3630*'BMP P Tracking Table'!$V341+20.691*'BMP P Tracking Table'!$AA341-216.711*'BMP P Tracking Table'!$Z341-83.853*'BMP P Tracking Table'!$Y341-42.834*'BMP P Tracking Table'!$X341)^2-(4*(149.919*'BMP P Tracking Table'!$X341+236.676*'BMP P Tracking Table'!$Y341+726*'BMP P Tracking Table'!$Z341+996.798*'BMP P Tracking Table'!$AA341)*-'BMP P Tracking Table'!$AC341)))/(2*(149.919*'BMP P Tracking Table'!$X341+236.676*'BMP P Tracking Table'!$Y341+726*'BMP P Tracking Table'!$Z341+996.798*'BMP P Tracking Table'!$AA341))))),"")</f>
        <v/>
      </c>
      <c r="AG341" s="104" t="str">
        <f>IFERROR((VLOOKUP(CONCATENATE('BMP P Tracking Table'!$U341," ",'BMP P Tracking Table'!$AD341),'Performance Curves'!$C$1:$L$46,_xlfn.SINGLE(MATCH('BMP P Tracking Table'!$AF341,'Performance Curves'!$D$1:$L$1,1))+2,FALSE)-VLOOKUP(CONCATENATE('BMP P Tracking Table'!$U341," ",'BMP P Tracking Table'!$AD341),'Performance Curves'!$C$1:$L$46,_xlfn.SINGLE(MATCH('BMP P Tracking Table'!$AF341,'Performance Curves'!$D$1:$L$1,1))+1,FALSE)),"")</f>
        <v/>
      </c>
      <c r="AH341" s="104" t="str">
        <f>IFERROR(('BMP P Tracking Table'!$AF341-INDEX('Performance Curves'!$D$1:$L$1,1,MATCH('BMP P Tracking Table'!$AF341,'Performance Curves'!$D$1:$L$1,1)))/(INDEX('Performance Curves'!$D$1:$L$1,1,MATCH('BMP P Tracking Table'!$AF341,'Performance Curves'!$D$1:$L$1,1)+1)-INDEX('Performance Curves'!$D$1:$L$1,1,MATCH('BMP P Tracking Table'!$AF341,'Performance Curves'!$D$1:$L$1,1))),"")</f>
        <v/>
      </c>
      <c r="AI341" s="103" t="str">
        <f>IFERROR(IF('BMP P Tracking Table'!$AF341=2,VLOOKUP(CONCATENATE('BMP P Tracking Table'!$U341," ",'BMP P Tracking Table'!$AD341),'Performance Curves'!$C$1:$L$46,_xlfn.SINGLE(MATCH('BMP P Tracking Table'!$AF341,'Performance Curves'!$D$1:$L$1,1))+1,FALSE),'BMP P Tracking Table'!$AG341*'BMP P Tracking Table'!$AH341+VLOOKUP(CONCATENATE('BMP P Tracking Table'!$U341," ",'BMP P Tracking Table'!$AD341),'Performance Curves'!$C$1:$L$46,_xlfn.SINGLE(MATCH('BMP P Tracking Table'!$AF341,'Performance Curves'!$D$1:$L$1,1))+1,FALSE)),"")</f>
        <v/>
      </c>
      <c r="AJ341" s="104" t="str">
        <f>IFERROR('BMP P Tracking Table'!$AI341*'BMP P Tracking Table'!$AE341,"")</f>
        <v/>
      </c>
      <c r="AK341" s="65"/>
      <c r="AL341" s="98"/>
      <c r="AM341" s="98"/>
      <c r="AN341" s="64">
        <v>1</v>
      </c>
      <c r="AO341" s="102" t="str">
        <f t="shared" si="37"/>
        <v/>
      </c>
      <c r="AP341" s="98"/>
      <c r="AQ341" s="98"/>
      <c r="AR341" s="98"/>
      <c r="AS341" s="98"/>
      <c r="AT341" s="98"/>
      <c r="AU341" s="98"/>
      <c r="AV341" s="98"/>
      <c r="AW341" s="65"/>
      <c r="AX341" s="99"/>
      <c r="AY341" s="99"/>
      <c r="AZ341" s="104" t="str">
        <f>IF('BMP P Tracking Table'!$AL341="Yes",IF('BMP P Tracking Table'!$AM341="No",'BMP P Tracking Table'!$V341*VLOOKUP('BMP P Tracking Table'!$R341,'Loading Rates'!$B$1:$L$24,4,FALSE)+IF('BMP P Tracking Table'!$W341="By HSG",'BMP P Tracking Table'!$X341*VLOOKUP('BMP P Tracking Table'!$R341,'Loading Rates'!$B$1:$L$24,6,FALSE)+'BMP P Tracking Table'!$Y341*VLOOKUP('BMP P Tracking Table'!$R341,'Loading Rates'!$B$1:$L$24,7,FALSE)+'BMP P Tracking Table'!$Z341*VLOOKUP('BMP P Tracking Table'!$R341,'Loading Rates'!$B$1:$L$24,8,FALSE)+'BMP P Tracking Table'!$AA341*VLOOKUP('BMP P Tracking Table'!$R341,'Loading Rates'!$B$1:$L$24,9,FALSE),'BMP P Tracking Table'!$AB341*VLOOKUP('BMP P Tracking Table'!$R341,'Loading Rates'!$B$1:$L$24,10,FALSE)),'BMP P Tracking Table'!$AP341*VLOOKUP('BMP P Tracking Table'!$R341,'Loading Rates'!$B$1:$L$24,4,FALSE)+IF('BMP P Tracking Table'!$AQ341="By HSG",'BMP P Tracking Table'!$AR341*VLOOKUP('BMP P Tracking Table'!$R341,'Loading Rates'!$B$1:$L$24,6,FALSE)+'BMP P Tracking Table'!$AS341*VLOOKUP('BMP P Tracking Table'!$R341,'Loading Rates'!$B$1:$L$24,7,FALSE)+'BMP P Tracking Table'!$AT341*VLOOKUP('BMP P Tracking Table'!$R341,'Loading Rates'!$B$1:$L$24,8,FALSE)+'BMP P Tracking Table'!$AU341*VLOOKUP('BMP P Tracking Table'!$R341,'Loading Rates'!$B$1:$L$24,9,FALSE),'BMP P Tracking Table'!$AV341*VLOOKUP('BMP P Tracking Table'!$R341,'Loading Rates'!$B$1:$L$24,10,FALSE))),"")</f>
        <v/>
      </c>
      <c r="BA341" s="104" t="str">
        <f>IFERROR(IF('BMP P Tracking Table'!$AM341="Yes",MIN(2,IF('BMP P Tracking Table'!$AQ341="Total Pervious",(-(3630*'BMP P Tracking Table'!$AP341+20.691*'BMP P Tracking Table'!$AV341)+SQRT((3630*'BMP P Tracking Table'!$AP341+20.691*'BMP P Tracking Table'!$AV341)^2-(4*(996.798*'BMP P Tracking Table'!$AV341)*-'BMP P Tracking Table'!$AX341)))/(2*(996.798*'BMP P Tracking Table'!$AV341)),IF(SUM('BMP P Tracking Table'!$AR341:$AU341)=0,'BMP P Tracking Table'!$AV341/(-3630*'BMP P Tracking Table'!$AP341),(-(3630*'BMP P Tracking Table'!$AP341+20.691*'BMP P Tracking Table'!$AU341-216.711*'BMP P Tracking Table'!$AT341-83.853*'BMP P Tracking Table'!$AS341-42.834*'BMP P Tracking Table'!$AR341)+SQRT((3630*'BMP P Tracking Table'!$AP341+20.691*'BMP P Tracking Table'!$AU341-216.711*'BMP P Tracking Table'!$AT341-83.853*'BMP P Tracking Table'!$AS341-42.834*'BMP P Tracking Table'!$AR341)^2-(4*(149.919*'BMP P Tracking Table'!$AR341+236.676*'BMP P Tracking Table'!$AS341+726*'BMP P Tracking Table'!$AT341+996.798*'BMP P Tracking Table'!$AU341)*-'BMP P Tracking Table'!$AX341)))/(2*(149.919*'BMP P Tracking Table'!$AR341+236.676*'BMP P Tracking Table'!$AS341+726*'BMP P Tracking Table'!$AT341+996.798*'BMP P Tracking Table'!$AU341))))),MIN(2,IF('BMP P Tracking Table'!$AQ341="Total Pervious",(-(3630*'BMP P Tracking Table'!$V341+20.691*'BMP P Tracking Table'!$AB341)+SQRT((3630*'BMP P Tracking Table'!$V341+20.691*'BMP P Tracking Table'!$AB341)^2-(4*(996.798*'BMP P Tracking Table'!$AB341)*-'BMP P Tracking Table'!$AX341)))/(2*(996.798*'BMP P Tracking Table'!$AB341)),IF(SUM('BMP P Tracking Table'!$X341:$AA341)=0,'BMP P Tracking Table'!$AX341/(-3630*'BMP P Tracking Table'!$V341),(-(3630*'BMP P Tracking Table'!$V341+20.691*'BMP P Tracking Table'!$AA341-216.711*'BMP P Tracking Table'!$Z341-83.853*'BMP P Tracking Table'!$Y341-42.834*'BMP P Tracking Table'!$X341)+SQRT((3630*'BMP P Tracking Table'!$V341+20.691*'BMP P Tracking Table'!$AA341-216.711*'BMP P Tracking Table'!$Z341-83.853*'BMP P Tracking Table'!$Y341-42.834*'BMP P Tracking Table'!$X341)^2-(4*(149.919*'BMP P Tracking Table'!$X341+236.676*'BMP P Tracking Table'!$Y341+726*'BMP P Tracking Table'!$Z341+996.798*'BMP P Tracking Table'!$AA341)*-'BMP P Tracking Table'!$AX341)))/(2*(149.919*'BMP P Tracking Table'!$X341+236.676*'BMP P Tracking Table'!$Y341+726*'BMP P Tracking Table'!$Z341+996.798*'BMP P Tracking Table'!$AA341)))))),"")</f>
        <v/>
      </c>
      <c r="BB341" s="102" t="str">
        <f>IFERROR((VLOOKUP(CONCATENATE('BMP P Tracking Table'!$AW341," ",'BMP P Tracking Table'!$AY341),'Performance Curves'!$C$1:$L$46,_xlfn.SINGLE(MATCH('BMP P Tracking Table'!$BA341,'Performance Curves'!$D$1:$L$1,1))+2,FALSE)-VLOOKUP(CONCATENATE('BMP P Tracking Table'!$AW341," ",'BMP P Tracking Table'!$AY341),'Performance Curves'!$C$1:$L$46,_xlfn.SINGLE(MATCH('BMP P Tracking Table'!$BA341,'Performance Curves'!$D$1:$L$1,1))+1,FALSE)),"")</f>
        <v/>
      </c>
      <c r="BC341" s="102" t="str">
        <f>IFERROR(('BMP P Tracking Table'!$BA341-INDEX('Performance Curves'!$D$1:$L$1,1,MATCH('BMP P Tracking Table'!$BA341,'Performance Curves'!$D$1:$L$1,1)))/(INDEX('Performance Curves'!$D$1:$L$1,1,MATCH('BMP P Tracking Table'!$BA341,'Performance Curves'!$D$1:$L$1,1)+1)-INDEX('Performance Curves'!$D$1:$L$1,1,MATCH('BMP P Tracking Table'!$BA341,'Performance Curves'!$D$1:$L$1,1))),"")</f>
        <v/>
      </c>
      <c r="BD341" s="103" t="str" cm="1">
        <f t="array" ref="BD341">IFERROR(IF('BMP P Tracking Table'!$BA341=2,VLOOKUP(CONCATENATE('BMP P Tracking Table'!$AW341," ",'BMP P Tracking Table'!$AY341),'Performance Curves'!$C$1:$L$44,_xlfn.SINGLE(MATCH('BMP P Tracking Table'!$BA341,'Performance Curves'!$D$1:$L$1,1))+1,FALSE),'BMP P Tracking Table'!$BB341*'BMP P Tracking Table'!$BC341+VLOOKUP(CONCATENATE('BMP P Tracking Table'!$AW341," ",'BMP P Tracking Table'!$AY341),'Performance Curves'!$C$1:$L$44,_xlfn.SINGLE(MATCH('BMP P Tracking Table'!$BA341,'Performance Curves'!$D$1:$L$1,1))+1,FALSE)),"")</f>
        <v/>
      </c>
      <c r="BE341" s="104" t="str">
        <f>IFERROR('BMP P Tracking Table'!$BD341*'BMP P Tracking Table'!$AZ341,"")</f>
        <v/>
      </c>
      <c r="BF341" s="98"/>
      <c r="BG341" s="37">
        <f t="shared" si="38"/>
        <v>0</v>
      </c>
    </row>
    <row r="342" spans="2:59" s="36" customFormat="1">
      <c r="B342" s="65"/>
      <c r="C342" s="65"/>
      <c r="D342" s="65"/>
      <c r="E342" s="65"/>
      <c r="F342" s="94"/>
      <c r="G342" s="94"/>
      <c r="H342" s="65"/>
      <c r="I342" s="65"/>
      <c r="J342" s="65"/>
      <c r="K342" s="95"/>
      <c r="L342" s="65"/>
      <c r="M342" s="65"/>
      <c r="N342" s="65"/>
      <c r="O342" s="65"/>
      <c r="P342" s="65"/>
      <c r="Q342" s="65"/>
      <c r="R342" s="65" t="str">
        <f>IFERROR(VLOOKUP('BMP P Tracking Table'!$Q342,Dropdowns!$C$2:$E$15,3,FALSE),"")</f>
        <v/>
      </c>
      <c r="S342" s="65" t="str">
        <f>IFERROR(VLOOKUP('BMP P Tracking Table'!$R342,Dropdowns!$Q$3:$R$23,2,FALSE),"")</f>
        <v/>
      </c>
      <c r="T342" s="65"/>
      <c r="U342" s="65"/>
      <c r="V342" s="65"/>
      <c r="W342" s="65"/>
      <c r="X342" s="65"/>
      <c r="Y342" s="65"/>
      <c r="Z342" s="65"/>
      <c r="AA342" s="65"/>
      <c r="AB342" s="65"/>
      <c r="AC342" s="97"/>
      <c r="AD342" s="65"/>
      <c r="AE342" s="104" t="str">
        <f>IFERROR('BMP P Tracking Table'!$V342*VLOOKUP('BMP P Tracking Table'!$R342,'Loading Rates'!$B$1:$L$24,4,FALSE)+IF('BMP P Tracking Table'!$W342="By HSG",'BMP P Tracking Table'!$X342*VLOOKUP('BMP P Tracking Table'!$R342,'Loading Rates'!$B$1:$L$24,6,FALSE)+'BMP P Tracking Table'!$Y342*VLOOKUP('BMP P Tracking Table'!$R342,'Loading Rates'!$B$1:$L$24,7,FALSE)+'BMP P Tracking Table'!$Z342*VLOOKUP('BMP P Tracking Table'!$R342,'Loading Rates'!$B$1:$L$24,8,FALSE)+'BMP P Tracking Table'!$AA342*VLOOKUP('BMP P Tracking Table'!$R342,'Loading Rates'!$B$1:$L$24,9,FALSE),'BMP P Tracking Table'!$AB342*VLOOKUP('BMP P Tracking Table'!$R342,'Loading Rates'!$B$1:$L$24,10,FALSE)),"")</f>
        <v/>
      </c>
      <c r="AF342" s="104" t="str">
        <f>IFERROR(MIN(2,IF('BMP P Tracking Table'!$W342="Total Pervious",(-(3630*'BMP P Tracking Table'!$V342+20.691*'BMP P Tracking Table'!$AB342)+SQRT((3630*'BMP P Tracking Table'!$V342+20.691*'BMP P Tracking Table'!$AB342)^2-(4*(996.798*'BMP P Tracking Table'!$AB342)*-'BMP P Tracking Table'!$AC342)))/(2*(996.798*'BMP P Tracking Table'!$AB342)),IF(SUM('BMP P Tracking Table'!$X342:$AA342)=0,'BMP P Tracking Table'!$AC342/(-3630*'BMP P Tracking Table'!$V342),(-(3630*'BMP P Tracking Table'!$V342+20.691*'BMP P Tracking Table'!$AA342-216.711*'BMP P Tracking Table'!$Z342-83.853*'BMP P Tracking Table'!$Y342-42.834*'BMP P Tracking Table'!$X342)+SQRT((3630*'BMP P Tracking Table'!$V342+20.691*'BMP P Tracking Table'!$AA342-216.711*'BMP P Tracking Table'!$Z342-83.853*'BMP P Tracking Table'!$Y342-42.834*'BMP P Tracking Table'!$X342)^2-(4*(149.919*'BMP P Tracking Table'!$X342+236.676*'BMP P Tracking Table'!$Y342+726*'BMP P Tracking Table'!$Z342+996.798*'BMP P Tracking Table'!$AA342)*-'BMP P Tracking Table'!$AC342)))/(2*(149.919*'BMP P Tracking Table'!$X342+236.676*'BMP P Tracking Table'!$Y342+726*'BMP P Tracking Table'!$Z342+996.798*'BMP P Tracking Table'!$AA342))))),"")</f>
        <v/>
      </c>
      <c r="AG342" s="104" t="str">
        <f>IFERROR((VLOOKUP(CONCATENATE('BMP P Tracking Table'!$U342," ",'BMP P Tracking Table'!$AD342),'Performance Curves'!$C$1:$L$46,_xlfn.SINGLE(MATCH('BMP P Tracking Table'!$AF342,'Performance Curves'!$D$1:$L$1,1))+2,FALSE)-VLOOKUP(CONCATENATE('BMP P Tracking Table'!$U342," ",'BMP P Tracking Table'!$AD342),'Performance Curves'!$C$1:$L$46,_xlfn.SINGLE(MATCH('BMP P Tracking Table'!$AF342,'Performance Curves'!$D$1:$L$1,1))+1,FALSE)),"")</f>
        <v/>
      </c>
      <c r="AH342" s="104" t="str">
        <f>IFERROR(('BMP P Tracking Table'!$AF342-INDEX('Performance Curves'!$D$1:$L$1,1,MATCH('BMP P Tracking Table'!$AF342,'Performance Curves'!$D$1:$L$1,1)))/(INDEX('Performance Curves'!$D$1:$L$1,1,MATCH('BMP P Tracking Table'!$AF342,'Performance Curves'!$D$1:$L$1,1)+1)-INDEX('Performance Curves'!$D$1:$L$1,1,MATCH('BMP P Tracking Table'!$AF342,'Performance Curves'!$D$1:$L$1,1))),"")</f>
        <v/>
      </c>
      <c r="AI342" s="103" t="str">
        <f>IFERROR(IF('BMP P Tracking Table'!$AF342=2,VLOOKUP(CONCATENATE('BMP P Tracking Table'!$U342," ",'BMP P Tracking Table'!$AD342),'Performance Curves'!$C$1:$L$46,_xlfn.SINGLE(MATCH('BMP P Tracking Table'!$AF342,'Performance Curves'!$D$1:$L$1,1))+1,FALSE),'BMP P Tracking Table'!$AG342*'BMP P Tracking Table'!$AH342+VLOOKUP(CONCATENATE('BMP P Tracking Table'!$U342," ",'BMP P Tracking Table'!$AD342),'Performance Curves'!$C$1:$L$46,_xlfn.SINGLE(MATCH('BMP P Tracking Table'!$AF342,'Performance Curves'!$D$1:$L$1,1))+1,FALSE)),"")</f>
        <v/>
      </c>
      <c r="AJ342" s="104" t="str">
        <f>IFERROR('BMP P Tracking Table'!$AI342*'BMP P Tracking Table'!$AE342,"")</f>
        <v/>
      </c>
      <c r="AK342" s="65"/>
      <c r="AL342" s="98"/>
      <c r="AM342" s="98"/>
      <c r="AN342" s="64">
        <v>1</v>
      </c>
      <c r="AO342" s="102" t="str">
        <f t="shared" si="37"/>
        <v/>
      </c>
      <c r="AP342" s="98"/>
      <c r="AQ342" s="98"/>
      <c r="AR342" s="98"/>
      <c r="AS342" s="98"/>
      <c r="AT342" s="98"/>
      <c r="AU342" s="98"/>
      <c r="AV342" s="98"/>
      <c r="AW342" s="65"/>
      <c r="AX342" s="99"/>
      <c r="AY342" s="99"/>
      <c r="AZ342" s="104" t="str">
        <f>IF('BMP P Tracking Table'!$AL342="Yes",IF('BMP P Tracking Table'!$AM342="No",'BMP P Tracking Table'!$V342*VLOOKUP('BMP P Tracking Table'!$R342,'Loading Rates'!$B$1:$L$24,4,FALSE)+IF('BMP P Tracking Table'!$W342="By HSG",'BMP P Tracking Table'!$X342*VLOOKUP('BMP P Tracking Table'!$R342,'Loading Rates'!$B$1:$L$24,6,FALSE)+'BMP P Tracking Table'!$Y342*VLOOKUP('BMP P Tracking Table'!$R342,'Loading Rates'!$B$1:$L$24,7,FALSE)+'BMP P Tracking Table'!$Z342*VLOOKUP('BMP P Tracking Table'!$R342,'Loading Rates'!$B$1:$L$24,8,FALSE)+'BMP P Tracking Table'!$AA342*VLOOKUP('BMP P Tracking Table'!$R342,'Loading Rates'!$B$1:$L$24,9,FALSE),'BMP P Tracking Table'!$AB342*VLOOKUP('BMP P Tracking Table'!$R342,'Loading Rates'!$B$1:$L$24,10,FALSE)),'BMP P Tracking Table'!$AP342*VLOOKUP('BMP P Tracking Table'!$R342,'Loading Rates'!$B$1:$L$24,4,FALSE)+IF('BMP P Tracking Table'!$AQ342="By HSG",'BMP P Tracking Table'!$AR342*VLOOKUP('BMP P Tracking Table'!$R342,'Loading Rates'!$B$1:$L$24,6,FALSE)+'BMP P Tracking Table'!$AS342*VLOOKUP('BMP P Tracking Table'!$R342,'Loading Rates'!$B$1:$L$24,7,FALSE)+'BMP P Tracking Table'!$AT342*VLOOKUP('BMP P Tracking Table'!$R342,'Loading Rates'!$B$1:$L$24,8,FALSE)+'BMP P Tracking Table'!$AU342*VLOOKUP('BMP P Tracking Table'!$R342,'Loading Rates'!$B$1:$L$24,9,FALSE),'BMP P Tracking Table'!$AV342*VLOOKUP('BMP P Tracking Table'!$R342,'Loading Rates'!$B$1:$L$24,10,FALSE))),"")</f>
        <v/>
      </c>
      <c r="BA342" s="104" t="str">
        <f>IFERROR(IF('BMP P Tracking Table'!$AM342="Yes",MIN(2,IF('BMP P Tracking Table'!$AQ342="Total Pervious",(-(3630*'BMP P Tracking Table'!$AP342+20.691*'BMP P Tracking Table'!$AV342)+SQRT((3630*'BMP P Tracking Table'!$AP342+20.691*'BMP P Tracking Table'!$AV342)^2-(4*(996.798*'BMP P Tracking Table'!$AV342)*-'BMP P Tracking Table'!$AX342)))/(2*(996.798*'BMP P Tracking Table'!$AV342)),IF(SUM('BMP P Tracking Table'!$AR342:$AU342)=0,'BMP P Tracking Table'!$AV342/(-3630*'BMP P Tracking Table'!$AP342),(-(3630*'BMP P Tracking Table'!$AP342+20.691*'BMP P Tracking Table'!$AU342-216.711*'BMP P Tracking Table'!$AT342-83.853*'BMP P Tracking Table'!$AS342-42.834*'BMP P Tracking Table'!$AR342)+SQRT((3630*'BMP P Tracking Table'!$AP342+20.691*'BMP P Tracking Table'!$AU342-216.711*'BMP P Tracking Table'!$AT342-83.853*'BMP P Tracking Table'!$AS342-42.834*'BMP P Tracking Table'!$AR342)^2-(4*(149.919*'BMP P Tracking Table'!$AR342+236.676*'BMP P Tracking Table'!$AS342+726*'BMP P Tracking Table'!$AT342+996.798*'BMP P Tracking Table'!$AU342)*-'BMP P Tracking Table'!$AX342)))/(2*(149.919*'BMP P Tracking Table'!$AR342+236.676*'BMP P Tracking Table'!$AS342+726*'BMP P Tracking Table'!$AT342+996.798*'BMP P Tracking Table'!$AU342))))),MIN(2,IF('BMP P Tracking Table'!$AQ342="Total Pervious",(-(3630*'BMP P Tracking Table'!$V342+20.691*'BMP P Tracking Table'!$AB342)+SQRT((3630*'BMP P Tracking Table'!$V342+20.691*'BMP P Tracking Table'!$AB342)^2-(4*(996.798*'BMP P Tracking Table'!$AB342)*-'BMP P Tracking Table'!$AX342)))/(2*(996.798*'BMP P Tracking Table'!$AB342)),IF(SUM('BMP P Tracking Table'!$X342:$AA342)=0,'BMP P Tracking Table'!$AX342/(-3630*'BMP P Tracking Table'!$V342),(-(3630*'BMP P Tracking Table'!$V342+20.691*'BMP P Tracking Table'!$AA342-216.711*'BMP P Tracking Table'!$Z342-83.853*'BMP P Tracking Table'!$Y342-42.834*'BMP P Tracking Table'!$X342)+SQRT((3630*'BMP P Tracking Table'!$V342+20.691*'BMP P Tracking Table'!$AA342-216.711*'BMP P Tracking Table'!$Z342-83.853*'BMP P Tracking Table'!$Y342-42.834*'BMP P Tracking Table'!$X342)^2-(4*(149.919*'BMP P Tracking Table'!$X342+236.676*'BMP P Tracking Table'!$Y342+726*'BMP P Tracking Table'!$Z342+996.798*'BMP P Tracking Table'!$AA342)*-'BMP P Tracking Table'!$AX342)))/(2*(149.919*'BMP P Tracking Table'!$X342+236.676*'BMP P Tracking Table'!$Y342+726*'BMP P Tracking Table'!$Z342+996.798*'BMP P Tracking Table'!$AA342)))))),"")</f>
        <v/>
      </c>
      <c r="BB342" s="102" t="str">
        <f>IFERROR((VLOOKUP(CONCATENATE('BMP P Tracking Table'!$AW342," ",'BMP P Tracking Table'!$AY342),'Performance Curves'!$C$1:$L$46,_xlfn.SINGLE(MATCH('BMP P Tracking Table'!$BA342,'Performance Curves'!$D$1:$L$1,1))+2,FALSE)-VLOOKUP(CONCATENATE('BMP P Tracking Table'!$AW342," ",'BMP P Tracking Table'!$AY342),'Performance Curves'!$C$1:$L$46,_xlfn.SINGLE(MATCH('BMP P Tracking Table'!$BA342,'Performance Curves'!$D$1:$L$1,1))+1,FALSE)),"")</f>
        <v/>
      </c>
      <c r="BC342" s="102" t="str">
        <f>IFERROR(('BMP P Tracking Table'!$BA342-INDEX('Performance Curves'!$D$1:$L$1,1,MATCH('BMP P Tracking Table'!$BA342,'Performance Curves'!$D$1:$L$1,1)))/(INDEX('Performance Curves'!$D$1:$L$1,1,MATCH('BMP P Tracking Table'!$BA342,'Performance Curves'!$D$1:$L$1,1)+1)-INDEX('Performance Curves'!$D$1:$L$1,1,MATCH('BMP P Tracking Table'!$BA342,'Performance Curves'!$D$1:$L$1,1))),"")</f>
        <v/>
      </c>
      <c r="BD342" s="103" t="str" cm="1">
        <f t="array" ref="BD342">IFERROR(IF('BMP P Tracking Table'!$BA342=2,VLOOKUP(CONCATENATE('BMP P Tracking Table'!$AW342," ",'BMP P Tracking Table'!$AY342),'Performance Curves'!$C$1:$L$44,_xlfn.SINGLE(MATCH('BMP P Tracking Table'!$BA342,'Performance Curves'!$D$1:$L$1,1))+1,FALSE),'BMP P Tracking Table'!$BB342*'BMP P Tracking Table'!$BC342+VLOOKUP(CONCATENATE('BMP P Tracking Table'!$AW342," ",'BMP P Tracking Table'!$AY342),'Performance Curves'!$C$1:$L$44,_xlfn.SINGLE(MATCH('BMP P Tracking Table'!$BA342,'Performance Curves'!$D$1:$L$1,1))+1,FALSE)),"")</f>
        <v/>
      </c>
      <c r="BE342" s="104" t="str">
        <f>IFERROR('BMP P Tracking Table'!$BD342*'BMP P Tracking Table'!$AZ342,"")</f>
        <v/>
      </c>
      <c r="BF342" s="98"/>
      <c r="BG342" s="37">
        <f t="shared" si="38"/>
        <v>0</v>
      </c>
    </row>
    <row r="343" spans="2:59" s="36" customFormat="1">
      <c r="B343" s="65"/>
      <c r="C343" s="65"/>
      <c r="D343" s="65"/>
      <c r="E343" s="65"/>
      <c r="F343" s="94"/>
      <c r="G343" s="94"/>
      <c r="H343" s="65"/>
      <c r="I343" s="65"/>
      <c r="J343" s="65"/>
      <c r="K343" s="95"/>
      <c r="L343" s="65"/>
      <c r="M343" s="65"/>
      <c r="N343" s="65"/>
      <c r="O343" s="65"/>
      <c r="P343" s="65"/>
      <c r="Q343" s="65"/>
      <c r="R343" s="65" t="str">
        <f>IFERROR(VLOOKUP('BMP P Tracking Table'!$Q343,Dropdowns!$C$2:$E$15,3,FALSE),"")</f>
        <v/>
      </c>
      <c r="S343" s="65" t="str">
        <f>IFERROR(VLOOKUP('BMP P Tracking Table'!$R343,Dropdowns!$Q$3:$R$23,2,FALSE),"")</f>
        <v/>
      </c>
      <c r="T343" s="65"/>
      <c r="U343" s="65"/>
      <c r="V343" s="65"/>
      <c r="W343" s="65"/>
      <c r="X343" s="65"/>
      <c r="Y343" s="65"/>
      <c r="Z343" s="65"/>
      <c r="AA343" s="65"/>
      <c r="AB343" s="65"/>
      <c r="AC343" s="97"/>
      <c r="AD343" s="65"/>
      <c r="AE343" s="104" t="str">
        <f>IFERROR('BMP P Tracking Table'!$V343*VLOOKUP('BMP P Tracking Table'!$R343,'Loading Rates'!$B$1:$L$24,4,FALSE)+IF('BMP P Tracking Table'!$W343="By HSG",'BMP P Tracking Table'!$X343*VLOOKUP('BMP P Tracking Table'!$R343,'Loading Rates'!$B$1:$L$24,6,FALSE)+'BMP P Tracking Table'!$Y343*VLOOKUP('BMP P Tracking Table'!$R343,'Loading Rates'!$B$1:$L$24,7,FALSE)+'BMP P Tracking Table'!$Z343*VLOOKUP('BMP P Tracking Table'!$R343,'Loading Rates'!$B$1:$L$24,8,FALSE)+'BMP P Tracking Table'!$AA343*VLOOKUP('BMP P Tracking Table'!$R343,'Loading Rates'!$B$1:$L$24,9,FALSE),'BMP P Tracking Table'!$AB343*VLOOKUP('BMP P Tracking Table'!$R343,'Loading Rates'!$B$1:$L$24,10,FALSE)),"")</f>
        <v/>
      </c>
      <c r="AF343" s="104" t="str">
        <f>IFERROR(MIN(2,IF('BMP P Tracking Table'!$W343="Total Pervious",(-(3630*'BMP P Tracking Table'!$V343+20.691*'BMP P Tracking Table'!$AB343)+SQRT((3630*'BMP P Tracking Table'!$V343+20.691*'BMP P Tracking Table'!$AB343)^2-(4*(996.798*'BMP P Tracking Table'!$AB343)*-'BMP P Tracking Table'!$AC343)))/(2*(996.798*'BMP P Tracking Table'!$AB343)),IF(SUM('BMP P Tracking Table'!$X343:$AA343)=0,'BMP P Tracking Table'!$AC343/(-3630*'BMP P Tracking Table'!$V343),(-(3630*'BMP P Tracking Table'!$V343+20.691*'BMP P Tracking Table'!$AA343-216.711*'BMP P Tracking Table'!$Z343-83.853*'BMP P Tracking Table'!$Y343-42.834*'BMP P Tracking Table'!$X343)+SQRT((3630*'BMP P Tracking Table'!$V343+20.691*'BMP P Tracking Table'!$AA343-216.711*'BMP P Tracking Table'!$Z343-83.853*'BMP P Tracking Table'!$Y343-42.834*'BMP P Tracking Table'!$X343)^2-(4*(149.919*'BMP P Tracking Table'!$X343+236.676*'BMP P Tracking Table'!$Y343+726*'BMP P Tracking Table'!$Z343+996.798*'BMP P Tracking Table'!$AA343)*-'BMP P Tracking Table'!$AC343)))/(2*(149.919*'BMP P Tracking Table'!$X343+236.676*'BMP P Tracking Table'!$Y343+726*'BMP P Tracking Table'!$Z343+996.798*'BMP P Tracking Table'!$AA343))))),"")</f>
        <v/>
      </c>
      <c r="AG343" s="104" t="str">
        <f>IFERROR((VLOOKUP(CONCATENATE('BMP P Tracking Table'!$U343," ",'BMP P Tracking Table'!$AD343),'Performance Curves'!$C$1:$L$46,_xlfn.SINGLE(MATCH('BMP P Tracking Table'!$AF343,'Performance Curves'!$D$1:$L$1,1))+2,FALSE)-VLOOKUP(CONCATENATE('BMP P Tracking Table'!$U343," ",'BMP P Tracking Table'!$AD343),'Performance Curves'!$C$1:$L$46,_xlfn.SINGLE(MATCH('BMP P Tracking Table'!$AF343,'Performance Curves'!$D$1:$L$1,1))+1,FALSE)),"")</f>
        <v/>
      </c>
      <c r="AH343" s="104" t="str">
        <f>IFERROR(('BMP P Tracking Table'!$AF343-INDEX('Performance Curves'!$D$1:$L$1,1,MATCH('BMP P Tracking Table'!$AF343,'Performance Curves'!$D$1:$L$1,1)))/(INDEX('Performance Curves'!$D$1:$L$1,1,MATCH('BMP P Tracking Table'!$AF343,'Performance Curves'!$D$1:$L$1,1)+1)-INDEX('Performance Curves'!$D$1:$L$1,1,MATCH('BMP P Tracking Table'!$AF343,'Performance Curves'!$D$1:$L$1,1))),"")</f>
        <v/>
      </c>
      <c r="AI343" s="103" t="str">
        <f>IFERROR(IF('BMP P Tracking Table'!$AF343=2,VLOOKUP(CONCATENATE('BMP P Tracking Table'!$U343," ",'BMP P Tracking Table'!$AD343),'Performance Curves'!$C$1:$L$46,_xlfn.SINGLE(MATCH('BMP P Tracking Table'!$AF343,'Performance Curves'!$D$1:$L$1,1))+1,FALSE),'BMP P Tracking Table'!$AG343*'BMP P Tracking Table'!$AH343+VLOOKUP(CONCATENATE('BMP P Tracking Table'!$U343," ",'BMP P Tracking Table'!$AD343),'Performance Curves'!$C$1:$L$46,_xlfn.SINGLE(MATCH('BMP P Tracking Table'!$AF343,'Performance Curves'!$D$1:$L$1,1))+1,FALSE)),"")</f>
        <v/>
      </c>
      <c r="AJ343" s="104" t="str">
        <f>IFERROR('BMP P Tracking Table'!$AI343*'BMP P Tracking Table'!$AE343,"")</f>
        <v/>
      </c>
      <c r="AK343" s="65"/>
      <c r="AL343" s="98"/>
      <c r="AM343" s="98"/>
      <c r="AN343" s="64">
        <v>1</v>
      </c>
      <c r="AO343" s="102" t="str">
        <f t="shared" si="37"/>
        <v/>
      </c>
      <c r="AP343" s="98"/>
      <c r="AQ343" s="98"/>
      <c r="AR343" s="98"/>
      <c r="AS343" s="98"/>
      <c r="AT343" s="98"/>
      <c r="AU343" s="98"/>
      <c r="AV343" s="98"/>
      <c r="AW343" s="65"/>
      <c r="AX343" s="99"/>
      <c r="AY343" s="99"/>
      <c r="AZ343" s="104" t="str">
        <f>IF('BMP P Tracking Table'!$AL343="Yes",IF('BMP P Tracking Table'!$AM343="No",'BMP P Tracking Table'!$V343*VLOOKUP('BMP P Tracking Table'!$R343,'Loading Rates'!$B$1:$L$24,4,FALSE)+IF('BMP P Tracking Table'!$W343="By HSG",'BMP P Tracking Table'!$X343*VLOOKUP('BMP P Tracking Table'!$R343,'Loading Rates'!$B$1:$L$24,6,FALSE)+'BMP P Tracking Table'!$Y343*VLOOKUP('BMP P Tracking Table'!$R343,'Loading Rates'!$B$1:$L$24,7,FALSE)+'BMP P Tracking Table'!$Z343*VLOOKUP('BMP P Tracking Table'!$R343,'Loading Rates'!$B$1:$L$24,8,FALSE)+'BMP P Tracking Table'!$AA343*VLOOKUP('BMP P Tracking Table'!$R343,'Loading Rates'!$B$1:$L$24,9,FALSE),'BMP P Tracking Table'!$AB343*VLOOKUP('BMP P Tracking Table'!$R343,'Loading Rates'!$B$1:$L$24,10,FALSE)),'BMP P Tracking Table'!$AP343*VLOOKUP('BMP P Tracking Table'!$R343,'Loading Rates'!$B$1:$L$24,4,FALSE)+IF('BMP P Tracking Table'!$AQ343="By HSG",'BMP P Tracking Table'!$AR343*VLOOKUP('BMP P Tracking Table'!$R343,'Loading Rates'!$B$1:$L$24,6,FALSE)+'BMP P Tracking Table'!$AS343*VLOOKUP('BMP P Tracking Table'!$R343,'Loading Rates'!$B$1:$L$24,7,FALSE)+'BMP P Tracking Table'!$AT343*VLOOKUP('BMP P Tracking Table'!$R343,'Loading Rates'!$B$1:$L$24,8,FALSE)+'BMP P Tracking Table'!$AU343*VLOOKUP('BMP P Tracking Table'!$R343,'Loading Rates'!$B$1:$L$24,9,FALSE),'BMP P Tracking Table'!$AV343*VLOOKUP('BMP P Tracking Table'!$R343,'Loading Rates'!$B$1:$L$24,10,FALSE))),"")</f>
        <v/>
      </c>
      <c r="BA343" s="104" t="str">
        <f>IFERROR(IF('BMP P Tracking Table'!$AM343="Yes",MIN(2,IF('BMP P Tracking Table'!$AQ343="Total Pervious",(-(3630*'BMP P Tracking Table'!$AP343+20.691*'BMP P Tracking Table'!$AV343)+SQRT((3630*'BMP P Tracking Table'!$AP343+20.691*'BMP P Tracking Table'!$AV343)^2-(4*(996.798*'BMP P Tracking Table'!$AV343)*-'BMP P Tracking Table'!$AX343)))/(2*(996.798*'BMP P Tracking Table'!$AV343)),IF(SUM('BMP P Tracking Table'!$AR343:$AU343)=0,'BMP P Tracking Table'!$AV343/(-3630*'BMP P Tracking Table'!$AP343),(-(3630*'BMP P Tracking Table'!$AP343+20.691*'BMP P Tracking Table'!$AU343-216.711*'BMP P Tracking Table'!$AT343-83.853*'BMP P Tracking Table'!$AS343-42.834*'BMP P Tracking Table'!$AR343)+SQRT((3630*'BMP P Tracking Table'!$AP343+20.691*'BMP P Tracking Table'!$AU343-216.711*'BMP P Tracking Table'!$AT343-83.853*'BMP P Tracking Table'!$AS343-42.834*'BMP P Tracking Table'!$AR343)^2-(4*(149.919*'BMP P Tracking Table'!$AR343+236.676*'BMP P Tracking Table'!$AS343+726*'BMP P Tracking Table'!$AT343+996.798*'BMP P Tracking Table'!$AU343)*-'BMP P Tracking Table'!$AX343)))/(2*(149.919*'BMP P Tracking Table'!$AR343+236.676*'BMP P Tracking Table'!$AS343+726*'BMP P Tracking Table'!$AT343+996.798*'BMP P Tracking Table'!$AU343))))),MIN(2,IF('BMP P Tracking Table'!$AQ343="Total Pervious",(-(3630*'BMP P Tracking Table'!$V343+20.691*'BMP P Tracking Table'!$AB343)+SQRT((3630*'BMP P Tracking Table'!$V343+20.691*'BMP P Tracking Table'!$AB343)^2-(4*(996.798*'BMP P Tracking Table'!$AB343)*-'BMP P Tracking Table'!$AX343)))/(2*(996.798*'BMP P Tracking Table'!$AB343)),IF(SUM('BMP P Tracking Table'!$X343:$AA343)=0,'BMP P Tracking Table'!$AX343/(-3630*'BMP P Tracking Table'!$V343),(-(3630*'BMP P Tracking Table'!$V343+20.691*'BMP P Tracking Table'!$AA343-216.711*'BMP P Tracking Table'!$Z343-83.853*'BMP P Tracking Table'!$Y343-42.834*'BMP P Tracking Table'!$X343)+SQRT((3630*'BMP P Tracking Table'!$V343+20.691*'BMP P Tracking Table'!$AA343-216.711*'BMP P Tracking Table'!$Z343-83.853*'BMP P Tracking Table'!$Y343-42.834*'BMP P Tracking Table'!$X343)^2-(4*(149.919*'BMP P Tracking Table'!$X343+236.676*'BMP P Tracking Table'!$Y343+726*'BMP P Tracking Table'!$Z343+996.798*'BMP P Tracking Table'!$AA343)*-'BMP P Tracking Table'!$AX343)))/(2*(149.919*'BMP P Tracking Table'!$X343+236.676*'BMP P Tracking Table'!$Y343+726*'BMP P Tracking Table'!$Z343+996.798*'BMP P Tracking Table'!$AA343)))))),"")</f>
        <v/>
      </c>
      <c r="BB343" s="102" t="str">
        <f>IFERROR((VLOOKUP(CONCATENATE('BMP P Tracking Table'!$AW343," ",'BMP P Tracking Table'!$AY343),'Performance Curves'!$C$1:$L$46,_xlfn.SINGLE(MATCH('BMP P Tracking Table'!$BA343,'Performance Curves'!$D$1:$L$1,1))+2,FALSE)-VLOOKUP(CONCATENATE('BMP P Tracking Table'!$AW343," ",'BMP P Tracking Table'!$AY343),'Performance Curves'!$C$1:$L$46,_xlfn.SINGLE(MATCH('BMP P Tracking Table'!$BA343,'Performance Curves'!$D$1:$L$1,1))+1,FALSE)),"")</f>
        <v/>
      </c>
      <c r="BC343" s="102" t="str">
        <f>IFERROR(('BMP P Tracking Table'!$BA343-INDEX('Performance Curves'!$D$1:$L$1,1,MATCH('BMP P Tracking Table'!$BA343,'Performance Curves'!$D$1:$L$1,1)))/(INDEX('Performance Curves'!$D$1:$L$1,1,MATCH('BMP P Tracking Table'!$BA343,'Performance Curves'!$D$1:$L$1,1)+1)-INDEX('Performance Curves'!$D$1:$L$1,1,MATCH('BMP P Tracking Table'!$BA343,'Performance Curves'!$D$1:$L$1,1))),"")</f>
        <v/>
      </c>
      <c r="BD343" s="103" t="str" cm="1">
        <f t="array" ref="BD343">IFERROR(IF('BMP P Tracking Table'!$BA343=2,VLOOKUP(CONCATENATE('BMP P Tracking Table'!$AW343," ",'BMP P Tracking Table'!$AY343),'Performance Curves'!$C$1:$L$44,_xlfn.SINGLE(MATCH('BMP P Tracking Table'!$BA343,'Performance Curves'!$D$1:$L$1,1))+1,FALSE),'BMP P Tracking Table'!$BB343*'BMP P Tracking Table'!$BC343+VLOOKUP(CONCATENATE('BMP P Tracking Table'!$AW343," ",'BMP P Tracking Table'!$AY343),'Performance Curves'!$C$1:$L$44,_xlfn.SINGLE(MATCH('BMP P Tracking Table'!$BA343,'Performance Curves'!$D$1:$L$1,1))+1,FALSE)),"")</f>
        <v/>
      </c>
      <c r="BE343" s="104" t="str">
        <f>IFERROR('BMP P Tracking Table'!$BD343*'BMP P Tracking Table'!$AZ343,"")</f>
        <v/>
      </c>
      <c r="BF343" s="98"/>
      <c r="BG343" s="37">
        <f t="shared" si="38"/>
        <v>0</v>
      </c>
    </row>
    <row r="344" spans="2:59" s="36" customFormat="1">
      <c r="B344" s="65"/>
      <c r="C344" s="65"/>
      <c r="D344" s="65"/>
      <c r="E344" s="65"/>
      <c r="F344" s="94"/>
      <c r="G344" s="94"/>
      <c r="H344" s="65"/>
      <c r="I344" s="65"/>
      <c r="J344" s="65"/>
      <c r="K344" s="95"/>
      <c r="L344" s="65"/>
      <c r="M344" s="65"/>
      <c r="N344" s="65"/>
      <c r="O344" s="65"/>
      <c r="P344" s="65"/>
      <c r="Q344" s="65"/>
      <c r="R344" s="65" t="str">
        <f>IFERROR(VLOOKUP('BMP P Tracking Table'!$Q344,Dropdowns!$C$2:$E$15,3,FALSE),"")</f>
        <v/>
      </c>
      <c r="S344" s="65" t="str">
        <f>IFERROR(VLOOKUP('BMP P Tracking Table'!$R344,Dropdowns!$Q$3:$R$23,2,FALSE),"")</f>
        <v/>
      </c>
      <c r="T344" s="65"/>
      <c r="U344" s="65"/>
      <c r="V344" s="65"/>
      <c r="W344" s="65"/>
      <c r="X344" s="65"/>
      <c r="Y344" s="65"/>
      <c r="Z344" s="65"/>
      <c r="AA344" s="65"/>
      <c r="AB344" s="65"/>
      <c r="AC344" s="97"/>
      <c r="AD344" s="65"/>
      <c r="AE344" s="104" t="str">
        <f>IFERROR('BMP P Tracking Table'!$V344*VLOOKUP('BMP P Tracking Table'!$R344,'Loading Rates'!$B$1:$L$24,4,FALSE)+IF('BMP P Tracking Table'!$W344="By HSG",'BMP P Tracking Table'!$X344*VLOOKUP('BMP P Tracking Table'!$R344,'Loading Rates'!$B$1:$L$24,6,FALSE)+'BMP P Tracking Table'!$Y344*VLOOKUP('BMP P Tracking Table'!$R344,'Loading Rates'!$B$1:$L$24,7,FALSE)+'BMP P Tracking Table'!$Z344*VLOOKUP('BMP P Tracking Table'!$R344,'Loading Rates'!$B$1:$L$24,8,FALSE)+'BMP P Tracking Table'!$AA344*VLOOKUP('BMP P Tracking Table'!$R344,'Loading Rates'!$B$1:$L$24,9,FALSE),'BMP P Tracking Table'!$AB344*VLOOKUP('BMP P Tracking Table'!$R344,'Loading Rates'!$B$1:$L$24,10,FALSE)),"")</f>
        <v/>
      </c>
      <c r="AF344" s="104" t="str">
        <f>IFERROR(MIN(2,IF('BMP P Tracking Table'!$W344="Total Pervious",(-(3630*'BMP P Tracking Table'!$V344+20.691*'BMP P Tracking Table'!$AB344)+SQRT((3630*'BMP P Tracking Table'!$V344+20.691*'BMP P Tracking Table'!$AB344)^2-(4*(996.798*'BMP P Tracking Table'!$AB344)*-'BMP P Tracking Table'!$AC344)))/(2*(996.798*'BMP P Tracking Table'!$AB344)),IF(SUM('BMP P Tracking Table'!$X344:$AA344)=0,'BMP P Tracking Table'!$AC344/(-3630*'BMP P Tracking Table'!$V344),(-(3630*'BMP P Tracking Table'!$V344+20.691*'BMP P Tracking Table'!$AA344-216.711*'BMP P Tracking Table'!$Z344-83.853*'BMP P Tracking Table'!$Y344-42.834*'BMP P Tracking Table'!$X344)+SQRT((3630*'BMP P Tracking Table'!$V344+20.691*'BMP P Tracking Table'!$AA344-216.711*'BMP P Tracking Table'!$Z344-83.853*'BMP P Tracking Table'!$Y344-42.834*'BMP P Tracking Table'!$X344)^2-(4*(149.919*'BMP P Tracking Table'!$X344+236.676*'BMP P Tracking Table'!$Y344+726*'BMP P Tracking Table'!$Z344+996.798*'BMP P Tracking Table'!$AA344)*-'BMP P Tracking Table'!$AC344)))/(2*(149.919*'BMP P Tracking Table'!$X344+236.676*'BMP P Tracking Table'!$Y344+726*'BMP P Tracking Table'!$Z344+996.798*'BMP P Tracking Table'!$AA344))))),"")</f>
        <v/>
      </c>
      <c r="AG344" s="104" t="str">
        <f>IFERROR((VLOOKUP(CONCATENATE('BMP P Tracking Table'!$U344," ",'BMP P Tracking Table'!$AD344),'Performance Curves'!$C$1:$L$46,_xlfn.SINGLE(MATCH('BMP P Tracking Table'!$AF344,'Performance Curves'!$D$1:$L$1,1))+2,FALSE)-VLOOKUP(CONCATENATE('BMP P Tracking Table'!$U344," ",'BMP P Tracking Table'!$AD344),'Performance Curves'!$C$1:$L$46,_xlfn.SINGLE(MATCH('BMP P Tracking Table'!$AF344,'Performance Curves'!$D$1:$L$1,1))+1,FALSE)),"")</f>
        <v/>
      </c>
      <c r="AH344" s="104" t="str">
        <f>IFERROR(('BMP P Tracking Table'!$AF344-INDEX('Performance Curves'!$D$1:$L$1,1,MATCH('BMP P Tracking Table'!$AF344,'Performance Curves'!$D$1:$L$1,1)))/(INDEX('Performance Curves'!$D$1:$L$1,1,MATCH('BMP P Tracking Table'!$AF344,'Performance Curves'!$D$1:$L$1,1)+1)-INDEX('Performance Curves'!$D$1:$L$1,1,MATCH('BMP P Tracking Table'!$AF344,'Performance Curves'!$D$1:$L$1,1))),"")</f>
        <v/>
      </c>
      <c r="AI344" s="103" t="str">
        <f>IFERROR(IF('BMP P Tracking Table'!$AF344=2,VLOOKUP(CONCATENATE('BMP P Tracking Table'!$U344," ",'BMP P Tracking Table'!$AD344),'Performance Curves'!$C$1:$L$46,_xlfn.SINGLE(MATCH('BMP P Tracking Table'!$AF344,'Performance Curves'!$D$1:$L$1,1))+1,FALSE),'BMP P Tracking Table'!$AG344*'BMP P Tracking Table'!$AH344+VLOOKUP(CONCATENATE('BMP P Tracking Table'!$U344," ",'BMP P Tracking Table'!$AD344),'Performance Curves'!$C$1:$L$46,_xlfn.SINGLE(MATCH('BMP P Tracking Table'!$AF344,'Performance Curves'!$D$1:$L$1,1))+1,FALSE)),"")</f>
        <v/>
      </c>
      <c r="AJ344" s="104" t="str">
        <f>IFERROR('BMP P Tracking Table'!$AI344*'BMP P Tracking Table'!$AE344,"")</f>
        <v/>
      </c>
      <c r="AK344" s="65"/>
      <c r="AL344" s="98"/>
      <c r="AM344" s="98"/>
      <c r="AN344" s="64">
        <v>1</v>
      </c>
      <c r="AO344" s="102" t="str">
        <f t="shared" si="37"/>
        <v/>
      </c>
      <c r="AP344" s="98"/>
      <c r="AQ344" s="98"/>
      <c r="AR344" s="98"/>
      <c r="AS344" s="98"/>
      <c r="AT344" s="98"/>
      <c r="AU344" s="98"/>
      <c r="AV344" s="98"/>
      <c r="AW344" s="65"/>
      <c r="AX344" s="99"/>
      <c r="AY344" s="99"/>
      <c r="AZ344" s="104" t="str">
        <f>IF('BMP P Tracking Table'!$AL344="Yes",IF('BMP P Tracking Table'!$AM344="No",'BMP P Tracking Table'!$V344*VLOOKUP('BMP P Tracking Table'!$R344,'Loading Rates'!$B$1:$L$24,4,FALSE)+IF('BMP P Tracking Table'!$W344="By HSG",'BMP P Tracking Table'!$X344*VLOOKUP('BMP P Tracking Table'!$R344,'Loading Rates'!$B$1:$L$24,6,FALSE)+'BMP P Tracking Table'!$Y344*VLOOKUP('BMP P Tracking Table'!$R344,'Loading Rates'!$B$1:$L$24,7,FALSE)+'BMP P Tracking Table'!$Z344*VLOOKUP('BMP P Tracking Table'!$R344,'Loading Rates'!$B$1:$L$24,8,FALSE)+'BMP P Tracking Table'!$AA344*VLOOKUP('BMP P Tracking Table'!$R344,'Loading Rates'!$B$1:$L$24,9,FALSE),'BMP P Tracking Table'!$AB344*VLOOKUP('BMP P Tracking Table'!$R344,'Loading Rates'!$B$1:$L$24,10,FALSE)),'BMP P Tracking Table'!$AP344*VLOOKUP('BMP P Tracking Table'!$R344,'Loading Rates'!$B$1:$L$24,4,FALSE)+IF('BMP P Tracking Table'!$AQ344="By HSG",'BMP P Tracking Table'!$AR344*VLOOKUP('BMP P Tracking Table'!$R344,'Loading Rates'!$B$1:$L$24,6,FALSE)+'BMP P Tracking Table'!$AS344*VLOOKUP('BMP P Tracking Table'!$R344,'Loading Rates'!$B$1:$L$24,7,FALSE)+'BMP P Tracking Table'!$AT344*VLOOKUP('BMP P Tracking Table'!$R344,'Loading Rates'!$B$1:$L$24,8,FALSE)+'BMP P Tracking Table'!$AU344*VLOOKUP('BMP P Tracking Table'!$R344,'Loading Rates'!$B$1:$L$24,9,FALSE),'BMP P Tracking Table'!$AV344*VLOOKUP('BMP P Tracking Table'!$R344,'Loading Rates'!$B$1:$L$24,10,FALSE))),"")</f>
        <v/>
      </c>
      <c r="BA344" s="104" t="str">
        <f>IFERROR(IF('BMP P Tracking Table'!$AM344="Yes",MIN(2,IF('BMP P Tracking Table'!$AQ344="Total Pervious",(-(3630*'BMP P Tracking Table'!$AP344+20.691*'BMP P Tracking Table'!$AV344)+SQRT((3630*'BMP P Tracking Table'!$AP344+20.691*'BMP P Tracking Table'!$AV344)^2-(4*(996.798*'BMP P Tracking Table'!$AV344)*-'BMP P Tracking Table'!$AX344)))/(2*(996.798*'BMP P Tracking Table'!$AV344)),IF(SUM('BMP P Tracking Table'!$AR344:$AU344)=0,'BMP P Tracking Table'!$AV344/(-3630*'BMP P Tracking Table'!$AP344),(-(3630*'BMP P Tracking Table'!$AP344+20.691*'BMP P Tracking Table'!$AU344-216.711*'BMP P Tracking Table'!$AT344-83.853*'BMP P Tracking Table'!$AS344-42.834*'BMP P Tracking Table'!$AR344)+SQRT((3630*'BMP P Tracking Table'!$AP344+20.691*'BMP P Tracking Table'!$AU344-216.711*'BMP P Tracking Table'!$AT344-83.853*'BMP P Tracking Table'!$AS344-42.834*'BMP P Tracking Table'!$AR344)^2-(4*(149.919*'BMP P Tracking Table'!$AR344+236.676*'BMP P Tracking Table'!$AS344+726*'BMP P Tracking Table'!$AT344+996.798*'BMP P Tracking Table'!$AU344)*-'BMP P Tracking Table'!$AX344)))/(2*(149.919*'BMP P Tracking Table'!$AR344+236.676*'BMP P Tracking Table'!$AS344+726*'BMP P Tracking Table'!$AT344+996.798*'BMP P Tracking Table'!$AU344))))),MIN(2,IF('BMP P Tracking Table'!$AQ344="Total Pervious",(-(3630*'BMP P Tracking Table'!$V344+20.691*'BMP P Tracking Table'!$AB344)+SQRT((3630*'BMP P Tracking Table'!$V344+20.691*'BMP P Tracking Table'!$AB344)^2-(4*(996.798*'BMP P Tracking Table'!$AB344)*-'BMP P Tracking Table'!$AX344)))/(2*(996.798*'BMP P Tracking Table'!$AB344)),IF(SUM('BMP P Tracking Table'!$X344:$AA344)=0,'BMP P Tracking Table'!$AX344/(-3630*'BMP P Tracking Table'!$V344),(-(3630*'BMP P Tracking Table'!$V344+20.691*'BMP P Tracking Table'!$AA344-216.711*'BMP P Tracking Table'!$Z344-83.853*'BMP P Tracking Table'!$Y344-42.834*'BMP P Tracking Table'!$X344)+SQRT((3630*'BMP P Tracking Table'!$V344+20.691*'BMP P Tracking Table'!$AA344-216.711*'BMP P Tracking Table'!$Z344-83.853*'BMP P Tracking Table'!$Y344-42.834*'BMP P Tracking Table'!$X344)^2-(4*(149.919*'BMP P Tracking Table'!$X344+236.676*'BMP P Tracking Table'!$Y344+726*'BMP P Tracking Table'!$Z344+996.798*'BMP P Tracking Table'!$AA344)*-'BMP P Tracking Table'!$AX344)))/(2*(149.919*'BMP P Tracking Table'!$X344+236.676*'BMP P Tracking Table'!$Y344+726*'BMP P Tracking Table'!$Z344+996.798*'BMP P Tracking Table'!$AA344)))))),"")</f>
        <v/>
      </c>
      <c r="BB344" s="102" t="str">
        <f>IFERROR((VLOOKUP(CONCATENATE('BMP P Tracking Table'!$AW344," ",'BMP P Tracking Table'!$AY344),'Performance Curves'!$C$1:$L$46,_xlfn.SINGLE(MATCH('BMP P Tracking Table'!$BA344,'Performance Curves'!$D$1:$L$1,1))+2,FALSE)-VLOOKUP(CONCATENATE('BMP P Tracking Table'!$AW344," ",'BMP P Tracking Table'!$AY344),'Performance Curves'!$C$1:$L$46,_xlfn.SINGLE(MATCH('BMP P Tracking Table'!$BA344,'Performance Curves'!$D$1:$L$1,1))+1,FALSE)),"")</f>
        <v/>
      </c>
      <c r="BC344" s="102" t="str">
        <f>IFERROR(('BMP P Tracking Table'!$BA344-INDEX('Performance Curves'!$D$1:$L$1,1,MATCH('BMP P Tracking Table'!$BA344,'Performance Curves'!$D$1:$L$1,1)))/(INDEX('Performance Curves'!$D$1:$L$1,1,MATCH('BMP P Tracking Table'!$BA344,'Performance Curves'!$D$1:$L$1,1)+1)-INDEX('Performance Curves'!$D$1:$L$1,1,MATCH('BMP P Tracking Table'!$BA344,'Performance Curves'!$D$1:$L$1,1))),"")</f>
        <v/>
      </c>
      <c r="BD344" s="103" t="str" cm="1">
        <f t="array" ref="BD344">IFERROR(IF('BMP P Tracking Table'!$BA344=2,VLOOKUP(CONCATENATE('BMP P Tracking Table'!$AW344," ",'BMP P Tracking Table'!$AY344),'Performance Curves'!$C$1:$L$44,_xlfn.SINGLE(MATCH('BMP P Tracking Table'!$BA344,'Performance Curves'!$D$1:$L$1,1))+1,FALSE),'BMP P Tracking Table'!$BB344*'BMP P Tracking Table'!$BC344+VLOOKUP(CONCATENATE('BMP P Tracking Table'!$AW344," ",'BMP P Tracking Table'!$AY344),'Performance Curves'!$C$1:$L$44,_xlfn.SINGLE(MATCH('BMP P Tracking Table'!$BA344,'Performance Curves'!$D$1:$L$1,1))+1,FALSE)),"")</f>
        <v/>
      </c>
      <c r="BE344" s="104" t="str">
        <f>IFERROR('BMP P Tracking Table'!$BD344*'BMP P Tracking Table'!$AZ344,"")</f>
        <v/>
      </c>
      <c r="BF344" s="98"/>
      <c r="BG344" s="37">
        <f t="shared" si="38"/>
        <v>0</v>
      </c>
    </row>
    <row r="345" spans="2:59" s="36" customFormat="1">
      <c r="B345" s="65"/>
      <c r="C345" s="65"/>
      <c r="D345" s="65"/>
      <c r="E345" s="65"/>
      <c r="F345" s="94"/>
      <c r="G345" s="94"/>
      <c r="H345" s="65"/>
      <c r="I345" s="65"/>
      <c r="J345" s="65"/>
      <c r="K345" s="95"/>
      <c r="L345" s="65"/>
      <c r="M345" s="65"/>
      <c r="N345" s="65"/>
      <c r="O345" s="65"/>
      <c r="P345" s="65"/>
      <c r="Q345" s="65"/>
      <c r="R345" s="65" t="str">
        <f>IFERROR(VLOOKUP('BMP P Tracking Table'!$Q345,Dropdowns!$C$2:$E$15,3,FALSE),"")</f>
        <v/>
      </c>
      <c r="S345" s="65" t="str">
        <f>IFERROR(VLOOKUP('BMP P Tracking Table'!$R345,Dropdowns!$Q$3:$R$23,2,FALSE),"")</f>
        <v/>
      </c>
      <c r="T345" s="65"/>
      <c r="U345" s="65"/>
      <c r="V345" s="65"/>
      <c r="W345" s="65"/>
      <c r="X345" s="65"/>
      <c r="Y345" s="65"/>
      <c r="Z345" s="65"/>
      <c r="AA345" s="65"/>
      <c r="AB345" s="65"/>
      <c r="AC345" s="97"/>
      <c r="AD345" s="65"/>
      <c r="AE345" s="104" t="str">
        <f>IFERROR('BMP P Tracking Table'!$V345*VLOOKUP('BMP P Tracking Table'!$R345,'Loading Rates'!$B$1:$L$24,4,FALSE)+IF('BMP P Tracking Table'!$W345="By HSG",'BMP P Tracking Table'!$X345*VLOOKUP('BMP P Tracking Table'!$R345,'Loading Rates'!$B$1:$L$24,6,FALSE)+'BMP P Tracking Table'!$Y345*VLOOKUP('BMP P Tracking Table'!$R345,'Loading Rates'!$B$1:$L$24,7,FALSE)+'BMP P Tracking Table'!$Z345*VLOOKUP('BMP P Tracking Table'!$R345,'Loading Rates'!$B$1:$L$24,8,FALSE)+'BMP P Tracking Table'!$AA345*VLOOKUP('BMP P Tracking Table'!$R345,'Loading Rates'!$B$1:$L$24,9,FALSE),'BMP P Tracking Table'!$AB345*VLOOKUP('BMP P Tracking Table'!$R345,'Loading Rates'!$B$1:$L$24,10,FALSE)),"")</f>
        <v/>
      </c>
      <c r="AF345" s="104" t="str">
        <f>IFERROR(MIN(2,IF('BMP P Tracking Table'!$W345="Total Pervious",(-(3630*'BMP P Tracking Table'!$V345+20.691*'BMP P Tracking Table'!$AB345)+SQRT((3630*'BMP P Tracking Table'!$V345+20.691*'BMP P Tracking Table'!$AB345)^2-(4*(996.798*'BMP P Tracking Table'!$AB345)*-'BMP P Tracking Table'!$AC345)))/(2*(996.798*'BMP P Tracking Table'!$AB345)),IF(SUM('BMP P Tracking Table'!$X345:$AA345)=0,'BMP P Tracking Table'!$AC345/(-3630*'BMP P Tracking Table'!$V345),(-(3630*'BMP P Tracking Table'!$V345+20.691*'BMP P Tracking Table'!$AA345-216.711*'BMP P Tracking Table'!$Z345-83.853*'BMP P Tracking Table'!$Y345-42.834*'BMP P Tracking Table'!$X345)+SQRT((3630*'BMP P Tracking Table'!$V345+20.691*'BMP P Tracking Table'!$AA345-216.711*'BMP P Tracking Table'!$Z345-83.853*'BMP P Tracking Table'!$Y345-42.834*'BMP P Tracking Table'!$X345)^2-(4*(149.919*'BMP P Tracking Table'!$X345+236.676*'BMP P Tracking Table'!$Y345+726*'BMP P Tracking Table'!$Z345+996.798*'BMP P Tracking Table'!$AA345)*-'BMP P Tracking Table'!$AC345)))/(2*(149.919*'BMP P Tracking Table'!$X345+236.676*'BMP P Tracking Table'!$Y345+726*'BMP P Tracking Table'!$Z345+996.798*'BMP P Tracking Table'!$AA345))))),"")</f>
        <v/>
      </c>
      <c r="AG345" s="104" t="str">
        <f>IFERROR((VLOOKUP(CONCATENATE('BMP P Tracking Table'!$U345," ",'BMP P Tracking Table'!$AD345),'Performance Curves'!$C$1:$L$46,_xlfn.SINGLE(MATCH('BMP P Tracking Table'!$AF345,'Performance Curves'!$D$1:$L$1,1))+2,FALSE)-VLOOKUP(CONCATENATE('BMP P Tracking Table'!$U345," ",'BMP P Tracking Table'!$AD345),'Performance Curves'!$C$1:$L$46,_xlfn.SINGLE(MATCH('BMP P Tracking Table'!$AF345,'Performance Curves'!$D$1:$L$1,1))+1,FALSE)),"")</f>
        <v/>
      </c>
      <c r="AH345" s="104" t="str">
        <f>IFERROR(('BMP P Tracking Table'!$AF345-INDEX('Performance Curves'!$D$1:$L$1,1,MATCH('BMP P Tracking Table'!$AF345,'Performance Curves'!$D$1:$L$1,1)))/(INDEX('Performance Curves'!$D$1:$L$1,1,MATCH('BMP P Tracking Table'!$AF345,'Performance Curves'!$D$1:$L$1,1)+1)-INDEX('Performance Curves'!$D$1:$L$1,1,MATCH('BMP P Tracking Table'!$AF345,'Performance Curves'!$D$1:$L$1,1))),"")</f>
        <v/>
      </c>
      <c r="AI345" s="103" t="str">
        <f>IFERROR(IF('BMP P Tracking Table'!$AF345=2,VLOOKUP(CONCATENATE('BMP P Tracking Table'!$U345," ",'BMP P Tracking Table'!$AD345),'Performance Curves'!$C$1:$L$46,_xlfn.SINGLE(MATCH('BMP P Tracking Table'!$AF345,'Performance Curves'!$D$1:$L$1,1))+1,FALSE),'BMP P Tracking Table'!$AG345*'BMP P Tracking Table'!$AH345+VLOOKUP(CONCATENATE('BMP P Tracking Table'!$U345," ",'BMP P Tracking Table'!$AD345),'Performance Curves'!$C$1:$L$46,_xlfn.SINGLE(MATCH('BMP P Tracking Table'!$AF345,'Performance Curves'!$D$1:$L$1,1))+1,FALSE)),"")</f>
        <v/>
      </c>
      <c r="AJ345" s="104" t="str">
        <f>IFERROR('BMP P Tracking Table'!$AI345*'BMP P Tracking Table'!$AE345,"")</f>
        <v/>
      </c>
      <c r="AK345" s="65"/>
      <c r="AL345" s="98"/>
      <c r="AM345" s="98"/>
      <c r="AN345" s="64">
        <v>1</v>
      </c>
      <c r="AO345" s="102" t="str">
        <f t="shared" si="37"/>
        <v/>
      </c>
      <c r="AP345" s="98"/>
      <c r="AQ345" s="98"/>
      <c r="AR345" s="98"/>
      <c r="AS345" s="98"/>
      <c r="AT345" s="98"/>
      <c r="AU345" s="98"/>
      <c r="AV345" s="98"/>
      <c r="AW345" s="65"/>
      <c r="AX345" s="99"/>
      <c r="AY345" s="99"/>
      <c r="AZ345" s="104" t="str">
        <f>IF('BMP P Tracking Table'!$AL345="Yes",IF('BMP P Tracking Table'!$AM345="No",'BMP P Tracking Table'!$V345*VLOOKUP('BMP P Tracking Table'!$R345,'Loading Rates'!$B$1:$L$24,4,FALSE)+IF('BMP P Tracking Table'!$W345="By HSG",'BMP P Tracking Table'!$X345*VLOOKUP('BMP P Tracking Table'!$R345,'Loading Rates'!$B$1:$L$24,6,FALSE)+'BMP P Tracking Table'!$Y345*VLOOKUP('BMP P Tracking Table'!$R345,'Loading Rates'!$B$1:$L$24,7,FALSE)+'BMP P Tracking Table'!$Z345*VLOOKUP('BMP P Tracking Table'!$R345,'Loading Rates'!$B$1:$L$24,8,FALSE)+'BMP P Tracking Table'!$AA345*VLOOKUP('BMP P Tracking Table'!$R345,'Loading Rates'!$B$1:$L$24,9,FALSE),'BMP P Tracking Table'!$AB345*VLOOKUP('BMP P Tracking Table'!$R345,'Loading Rates'!$B$1:$L$24,10,FALSE)),'BMP P Tracking Table'!$AP345*VLOOKUP('BMP P Tracking Table'!$R345,'Loading Rates'!$B$1:$L$24,4,FALSE)+IF('BMP P Tracking Table'!$AQ345="By HSG",'BMP P Tracking Table'!$AR345*VLOOKUP('BMP P Tracking Table'!$R345,'Loading Rates'!$B$1:$L$24,6,FALSE)+'BMP P Tracking Table'!$AS345*VLOOKUP('BMP P Tracking Table'!$R345,'Loading Rates'!$B$1:$L$24,7,FALSE)+'BMP P Tracking Table'!$AT345*VLOOKUP('BMP P Tracking Table'!$R345,'Loading Rates'!$B$1:$L$24,8,FALSE)+'BMP P Tracking Table'!$AU345*VLOOKUP('BMP P Tracking Table'!$R345,'Loading Rates'!$B$1:$L$24,9,FALSE),'BMP P Tracking Table'!$AV345*VLOOKUP('BMP P Tracking Table'!$R345,'Loading Rates'!$B$1:$L$24,10,FALSE))),"")</f>
        <v/>
      </c>
      <c r="BA345" s="104" t="str">
        <f>IFERROR(IF('BMP P Tracking Table'!$AM345="Yes",MIN(2,IF('BMP P Tracking Table'!$AQ345="Total Pervious",(-(3630*'BMP P Tracking Table'!$AP345+20.691*'BMP P Tracking Table'!$AV345)+SQRT((3630*'BMP P Tracking Table'!$AP345+20.691*'BMP P Tracking Table'!$AV345)^2-(4*(996.798*'BMP P Tracking Table'!$AV345)*-'BMP P Tracking Table'!$AX345)))/(2*(996.798*'BMP P Tracking Table'!$AV345)),IF(SUM('BMP P Tracking Table'!$AR345:$AU345)=0,'BMP P Tracking Table'!$AV345/(-3630*'BMP P Tracking Table'!$AP345),(-(3630*'BMP P Tracking Table'!$AP345+20.691*'BMP P Tracking Table'!$AU345-216.711*'BMP P Tracking Table'!$AT345-83.853*'BMP P Tracking Table'!$AS345-42.834*'BMP P Tracking Table'!$AR345)+SQRT((3630*'BMP P Tracking Table'!$AP345+20.691*'BMP P Tracking Table'!$AU345-216.711*'BMP P Tracking Table'!$AT345-83.853*'BMP P Tracking Table'!$AS345-42.834*'BMP P Tracking Table'!$AR345)^2-(4*(149.919*'BMP P Tracking Table'!$AR345+236.676*'BMP P Tracking Table'!$AS345+726*'BMP P Tracking Table'!$AT345+996.798*'BMP P Tracking Table'!$AU345)*-'BMP P Tracking Table'!$AX345)))/(2*(149.919*'BMP P Tracking Table'!$AR345+236.676*'BMP P Tracking Table'!$AS345+726*'BMP P Tracking Table'!$AT345+996.798*'BMP P Tracking Table'!$AU345))))),MIN(2,IF('BMP P Tracking Table'!$AQ345="Total Pervious",(-(3630*'BMP P Tracking Table'!$V345+20.691*'BMP P Tracking Table'!$AB345)+SQRT((3630*'BMP P Tracking Table'!$V345+20.691*'BMP P Tracking Table'!$AB345)^2-(4*(996.798*'BMP P Tracking Table'!$AB345)*-'BMP P Tracking Table'!$AX345)))/(2*(996.798*'BMP P Tracking Table'!$AB345)),IF(SUM('BMP P Tracking Table'!$X345:$AA345)=0,'BMP P Tracking Table'!$AX345/(-3630*'BMP P Tracking Table'!$V345),(-(3630*'BMP P Tracking Table'!$V345+20.691*'BMP P Tracking Table'!$AA345-216.711*'BMP P Tracking Table'!$Z345-83.853*'BMP P Tracking Table'!$Y345-42.834*'BMP P Tracking Table'!$X345)+SQRT((3630*'BMP P Tracking Table'!$V345+20.691*'BMP P Tracking Table'!$AA345-216.711*'BMP P Tracking Table'!$Z345-83.853*'BMP P Tracking Table'!$Y345-42.834*'BMP P Tracking Table'!$X345)^2-(4*(149.919*'BMP P Tracking Table'!$X345+236.676*'BMP P Tracking Table'!$Y345+726*'BMP P Tracking Table'!$Z345+996.798*'BMP P Tracking Table'!$AA345)*-'BMP P Tracking Table'!$AX345)))/(2*(149.919*'BMP P Tracking Table'!$X345+236.676*'BMP P Tracking Table'!$Y345+726*'BMP P Tracking Table'!$Z345+996.798*'BMP P Tracking Table'!$AA345)))))),"")</f>
        <v/>
      </c>
      <c r="BB345" s="102" t="str">
        <f>IFERROR((VLOOKUP(CONCATENATE('BMP P Tracking Table'!$AW345," ",'BMP P Tracking Table'!$AY345),'Performance Curves'!$C$1:$L$46,_xlfn.SINGLE(MATCH('BMP P Tracking Table'!$BA345,'Performance Curves'!$D$1:$L$1,1))+2,FALSE)-VLOOKUP(CONCATENATE('BMP P Tracking Table'!$AW345," ",'BMP P Tracking Table'!$AY345),'Performance Curves'!$C$1:$L$46,_xlfn.SINGLE(MATCH('BMP P Tracking Table'!$BA345,'Performance Curves'!$D$1:$L$1,1))+1,FALSE)),"")</f>
        <v/>
      </c>
      <c r="BC345" s="102" t="str">
        <f>IFERROR(('BMP P Tracking Table'!$BA345-INDEX('Performance Curves'!$D$1:$L$1,1,MATCH('BMP P Tracking Table'!$BA345,'Performance Curves'!$D$1:$L$1,1)))/(INDEX('Performance Curves'!$D$1:$L$1,1,MATCH('BMP P Tracking Table'!$BA345,'Performance Curves'!$D$1:$L$1,1)+1)-INDEX('Performance Curves'!$D$1:$L$1,1,MATCH('BMP P Tracking Table'!$BA345,'Performance Curves'!$D$1:$L$1,1))),"")</f>
        <v/>
      </c>
      <c r="BD345" s="103" t="str" cm="1">
        <f t="array" ref="BD345">IFERROR(IF('BMP P Tracking Table'!$BA345=2,VLOOKUP(CONCATENATE('BMP P Tracking Table'!$AW345," ",'BMP P Tracking Table'!$AY345),'Performance Curves'!$C$1:$L$44,_xlfn.SINGLE(MATCH('BMP P Tracking Table'!$BA345,'Performance Curves'!$D$1:$L$1,1))+1,FALSE),'BMP P Tracking Table'!$BB345*'BMP P Tracking Table'!$BC345+VLOOKUP(CONCATENATE('BMP P Tracking Table'!$AW345," ",'BMP P Tracking Table'!$AY345),'Performance Curves'!$C$1:$L$44,_xlfn.SINGLE(MATCH('BMP P Tracking Table'!$BA345,'Performance Curves'!$D$1:$L$1,1))+1,FALSE)),"")</f>
        <v/>
      </c>
      <c r="BE345" s="104" t="str">
        <f>IFERROR('BMP P Tracking Table'!$BD345*'BMP P Tracking Table'!$AZ345,"")</f>
        <v/>
      </c>
      <c r="BF345" s="98"/>
      <c r="BG345" s="37">
        <f t="shared" si="38"/>
        <v>0</v>
      </c>
    </row>
    <row r="346" spans="2:59" s="36" customFormat="1">
      <c r="B346" s="65"/>
      <c r="C346" s="65"/>
      <c r="D346" s="65"/>
      <c r="E346" s="65"/>
      <c r="F346" s="94"/>
      <c r="G346" s="94"/>
      <c r="H346" s="65"/>
      <c r="I346" s="65"/>
      <c r="J346" s="65"/>
      <c r="K346" s="95"/>
      <c r="L346" s="65"/>
      <c r="M346" s="65"/>
      <c r="N346" s="65"/>
      <c r="O346" s="65"/>
      <c r="P346" s="65"/>
      <c r="Q346" s="65"/>
      <c r="R346" s="65" t="str">
        <f>IFERROR(VLOOKUP('BMP P Tracking Table'!$Q346,Dropdowns!$C$2:$E$15,3,FALSE),"")</f>
        <v/>
      </c>
      <c r="S346" s="65" t="str">
        <f>IFERROR(VLOOKUP('BMP P Tracking Table'!$R346,Dropdowns!$Q$3:$R$23,2,FALSE),"")</f>
        <v/>
      </c>
      <c r="T346" s="65"/>
      <c r="U346" s="65"/>
      <c r="V346" s="65"/>
      <c r="W346" s="65"/>
      <c r="X346" s="65"/>
      <c r="Y346" s="65"/>
      <c r="Z346" s="65"/>
      <c r="AA346" s="65"/>
      <c r="AB346" s="65"/>
      <c r="AC346" s="97"/>
      <c r="AD346" s="65"/>
      <c r="AE346" s="104" t="str">
        <f>IFERROR('BMP P Tracking Table'!$V346*VLOOKUP('BMP P Tracking Table'!$R346,'Loading Rates'!$B$1:$L$24,4,FALSE)+IF('BMP P Tracking Table'!$W346="By HSG",'BMP P Tracking Table'!$X346*VLOOKUP('BMP P Tracking Table'!$R346,'Loading Rates'!$B$1:$L$24,6,FALSE)+'BMP P Tracking Table'!$Y346*VLOOKUP('BMP P Tracking Table'!$R346,'Loading Rates'!$B$1:$L$24,7,FALSE)+'BMP P Tracking Table'!$Z346*VLOOKUP('BMP P Tracking Table'!$R346,'Loading Rates'!$B$1:$L$24,8,FALSE)+'BMP P Tracking Table'!$AA346*VLOOKUP('BMP P Tracking Table'!$R346,'Loading Rates'!$B$1:$L$24,9,FALSE),'BMP P Tracking Table'!$AB346*VLOOKUP('BMP P Tracking Table'!$R346,'Loading Rates'!$B$1:$L$24,10,FALSE)),"")</f>
        <v/>
      </c>
      <c r="AF346" s="104" t="str">
        <f>IFERROR(MIN(2,IF('BMP P Tracking Table'!$W346="Total Pervious",(-(3630*'BMP P Tracking Table'!$V346+20.691*'BMP P Tracking Table'!$AB346)+SQRT((3630*'BMP P Tracking Table'!$V346+20.691*'BMP P Tracking Table'!$AB346)^2-(4*(996.798*'BMP P Tracking Table'!$AB346)*-'BMP P Tracking Table'!$AC346)))/(2*(996.798*'BMP P Tracking Table'!$AB346)),IF(SUM('BMP P Tracking Table'!$X346:$AA346)=0,'BMP P Tracking Table'!$AC346/(-3630*'BMP P Tracking Table'!$V346),(-(3630*'BMP P Tracking Table'!$V346+20.691*'BMP P Tracking Table'!$AA346-216.711*'BMP P Tracking Table'!$Z346-83.853*'BMP P Tracking Table'!$Y346-42.834*'BMP P Tracking Table'!$X346)+SQRT((3630*'BMP P Tracking Table'!$V346+20.691*'BMP P Tracking Table'!$AA346-216.711*'BMP P Tracking Table'!$Z346-83.853*'BMP P Tracking Table'!$Y346-42.834*'BMP P Tracking Table'!$X346)^2-(4*(149.919*'BMP P Tracking Table'!$X346+236.676*'BMP P Tracking Table'!$Y346+726*'BMP P Tracking Table'!$Z346+996.798*'BMP P Tracking Table'!$AA346)*-'BMP P Tracking Table'!$AC346)))/(2*(149.919*'BMP P Tracking Table'!$X346+236.676*'BMP P Tracking Table'!$Y346+726*'BMP P Tracking Table'!$Z346+996.798*'BMP P Tracking Table'!$AA346))))),"")</f>
        <v/>
      </c>
      <c r="AG346" s="104" t="str">
        <f>IFERROR((VLOOKUP(CONCATENATE('BMP P Tracking Table'!$U346," ",'BMP P Tracking Table'!$AD346),'Performance Curves'!$C$1:$L$46,_xlfn.SINGLE(MATCH('BMP P Tracking Table'!$AF346,'Performance Curves'!$D$1:$L$1,1))+2,FALSE)-VLOOKUP(CONCATENATE('BMP P Tracking Table'!$U346," ",'BMP P Tracking Table'!$AD346),'Performance Curves'!$C$1:$L$46,_xlfn.SINGLE(MATCH('BMP P Tracking Table'!$AF346,'Performance Curves'!$D$1:$L$1,1))+1,FALSE)),"")</f>
        <v/>
      </c>
      <c r="AH346" s="104" t="str">
        <f>IFERROR(('BMP P Tracking Table'!$AF346-INDEX('Performance Curves'!$D$1:$L$1,1,MATCH('BMP P Tracking Table'!$AF346,'Performance Curves'!$D$1:$L$1,1)))/(INDEX('Performance Curves'!$D$1:$L$1,1,MATCH('BMP P Tracking Table'!$AF346,'Performance Curves'!$D$1:$L$1,1)+1)-INDEX('Performance Curves'!$D$1:$L$1,1,MATCH('BMP P Tracking Table'!$AF346,'Performance Curves'!$D$1:$L$1,1))),"")</f>
        <v/>
      </c>
      <c r="AI346" s="103" t="str">
        <f>IFERROR(IF('BMP P Tracking Table'!$AF346=2,VLOOKUP(CONCATENATE('BMP P Tracking Table'!$U346," ",'BMP P Tracking Table'!$AD346),'Performance Curves'!$C$1:$L$46,_xlfn.SINGLE(MATCH('BMP P Tracking Table'!$AF346,'Performance Curves'!$D$1:$L$1,1))+1,FALSE),'BMP P Tracking Table'!$AG346*'BMP P Tracking Table'!$AH346+VLOOKUP(CONCATENATE('BMP P Tracking Table'!$U346," ",'BMP P Tracking Table'!$AD346),'Performance Curves'!$C$1:$L$46,_xlfn.SINGLE(MATCH('BMP P Tracking Table'!$AF346,'Performance Curves'!$D$1:$L$1,1))+1,FALSE)),"")</f>
        <v/>
      </c>
      <c r="AJ346" s="104" t="str">
        <f>IFERROR('BMP P Tracking Table'!$AI346*'BMP P Tracking Table'!$AE346,"")</f>
        <v/>
      </c>
      <c r="AK346" s="65"/>
      <c r="AL346" s="98"/>
      <c r="AM346" s="98"/>
      <c r="AN346" s="64">
        <v>1</v>
      </c>
      <c r="AO346" s="102" t="str">
        <f t="shared" si="37"/>
        <v/>
      </c>
      <c r="AP346" s="98"/>
      <c r="AQ346" s="98"/>
      <c r="AR346" s="98"/>
      <c r="AS346" s="98"/>
      <c r="AT346" s="98"/>
      <c r="AU346" s="98"/>
      <c r="AV346" s="98"/>
      <c r="AW346" s="65"/>
      <c r="AX346" s="99"/>
      <c r="AY346" s="99"/>
      <c r="AZ346" s="104" t="str">
        <f>IF('BMP P Tracking Table'!$AL346="Yes",IF('BMP P Tracking Table'!$AM346="No",'BMP P Tracking Table'!$V346*VLOOKUP('BMP P Tracking Table'!$R346,'Loading Rates'!$B$1:$L$24,4,FALSE)+IF('BMP P Tracking Table'!$W346="By HSG",'BMP P Tracking Table'!$X346*VLOOKUP('BMP P Tracking Table'!$R346,'Loading Rates'!$B$1:$L$24,6,FALSE)+'BMP P Tracking Table'!$Y346*VLOOKUP('BMP P Tracking Table'!$R346,'Loading Rates'!$B$1:$L$24,7,FALSE)+'BMP P Tracking Table'!$Z346*VLOOKUP('BMP P Tracking Table'!$R346,'Loading Rates'!$B$1:$L$24,8,FALSE)+'BMP P Tracking Table'!$AA346*VLOOKUP('BMP P Tracking Table'!$R346,'Loading Rates'!$B$1:$L$24,9,FALSE),'BMP P Tracking Table'!$AB346*VLOOKUP('BMP P Tracking Table'!$R346,'Loading Rates'!$B$1:$L$24,10,FALSE)),'BMP P Tracking Table'!$AP346*VLOOKUP('BMP P Tracking Table'!$R346,'Loading Rates'!$B$1:$L$24,4,FALSE)+IF('BMP P Tracking Table'!$AQ346="By HSG",'BMP P Tracking Table'!$AR346*VLOOKUP('BMP P Tracking Table'!$R346,'Loading Rates'!$B$1:$L$24,6,FALSE)+'BMP P Tracking Table'!$AS346*VLOOKUP('BMP P Tracking Table'!$R346,'Loading Rates'!$B$1:$L$24,7,FALSE)+'BMP P Tracking Table'!$AT346*VLOOKUP('BMP P Tracking Table'!$R346,'Loading Rates'!$B$1:$L$24,8,FALSE)+'BMP P Tracking Table'!$AU346*VLOOKUP('BMP P Tracking Table'!$R346,'Loading Rates'!$B$1:$L$24,9,FALSE),'BMP P Tracking Table'!$AV346*VLOOKUP('BMP P Tracking Table'!$R346,'Loading Rates'!$B$1:$L$24,10,FALSE))),"")</f>
        <v/>
      </c>
      <c r="BA346" s="104" t="str">
        <f>IFERROR(IF('BMP P Tracking Table'!$AM346="Yes",MIN(2,IF('BMP P Tracking Table'!$AQ346="Total Pervious",(-(3630*'BMP P Tracking Table'!$AP346+20.691*'BMP P Tracking Table'!$AV346)+SQRT((3630*'BMP P Tracking Table'!$AP346+20.691*'BMP P Tracking Table'!$AV346)^2-(4*(996.798*'BMP P Tracking Table'!$AV346)*-'BMP P Tracking Table'!$AX346)))/(2*(996.798*'BMP P Tracking Table'!$AV346)),IF(SUM('BMP P Tracking Table'!$AR346:$AU346)=0,'BMP P Tracking Table'!$AV346/(-3630*'BMP P Tracking Table'!$AP346),(-(3630*'BMP P Tracking Table'!$AP346+20.691*'BMP P Tracking Table'!$AU346-216.711*'BMP P Tracking Table'!$AT346-83.853*'BMP P Tracking Table'!$AS346-42.834*'BMP P Tracking Table'!$AR346)+SQRT((3630*'BMP P Tracking Table'!$AP346+20.691*'BMP P Tracking Table'!$AU346-216.711*'BMP P Tracking Table'!$AT346-83.853*'BMP P Tracking Table'!$AS346-42.834*'BMP P Tracking Table'!$AR346)^2-(4*(149.919*'BMP P Tracking Table'!$AR346+236.676*'BMP P Tracking Table'!$AS346+726*'BMP P Tracking Table'!$AT346+996.798*'BMP P Tracking Table'!$AU346)*-'BMP P Tracking Table'!$AX346)))/(2*(149.919*'BMP P Tracking Table'!$AR346+236.676*'BMP P Tracking Table'!$AS346+726*'BMP P Tracking Table'!$AT346+996.798*'BMP P Tracking Table'!$AU346))))),MIN(2,IF('BMP P Tracking Table'!$AQ346="Total Pervious",(-(3630*'BMP P Tracking Table'!$V346+20.691*'BMP P Tracking Table'!$AB346)+SQRT((3630*'BMP P Tracking Table'!$V346+20.691*'BMP P Tracking Table'!$AB346)^2-(4*(996.798*'BMP P Tracking Table'!$AB346)*-'BMP P Tracking Table'!$AX346)))/(2*(996.798*'BMP P Tracking Table'!$AB346)),IF(SUM('BMP P Tracking Table'!$X346:$AA346)=0,'BMP P Tracking Table'!$AX346/(-3630*'BMP P Tracking Table'!$V346),(-(3630*'BMP P Tracking Table'!$V346+20.691*'BMP P Tracking Table'!$AA346-216.711*'BMP P Tracking Table'!$Z346-83.853*'BMP P Tracking Table'!$Y346-42.834*'BMP P Tracking Table'!$X346)+SQRT((3630*'BMP P Tracking Table'!$V346+20.691*'BMP P Tracking Table'!$AA346-216.711*'BMP P Tracking Table'!$Z346-83.853*'BMP P Tracking Table'!$Y346-42.834*'BMP P Tracking Table'!$X346)^2-(4*(149.919*'BMP P Tracking Table'!$X346+236.676*'BMP P Tracking Table'!$Y346+726*'BMP P Tracking Table'!$Z346+996.798*'BMP P Tracking Table'!$AA346)*-'BMP P Tracking Table'!$AX346)))/(2*(149.919*'BMP P Tracking Table'!$X346+236.676*'BMP P Tracking Table'!$Y346+726*'BMP P Tracking Table'!$Z346+996.798*'BMP P Tracking Table'!$AA346)))))),"")</f>
        <v/>
      </c>
      <c r="BB346" s="102" t="str">
        <f>IFERROR((VLOOKUP(CONCATENATE('BMP P Tracking Table'!$AW346," ",'BMP P Tracking Table'!$AY346),'Performance Curves'!$C$1:$L$46,_xlfn.SINGLE(MATCH('BMP P Tracking Table'!$BA346,'Performance Curves'!$D$1:$L$1,1))+2,FALSE)-VLOOKUP(CONCATENATE('BMP P Tracking Table'!$AW346," ",'BMP P Tracking Table'!$AY346),'Performance Curves'!$C$1:$L$46,_xlfn.SINGLE(MATCH('BMP P Tracking Table'!$BA346,'Performance Curves'!$D$1:$L$1,1))+1,FALSE)),"")</f>
        <v/>
      </c>
      <c r="BC346" s="102" t="str">
        <f>IFERROR(('BMP P Tracking Table'!$BA346-INDEX('Performance Curves'!$D$1:$L$1,1,MATCH('BMP P Tracking Table'!$BA346,'Performance Curves'!$D$1:$L$1,1)))/(INDEX('Performance Curves'!$D$1:$L$1,1,MATCH('BMP P Tracking Table'!$BA346,'Performance Curves'!$D$1:$L$1,1)+1)-INDEX('Performance Curves'!$D$1:$L$1,1,MATCH('BMP P Tracking Table'!$BA346,'Performance Curves'!$D$1:$L$1,1))),"")</f>
        <v/>
      </c>
      <c r="BD346" s="103" t="str" cm="1">
        <f t="array" ref="BD346">IFERROR(IF('BMP P Tracking Table'!$BA346=2,VLOOKUP(CONCATENATE('BMP P Tracking Table'!$AW346," ",'BMP P Tracking Table'!$AY346),'Performance Curves'!$C$1:$L$44,_xlfn.SINGLE(MATCH('BMP P Tracking Table'!$BA346,'Performance Curves'!$D$1:$L$1,1))+1,FALSE),'BMP P Tracking Table'!$BB346*'BMP P Tracking Table'!$BC346+VLOOKUP(CONCATENATE('BMP P Tracking Table'!$AW346," ",'BMP P Tracking Table'!$AY346),'Performance Curves'!$C$1:$L$44,_xlfn.SINGLE(MATCH('BMP P Tracking Table'!$BA346,'Performance Curves'!$D$1:$L$1,1))+1,FALSE)),"")</f>
        <v/>
      </c>
      <c r="BE346" s="104" t="str">
        <f>IFERROR('BMP P Tracking Table'!$BD346*'BMP P Tracking Table'!$AZ346,"")</f>
        <v/>
      </c>
      <c r="BF346" s="98"/>
      <c r="BG346" s="37">
        <f t="shared" si="38"/>
        <v>0</v>
      </c>
    </row>
    <row r="347" spans="2:59" s="36" customFormat="1">
      <c r="B347" s="65"/>
      <c r="C347" s="65"/>
      <c r="D347" s="65"/>
      <c r="E347" s="65"/>
      <c r="F347" s="94"/>
      <c r="G347" s="94"/>
      <c r="H347" s="65"/>
      <c r="I347" s="65"/>
      <c r="J347" s="65"/>
      <c r="K347" s="95"/>
      <c r="L347" s="65"/>
      <c r="M347" s="65"/>
      <c r="N347" s="65"/>
      <c r="O347" s="65"/>
      <c r="P347" s="65"/>
      <c r="Q347" s="65"/>
      <c r="R347" s="65" t="str">
        <f>IFERROR(VLOOKUP('BMP P Tracking Table'!$Q347,Dropdowns!$C$2:$E$15,3,FALSE),"")</f>
        <v/>
      </c>
      <c r="S347" s="65" t="str">
        <f>IFERROR(VLOOKUP('BMP P Tracking Table'!$R347,Dropdowns!$Q$3:$R$23,2,FALSE),"")</f>
        <v/>
      </c>
      <c r="T347" s="65"/>
      <c r="U347" s="65"/>
      <c r="V347" s="65"/>
      <c r="W347" s="65"/>
      <c r="X347" s="65"/>
      <c r="Y347" s="65"/>
      <c r="Z347" s="65"/>
      <c r="AA347" s="65"/>
      <c r="AB347" s="65"/>
      <c r="AC347" s="97"/>
      <c r="AD347" s="65"/>
      <c r="AE347" s="104" t="str">
        <f>IFERROR('BMP P Tracking Table'!$V347*VLOOKUP('BMP P Tracking Table'!$R347,'Loading Rates'!$B$1:$L$24,4,FALSE)+IF('BMP P Tracking Table'!$W347="By HSG",'BMP P Tracking Table'!$X347*VLOOKUP('BMP P Tracking Table'!$R347,'Loading Rates'!$B$1:$L$24,6,FALSE)+'BMP P Tracking Table'!$Y347*VLOOKUP('BMP P Tracking Table'!$R347,'Loading Rates'!$B$1:$L$24,7,FALSE)+'BMP P Tracking Table'!$Z347*VLOOKUP('BMP P Tracking Table'!$R347,'Loading Rates'!$B$1:$L$24,8,FALSE)+'BMP P Tracking Table'!$AA347*VLOOKUP('BMP P Tracking Table'!$R347,'Loading Rates'!$B$1:$L$24,9,FALSE),'BMP P Tracking Table'!$AB347*VLOOKUP('BMP P Tracking Table'!$R347,'Loading Rates'!$B$1:$L$24,10,FALSE)),"")</f>
        <v/>
      </c>
      <c r="AF347" s="104" t="str">
        <f>IFERROR(MIN(2,IF('BMP P Tracking Table'!$W347="Total Pervious",(-(3630*'BMP P Tracking Table'!$V347+20.691*'BMP P Tracking Table'!$AB347)+SQRT((3630*'BMP P Tracking Table'!$V347+20.691*'BMP P Tracking Table'!$AB347)^2-(4*(996.798*'BMP P Tracking Table'!$AB347)*-'BMP P Tracking Table'!$AC347)))/(2*(996.798*'BMP P Tracking Table'!$AB347)),IF(SUM('BMP P Tracking Table'!$X347:$AA347)=0,'BMP P Tracking Table'!$AC347/(-3630*'BMP P Tracking Table'!$V347),(-(3630*'BMP P Tracking Table'!$V347+20.691*'BMP P Tracking Table'!$AA347-216.711*'BMP P Tracking Table'!$Z347-83.853*'BMP P Tracking Table'!$Y347-42.834*'BMP P Tracking Table'!$X347)+SQRT((3630*'BMP P Tracking Table'!$V347+20.691*'BMP P Tracking Table'!$AA347-216.711*'BMP P Tracking Table'!$Z347-83.853*'BMP P Tracking Table'!$Y347-42.834*'BMP P Tracking Table'!$X347)^2-(4*(149.919*'BMP P Tracking Table'!$X347+236.676*'BMP P Tracking Table'!$Y347+726*'BMP P Tracking Table'!$Z347+996.798*'BMP P Tracking Table'!$AA347)*-'BMP P Tracking Table'!$AC347)))/(2*(149.919*'BMP P Tracking Table'!$X347+236.676*'BMP P Tracking Table'!$Y347+726*'BMP P Tracking Table'!$Z347+996.798*'BMP P Tracking Table'!$AA347))))),"")</f>
        <v/>
      </c>
      <c r="AG347" s="104" t="str">
        <f>IFERROR((VLOOKUP(CONCATENATE('BMP P Tracking Table'!$U347," ",'BMP P Tracking Table'!$AD347),'Performance Curves'!$C$1:$L$46,_xlfn.SINGLE(MATCH('BMP P Tracking Table'!$AF347,'Performance Curves'!$D$1:$L$1,1))+2,FALSE)-VLOOKUP(CONCATENATE('BMP P Tracking Table'!$U347," ",'BMP P Tracking Table'!$AD347),'Performance Curves'!$C$1:$L$46,_xlfn.SINGLE(MATCH('BMP P Tracking Table'!$AF347,'Performance Curves'!$D$1:$L$1,1))+1,FALSE)),"")</f>
        <v/>
      </c>
      <c r="AH347" s="104" t="str">
        <f>IFERROR(('BMP P Tracking Table'!$AF347-INDEX('Performance Curves'!$D$1:$L$1,1,MATCH('BMP P Tracking Table'!$AF347,'Performance Curves'!$D$1:$L$1,1)))/(INDEX('Performance Curves'!$D$1:$L$1,1,MATCH('BMP P Tracking Table'!$AF347,'Performance Curves'!$D$1:$L$1,1)+1)-INDEX('Performance Curves'!$D$1:$L$1,1,MATCH('BMP P Tracking Table'!$AF347,'Performance Curves'!$D$1:$L$1,1))),"")</f>
        <v/>
      </c>
      <c r="AI347" s="103" t="str">
        <f>IFERROR(IF('BMP P Tracking Table'!$AF347=2,VLOOKUP(CONCATENATE('BMP P Tracking Table'!$U347," ",'BMP P Tracking Table'!$AD347),'Performance Curves'!$C$1:$L$46,_xlfn.SINGLE(MATCH('BMP P Tracking Table'!$AF347,'Performance Curves'!$D$1:$L$1,1))+1,FALSE),'BMP P Tracking Table'!$AG347*'BMP P Tracking Table'!$AH347+VLOOKUP(CONCATENATE('BMP P Tracking Table'!$U347," ",'BMP P Tracking Table'!$AD347),'Performance Curves'!$C$1:$L$46,_xlfn.SINGLE(MATCH('BMP P Tracking Table'!$AF347,'Performance Curves'!$D$1:$L$1,1))+1,FALSE)),"")</f>
        <v/>
      </c>
      <c r="AJ347" s="104" t="str">
        <f>IFERROR('BMP P Tracking Table'!$AI347*'BMP P Tracking Table'!$AE347,"")</f>
        <v/>
      </c>
      <c r="AK347" s="65"/>
      <c r="AL347" s="98"/>
      <c r="AM347" s="98"/>
      <c r="AN347" s="64">
        <v>1</v>
      </c>
      <c r="AO347" s="102" t="str">
        <f t="shared" ref="AO347:AO410" si="39">IF(AL347="Yes",IF(BG347&gt;0,IF(ISBLANK(AK347),AJ347,AK347)-IF(ISBLANK(BF347),BE347,BF347),"Enter Info --&gt;"),IF(ISBLANK(AK347),AJ347,AK347))</f>
        <v/>
      </c>
      <c r="AP347" s="98"/>
      <c r="AQ347" s="98"/>
      <c r="AR347" s="98"/>
      <c r="AS347" s="98"/>
      <c r="AT347" s="98"/>
      <c r="AU347" s="98"/>
      <c r="AV347" s="98"/>
      <c r="AW347" s="65"/>
      <c r="AX347" s="99"/>
      <c r="AY347" s="99"/>
      <c r="AZ347" s="104" t="str">
        <f>IF('BMP P Tracking Table'!$AL347="Yes",IF('BMP P Tracking Table'!$AM347="No",'BMP P Tracking Table'!$V347*VLOOKUP('BMP P Tracking Table'!$R347,'Loading Rates'!$B$1:$L$24,4,FALSE)+IF('BMP P Tracking Table'!$W347="By HSG",'BMP P Tracking Table'!$X347*VLOOKUP('BMP P Tracking Table'!$R347,'Loading Rates'!$B$1:$L$24,6,FALSE)+'BMP P Tracking Table'!$Y347*VLOOKUP('BMP P Tracking Table'!$R347,'Loading Rates'!$B$1:$L$24,7,FALSE)+'BMP P Tracking Table'!$Z347*VLOOKUP('BMP P Tracking Table'!$R347,'Loading Rates'!$B$1:$L$24,8,FALSE)+'BMP P Tracking Table'!$AA347*VLOOKUP('BMP P Tracking Table'!$R347,'Loading Rates'!$B$1:$L$24,9,FALSE),'BMP P Tracking Table'!$AB347*VLOOKUP('BMP P Tracking Table'!$R347,'Loading Rates'!$B$1:$L$24,10,FALSE)),'BMP P Tracking Table'!$AP347*VLOOKUP('BMP P Tracking Table'!$R347,'Loading Rates'!$B$1:$L$24,4,FALSE)+IF('BMP P Tracking Table'!$AQ347="By HSG",'BMP P Tracking Table'!$AR347*VLOOKUP('BMP P Tracking Table'!$R347,'Loading Rates'!$B$1:$L$24,6,FALSE)+'BMP P Tracking Table'!$AS347*VLOOKUP('BMP P Tracking Table'!$R347,'Loading Rates'!$B$1:$L$24,7,FALSE)+'BMP P Tracking Table'!$AT347*VLOOKUP('BMP P Tracking Table'!$R347,'Loading Rates'!$B$1:$L$24,8,FALSE)+'BMP P Tracking Table'!$AU347*VLOOKUP('BMP P Tracking Table'!$R347,'Loading Rates'!$B$1:$L$24,9,FALSE),'BMP P Tracking Table'!$AV347*VLOOKUP('BMP P Tracking Table'!$R347,'Loading Rates'!$B$1:$L$24,10,FALSE))),"")</f>
        <v/>
      </c>
      <c r="BA347" s="104" t="str">
        <f>IFERROR(IF('BMP P Tracking Table'!$AM347="Yes",MIN(2,IF('BMP P Tracking Table'!$AQ347="Total Pervious",(-(3630*'BMP P Tracking Table'!$AP347+20.691*'BMP P Tracking Table'!$AV347)+SQRT((3630*'BMP P Tracking Table'!$AP347+20.691*'BMP P Tracking Table'!$AV347)^2-(4*(996.798*'BMP P Tracking Table'!$AV347)*-'BMP P Tracking Table'!$AX347)))/(2*(996.798*'BMP P Tracking Table'!$AV347)),IF(SUM('BMP P Tracking Table'!$AR347:$AU347)=0,'BMP P Tracking Table'!$AV347/(-3630*'BMP P Tracking Table'!$AP347),(-(3630*'BMP P Tracking Table'!$AP347+20.691*'BMP P Tracking Table'!$AU347-216.711*'BMP P Tracking Table'!$AT347-83.853*'BMP P Tracking Table'!$AS347-42.834*'BMP P Tracking Table'!$AR347)+SQRT((3630*'BMP P Tracking Table'!$AP347+20.691*'BMP P Tracking Table'!$AU347-216.711*'BMP P Tracking Table'!$AT347-83.853*'BMP P Tracking Table'!$AS347-42.834*'BMP P Tracking Table'!$AR347)^2-(4*(149.919*'BMP P Tracking Table'!$AR347+236.676*'BMP P Tracking Table'!$AS347+726*'BMP P Tracking Table'!$AT347+996.798*'BMP P Tracking Table'!$AU347)*-'BMP P Tracking Table'!$AX347)))/(2*(149.919*'BMP P Tracking Table'!$AR347+236.676*'BMP P Tracking Table'!$AS347+726*'BMP P Tracking Table'!$AT347+996.798*'BMP P Tracking Table'!$AU347))))),MIN(2,IF('BMP P Tracking Table'!$AQ347="Total Pervious",(-(3630*'BMP P Tracking Table'!$V347+20.691*'BMP P Tracking Table'!$AB347)+SQRT((3630*'BMP P Tracking Table'!$V347+20.691*'BMP P Tracking Table'!$AB347)^2-(4*(996.798*'BMP P Tracking Table'!$AB347)*-'BMP P Tracking Table'!$AX347)))/(2*(996.798*'BMP P Tracking Table'!$AB347)),IF(SUM('BMP P Tracking Table'!$X347:$AA347)=0,'BMP P Tracking Table'!$AX347/(-3630*'BMP P Tracking Table'!$V347),(-(3630*'BMP P Tracking Table'!$V347+20.691*'BMP P Tracking Table'!$AA347-216.711*'BMP P Tracking Table'!$Z347-83.853*'BMP P Tracking Table'!$Y347-42.834*'BMP P Tracking Table'!$X347)+SQRT((3630*'BMP P Tracking Table'!$V347+20.691*'BMP P Tracking Table'!$AA347-216.711*'BMP P Tracking Table'!$Z347-83.853*'BMP P Tracking Table'!$Y347-42.834*'BMP P Tracking Table'!$X347)^2-(4*(149.919*'BMP P Tracking Table'!$X347+236.676*'BMP P Tracking Table'!$Y347+726*'BMP P Tracking Table'!$Z347+996.798*'BMP P Tracking Table'!$AA347)*-'BMP P Tracking Table'!$AX347)))/(2*(149.919*'BMP P Tracking Table'!$X347+236.676*'BMP P Tracking Table'!$Y347+726*'BMP P Tracking Table'!$Z347+996.798*'BMP P Tracking Table'!$AA347)))))),"")</f>
        <v/>
      </c>
      <c r="BB347" s="102" t="str">
        <f>IFERROR((VLOOKUP(CONCATENATE('BMP P Tracking Table'!$AW347," ",'BMP P Tracking Table'!$AY347),'Performance Curves'!$C$1:$L$46,_xlfn.SINGLE(MATCH('BMP P Tracking Table'!$BA347,'Performance Curves'!$D$1:$L$1,1))+2,FALSE)-VLOOKUP(CONCATENATE('BMP P Tracking Table'!$AW347," ",'BMP P Tracking Table'!$AY347),'Performance Curves'!$C$1:$L$46,_xlfn.SINGLE(MATCH('BMP P Tracking Table'!$BA347,'Performance Curves'!$D$1:$L$1,1))+1,FALSE)),"")</f>
        <v/>
      </c>
      <c r="BC347" s="102" t="str">
        <f>IFERROR(('BMP P Tracking Table'!$BA347-INDEX('Performance Curves'!$D$1:$L$1,1,MATCH('BMP P Tracking Table'!$BA347,'Performance Curves'!$D$1:$L$1,1)))/(INDEX('Performance Curves'!$D$1:$L$1,1,MATCH('BMP P Tracking Table'!$BA347,'Performance Curves'!$D$1:$L$1,1)+1)-INDEX('Performance Curves'!$D$1:$L$1,1,MATCH('BMP P Tracking Table'!$BA347,'Performance Curves'!$D$1:$L$1,1))),"")</f>
        <v/>
      </c>
      <c r="BD347" s="103" t="str" cm="1">
        <f t="array" ref="BD347">IFERROR(IF('BMP P Tracking Table'!$BA347=2,VLOOKUP(CONCATENATE('BMP P Tracking Table'!$AW347," ",'BMP P Tracking Table'!$AY347),'Performance Curves'!$C$1:$L$44,_xlfn.SINGLE(MATCH('BMP P Tracking Table'!$BA347,'Performance Curves'!$D$1:$L$1,1))+1,FALSE),'BMP P Tracking Table'!$BB347*'BMP P Tracking Table'!$BC347+VLOOKUP(CONCATENATE('BMP P Tracking Table'!$AW347," ",'BMP P Tracking Table'!$AY347),'Performance Curves'!$C$1:$L$44,_xlfn.SINGLE(MATCH('BMP P Tracking Table'!$BA347,'Performance Curves'!$D$1:$L$1,1))+1,FALSE)),"")</f>
        <v/>
      </c>
      <c r="BE347" s="104" t="str">
        <f>IFERROR('BMP P Tracking Table'!$BD347*'BMP P Tracking Table'!$AZ347,"")</f>
        <v/>
      </c>
      <c r="BF347" s="98"/>
      <c r="BG347" s="37">
        <f t="shared" si="38"/>
        <v>0</v>
      </c>
    </row>
    <row r="348" spans="2:59" s="36" customFormat="1">
      <c r="B348" s="65"/>
      <c r="C348" s="65"/>
      <c r="D348" s="65"/>
      <c r="E348" s="65"/>
      <c r="F348" s="94"/>
      <c r="G348" s="94"/>
      <c r="H348" s="65"/>
      <c r="I348" s="65"/>
      <c r="J348" s="65"/>
      <c r="K348" s="95"/>
      <c r="L348" s="65"/>
      <c r="M348" s="65"/>
      <c r="N348" s="65"/>
      <c r="O348" s="65"/>
      <c r="P348" s="65"/>
      <c r="Q348" s="65"/>
      <c r="R348" s="65" t="str">
        <f>IFERROR(VLOOKUP('BMP P Tracking Table'!$Q348,Dropdowns!$C$2:$E$15,3,FALSE),"")</f>
        <v/>
      </c>
      <c r="S348" s="65" t="str">
        <f>IFERROR(VLOOKUP('BMP P Tracking Table'!$R348,Dropdowns!$Q$3:$R$23,2,FALSE),"")</f>
        <v/>
      </c>
      <c r="T348" s="65"/>
      <c r="U348" s="65"/>
      <c r="V348" s="65"/>
      <c r="W348" s="65"/>
      <c r="X348" s="65"/>
      <c r="Y348" s="65"/>
      <c r="Z348" s="65"/>
      <c r="AA348" s="65"/>
      <c r="AB348" s="65"/>
      <c r="AC348" s="97"/>
      <c r="AD348" s="65"/>
      <c r="AE348" s="104" t="str">
        <f>IFERROR('BMP P Tracking Table'!$V348*VLOOKUP('BMP P Tracking Table'!$R348,'Loading Rates'!$B$1:$L$24,4,FALSE)+IF('BMP P Tracking Table'!$W348="By HSG",'BMP P Tracking Table'!$X348*VLOOKUP('BMP P Tracking Table'!$R348,'Loading Rates'!$B$1:$L$24,6,FALSE)+'BMP P Tracking Table'!$Y348*VLOOKUP('BMP P Tracking Table'!$R348,'Loading Rates'!$B$1:$L$24,7,FALSE)+'BMP P Tracking Table'!$Z348*VLOOKUP('BMP P Tracking Table'!$R348,'Loading Rates'!$B$1:$L$24,8,FALSE)+'BMP P Tracking Table'!$AA348*VLOOKUP('BMP P Tracking Table'!$R348,'Loading Rates'!$B$1:$L$24,9,FALSE),'BMP P Tracking Table'!$AB348*VLOOKUP('BMP P Tracking Table'!$R348,'Loading Rates'!$B$1:$L$24,10,FALSE)),"")</f>
        <v/>
      </c>
      <c r="AF348" s="104" t="str">
        <f>IFERROR(MIN(2,IF('BMP P Tracking Table'!$W348="Total Pervious",(-(3630*'BMP P Tracking Table'!$V348+20.691*'BMP P Tracking Table'!$AB348)+SQRT((3630*'BMP P Tracking Table'!$V348+20.691*'BMP P Tracking Table'!$AB348)^2-(4*(996.798*'BMP P Tracking Table'!$AB348)*-'BMP P Tracking Table'!$AC348)))/(2*(996.798*'BMP P Tracking Table'!$AB348)),IF(SUM('BMP P Tracking Table'!$X348:$AA348)=0,'BMP P Tracking Table'!$AC348/(-3630*'BMP P Tracking Table'!$V348),(-(3630*'BMP P Tracking Table'!$V348+20.691*'BMP P Tracking Table'!$AA348-216.711*'BMP P Tracking Table'!$Z348-83.853*'BMP P Tracking Table'!$Y348-42.834*'BMP P Tracking Table'!$X348)+SQRT((3630*'BMP P Tracking Table'!$V348+20.691*'BMP P Tracking Table'!$AA348-216.711*'BMP P Tracking Table'!$Z348-83.853*'BMP P Tracking Table'!$Y348-42.834*'BMP P Tracking Table'!$X348)^2-(4*(149.919*'BMP P Tracking Table'!$X348+236.676*'BMP P Tracking Table'!$Y348+726*'BMP P Tracking Table'!$Z348+996.798*'BMP P Tracking Table'!$AA348)*-'BMP P Tracking Table'!$AC348)))/(2*(149.919*'BMP P Tracking Table'!$X348+236.676*'BMP P Tracking Table'!$Y348+726*'BMP P Tracking Table'!$Z348+996.798*'BMP P Tracking Table'!$AA348))))),"")</f>
        <v/>
      </c>
      <c r="AG348" s="104" t="str">
        <f>IFERROR((VLOOKUP(CONCATENATE('BMP P Tracking Table'!$U348," ",'BMP P Tracking Table'!$AD348),'Performance Curves'!$C$1:$L$46,_xlfn.SINGLE(MATCH('BMP P Tracking Table'!$AF348,'Performance Curves'!$D$1:$L$1,1))+2,FALSE)-VLOOKUP(CONCATENATE('BMP P Tracking Table'!$U348," ",'BMP P Tracking Table'!$AD348),'Performance Curves'!$C$1:$L$46,_xlfn.SINGLE(MATCH('BMP P Tracking Table'!$AF348,'Performance Curves'!$D$1:$L$1,1))+1,FALSE)),"")</f>
        <v/>
      </c>
      <c r="AH348" s="104" t="str">
        <f>IFERROR(('BMP P Tracking Table'!$AF348-INDEX('Performance Curves'!$D$1:$L$1,1,MATCH('BMP P Tracking Table'!$AF348,'Performance Curves'!$D$1:$L$1,1)))/(INDEX('Performance Curves'!$D$1:$L$1,1,MATCH('BMP P Tracking Table'!$AF348,'Performance Curves'!$D$1:$L$1,1)+1)-INDEX('Performance Curves'!$D$1:$L$1,1,MATCH('BMP P Tracking Table'!$AF348,'Performance Curves'!$D$1:$L$1,1))),"")</f>
        <v/>
      </c>
      <c r="AI348" s="103" t="str">
        <f>IFERROR(IF('BMP P Tracking Table'!$AF348=2,VLOOKUP(CONCATENATE('BMP P Tracking Table'!$U348," ",'BMP P Tracking Table'!$AD348),'Performance Curves'!$C$1:$L$46,_xlfn.SINGLE(MATCH('BMP P Tracking Table'!$AF348,'Performance Curves'!$D$1:$L$1,1))+1,FALSE),'BMP P Tracking Table'!$AG348*'BMP P Tracking Table'!$AH348+VLOOKUP(CONCATENATE('BMP P Tracking Table'!$U348," ",'BMP P Tracking Table'!$AD348),'Performance Curves'!$C$1:$L$46,_xlfn.SINGLE(MATCH('BMP P Tracking Table'!$AF348,'Performance Curves'!$D$1:$L$1,1))+1,FALSE)),"")</f>
        <v/>
      </c>
      <c r="AJ348" s="104" t="str">
        <f>IFERROR('BMP P Tracking Table'!$AI348*'BMP P Tracking Table'!$AE348,"")</f>
        <v/>
      </c>
      <c r="AK348" s="65"/>
      <c r="AL348" s="98"/>
      <c r="AM348" s="98"/>
      <c r="AN348" s="64">
        <v>1</v>
      </c>
      <c r="AO348" s="102" t="str">
        <f t="shared" si="39"/>
        <v/>
      </c>
      <c r="AP348" s="98"/>
      <c r="AQ348" s="98"/>
      <c r="AR348" s="98"/>
      <c r="AS348" s="98"/>
      <c r="AT348" s="98"/>
      <c r="AU348" s="98"/>
      <c r="AV348" s="98"/>
      <c r="AW348" s="65"/>
      <c r="AX348" s="99"/>
      <c r="AY348" s="99"/>
      <c r="AZ348" s="104" t="str">
        <f>IF('BMP P Tracking Table'!$AL348="Yes",IF('BMP P Tracking Table'!$AM348="No",'BMP P Tracking Table'!$V348*VLOOKUP('BMP P Tracking Table'!$R348,'Loading Rates'!$B$1:$L$24,4,FALSE)+IF('BMP P Tracking Table'!$W348="By HSG",'BMP P Tracking Table'!$X348*VLOOKUP('BMP P Tracking Table'!$R348,'Loading Rates'!$B$1:$L$24,6,FALSE)+'BMP P Tracking Table'!$Y348*VLOOKUP('BMP P Tracking Table'!$R348,'Loading Rates'!$B$1:$L$24,7,FALSE)+'BMP P Tracking Table'!$Z348*VLOOKUP('BMP P Tracking Table'!$R348,'Loading Rates'!$B$1:$L$24,8,FALSE)+'BMP P Tracking Table'!$AA348*VLOOKUP('BMP P Tracking Table'!$R348,'Loading Rates'!$B$1:$L$24,9,FALSE),'BMP P Tracking Table'!$AB348*VLOOKUP('BMP P Tracking Table'!$R348,'Loading Rates'!$B$1:$L$24,10,FALSE)),'BMP P Tracking Table'!$AP348*VLOOKUP('BMP P Tracking Table'!$R348,'Loading Rates'!$B$1:$L$24,4,FALSE)+IF('BMP P Tracking Table'!$AQ348="By HSG",'BMP P Tracking Table'!$AR348*VLOOKUP('BMP P Tracking Table'!$R348,'Loading Rates'!$B$1:$L$24,6,FALSE)+'BMP P Tracking Table'!$AS348*VLOOKUP('BMP P Tracking Table'!$R348,'Loading Rates'!$B$1:$L$24,7,FALSE)+'BMP P Tracking Table'!$AT348*VLOOKUP('BMP P Tracking Table'!$R348,'Loading Rates'!$B$1:$L$24,8,FALSE)+'BMP P Tracking Table'!$AU348*VLOOKUP('BMP P Tracking Table'!$R348,'Loading Rates'!$B$1:$L$24,9,FALSE),'BMP P Tracking Table'!$AV348*VLOOKUP('BMP P Tracking Table'!$R348,'Loading Rates'!$B$1:$L$24,10,FALSE))),"")</f>
        <v/>
      </c>
      <c r="BA348" s="104" t="str">
        <f>IFERROR(IF('BMP P Tracking Table'!$AM348="Yes",MIN(2,IF('BMP P Tracking Table'!$AQ348="Total Pervious",(-(3630*'BMP P Tracking Table'!$AP348+20.691*'BMP P Tracking Table'!$AV348)+SQRT((3630*'BMP P Tracking Table'!$AP348+20.691*'BMP P Tracking Table'!$AV348)^2-(4*(996.798*'BMP P Tracking Table'!$AV348)*-'BMP P Tracking Table'!$AX348)))/(2*(996.798*'BMP P Tracking Table'!$AV348)),IF(SUM('BMP P Tracking Table'!$AR348:$AU348)=0,'BMP P Tracking Table'!$AV348/(-3630*'BMP P Tracking Table'!$AP348),(-(3630*'BMP P Tracking Table'!$AP348+20.691*'BMP P Tracking Table'!$AU348-216.711*'BMP P Tracking Table'!$AT348-83.853*'BMP P Tracking Table'!$AS348-42.834*'BMP P Tracking Table'!$AR348)+SQRT((3630*'BMP P Tracking Table'!$AP348+20.691*'BMP P Tracking Table'!$AU348-216.711*'BMP P Tracking Table'!$AT348-83.853*'BMP P Tracking Table'!$AS348-42.834*'BMP P Tracking Table'!$AR348)^2-(4*(149.919*'BMP P Tracking Table'!$AR348+236.676*'BMP P Tracking Table'!$AS348+726*'BMP P Tracking Table'!$AT348+996.798*'BMP P Tracking Table'!$AU348)*-'BMP P Tracking Table'!$AX348)))/(2*(149.919*'BMP P Tracking Table'!$AR348+236.676*'BMP P Tracking Table'!$AS348+726*'BMP P Tracking Table'!$AT348+996.798*'BMP P Tracking Table'!$AU348))))),MIN(2,IF('BMP P Tracking Table'!$AQ348="Total Pervious",(-(3630*'BMP P Tracking Table'!$V348+20.691*'BMP P Tracking Table'!$AB348)+SQRT((3630*'BMP P Tracking Table'!$V348+20.691*'BMP P Tracking Table'!$AB348)^2-(4*(996.798*'BMP P Tracking Table'!$AB348)*-'BMP P Tracking Table'!$AX348)))/(2*(996.798*'BMP P Tracking Table'!$AB348)),IF(SUM('BMP P Tracking Table'!$X348:$AA348)=0,'BMP P Tracking Table'!$AX348/(-3630*'BMP P Tracking Table'!$V348),(-(3630*'BMP P Tracking Table'!$V348+20.691*'BMP P Tracking Table'!$AA348-216.711*'BMP P Tracking Table'!$Z348-83.853*'BMP P Tracking Table'!$Y348-42.834*'BMP P Tracking Table'!$X348)+SQRT((3630*'BMP P Tracking Table'!$V348+20.691*'BMP P Tracking Table'!$AA348-216.711*'BMP P Tracking Table'!$Z348-83.853*'BMP P Tracking Table'!$Y348-42.834*'BMP P Tracking Table'!$X348)^2-(4*(149.919*'BMP P Tracking Table'!$X348+236.676*'BMP P Tracking Table'!$Y348+726*'BMP P Tracking Table'!$Z348+996.798*'BMP P Tracking Table'!$AA348)*-'BMP P Tracking Table'!$AX348)))/(2*(149.919*'BMP P Tracking Table'!$X348+236.676*'BMP P Tracking Table'!$Y348+726*'BMP P Tracking Table'!$Z348+996.798*'BMP P Tracking Table'!$AA348)))))),"")</f>
        <v/>
      </c>
      <c r="BB348" s="102" t="str">
        <f>IFERROR((VLOOKUP(CONCATENATE('BMP P Tracking Table'!$AW348," ",'BMP P Tracking Table'!$AY348),'Performance Curves'!$C$1:$L$46,_xlfn.SINGLE(MATCH('BMP P Tracking Table'!$BA348,'Performance Curves'!$D$1:$L$1,1))+2,FALSE)-VLOOKUP(CONCATENATE('BMP P Tracking Table'!$AW348," ",'BMP P Tracking Table'!$AY348),'Performance Curves'!$C$1:$L$46,_xlfn.SINGLE(MATCH('BMP P Tracking Table'!$BA348,'Performance Curves'!$D$1:$L$1,1))+1,FALSE)),"")</f>
        <v/>
      </c>
      <c r="BC348" s="102" t="str">
        <f>IFERROR(('BMP P Tracking Table'!$BA348-INDEX('Performance Curves'!$D$1:$L$1,1,MATCH('BMP P Tracking Table'!$BA348,'Performance Curves'!$D$1:$L$1,1)))/(INDEX('Performance Curves'!$D$1:$L$1,1,MATCH('BMP P Tracking Table'!$BA348,'Performance Curves'!$D$1:$L$1,1)+1)-INDEX('Performance Curves'!$D$1:$L$1,1,MATCH('BMP P Tracking Table'!$BA348,'Performance Curves'!$D$1:$L$1,1))),"")</f>
        <v/>
      </c>
      <c r="BD348" s="103" t="str" cm="1">
        <f t="array" ref="BD348">IFERROR(IF('BMP P Tracking Table'!$BA348=2,VLOOKUP(CONCATENATE('BMP P Tracking Table'!$AW348," ",'BMP P Tracking Table'!$AY348),'Performance Curves'!$C$1:$L$44,_xlfn.SINGLE(MATCH('BMP P Tracking Table'!$BA348,'Performance Curves'!$D$1:$L$1,1))+1,FALSE),'BMP P Tracking Table'!$BB348*'BMP P Tracking Table'!$BC348+VLOOKUP(CONCATENATE('BMP P Tracking Table'!$AW348," ",'BMP P Tracking Table'!$AY348),'Performance Curves'!$C$1:$L$44,_xlfn.SINGLE(MATCH('BMP P Tracking Table'!$BA348,'Performance Curves'!$D$1:$L$1,1))+1,FALSE)),"")</f>
        <v/>
      </c>
      <c r="BE348" s="104" t="str">
        <f>IFERROR('BMP P Tracking Table'!$BD348*'BMP P Tracking Table'!$AZ348,"")</f>
        <v/>
      </c>
      <c r="BF348" s="98"/>
      <c r="BG348" s="37">
        <f t="shared" si="38"/>
        <v>0</v>
      </c>
    </row>
    <row r="349" spans="2:59" s="36" customFormat="1">
      <c r="B349" s="65"/>
      <c r="C349" s="65"/>
      <c r="D349" s="65"/>
      <c r="E349" s="65"/>
      <c r="F349" s="94"/>
      <c r="G349" s="94"/>
      <c r="H349" s="65"/>
      <c r="I349" s="65"/>
      <c r="J349" s="65"/>
      <c r="K349" s="95"/>
      <c r="L349" s="65"/>
      <c r="M349" s="65"/>
      <c r="N349" s="65"/>
      <c r="O349" s="65"/>
      <c r="P349" s="65"/>
      <c r="Q349" s="65"/>
      <c r="R349" s="65" t="str">
        <f>IFERROR(VLOOKUP('BMP P Tracking Table'!$Q349,Dropdowns!$C$2:$E$15,3,FALSE),"")</f>
        <v/>
      </c>
      <c r="S349" s="65" t="str">
        <f>IFERROR(VLOOKUP('BMP P Tracking Table'!$R349,Dropdowns!$Q$3:$R$23,2,FALSE),"")</f>
        <v/>
      </c>
      <c r="T349" s="65"/>
      <c r="U349" s="65"/>
      <c r="V349" s="65"/>
      <c r="W349" s="65"/>
      <c r="X349" s="65"/>
      <c r="Y349" s="65"/>
      <c r="Z349" s="65"/>
      <c r="AA349" s="65"/>
      <c r="AB349" s="65"/>
      <c r="AC349" s="97"/>
      <c r="AD349" s="65"/>
      <c r="AE349" s="104" t="str">
        <f>IFERROR('BMP P Tracking Table'!$V349*VLOOKUP('BMP P Tracking Table'!$R349,'Loading Rates'!$B$1:$L$24,4,FALSE)+IF('BMP P Tracking Table'!$W349="By HSG",'BMP P Tracking Table'!$X349*VLOOKUP('BMP P Tracking Table'!$R349,'Loading Rates'!$B$1:$L$24,6,FALSE)+'BMP P Tracking Table'!$Y349*VLOOKUP('BMP P Tracking Table'!$R349,'Loading Rates'!$B$1:$L$24,7,FALSE)+'BMP P Tracking Table'!$Z349*VLOOKUP('BMP P Tracking Table'!$R349,'Loading Rates'!$B$1:$L$24,8,FALSE)+'BMP P Tracking Table'!$AA349*VLOOKUP('BMP P Tracking Table'!$R349,'Loading Rates'!$B$1:$L$24,9,FALSE),'BMP P Tracking Table'!$AB349*VLOOKUP('BMP P Tracking Table'!$R349,'Loading Rates'!$B$1:$L$24,10,FALSE)),"")</f>
        <v/>
      </c>
      <c r="AF349" s="104" t="str">
        <f>IFERROR(MIN(2,IF('BMP P Tracking Table'!$W349="Total Pervious",(-(3630*'BMP P Tracking Table'!$V349+20.691*'BMP P Tracking Table'!$AB349)+SQRT((3630*'BMP P Tracking Table'!$V349+20.691*'BMP P Tracking Table'!$AB349)^2-(4*(996.798*'BMP P Tracking Table'!$AB349)*-'BMP P Tracking Table'!$AC349)))/(2*(996.798*'BMP P Tracking Table'!$AB349)),IF(SUM('BMP P Tracking Table'!$X349:$AA349)=0,'BMP P Tracking Table'!$AC349/(-3630*'BMP P Tracking Table'!$V349),(-(3630*'BMP P Tracking Table'!$V349+20.691*'BMP P Tracking Table'!$AA349-216.711*'BMP P Tracking Table'!$Z349-83.853*'BMP P Tracking Table'!$Y349-42.834*'BMP P Tracking Table'!$X349)+SQRT((3630*'BMP P Tracking Table'!$V349+20.691*'BMP P Tracking Table'!$AA349-216.711*'BMP P Tracking Table'!$Z349-83.853*'BMP P Tracking Table'!$Y349-42.834*'BMP P Tracking Table'!$X349)^2-(4*(149.919*'BMP P Tracking Table'!$X349+236.676*'BMP P Tracking Table'!$Y349+726*'BMP P Tracking Table'!$Z349+996.798*'BMP P Tracking Table'!$AA349)*-'BMP P Tracking Table'!$AC349)))/(2*(149.919*'BMP P Tracking Table'!$X349+236.676*'BMP P Tracking Table'!$Y349+726*'BMP P Tracking Table'!$Z349+996.798*'BMP P Tracking Table'!$AA349))))),"")</f>
        <v/>
      </c>
      <c r="AG349" s="104" t="str">
        <f>IFERROR((VLOOKUP(CONCATENATE('BMP P Tracking Table'!$U349," ",'BMP P Tracking Table'!$AD349),'Performance Curves'!$C$1:$L$46,_xlfn.SINGLE(MATCH('BMP P Tracking Table'!$AF349,'Performance Curves'!$D$1:$L$1,1))+2,FALSE)-VLOOKUP(CONCATENATE('BMP P Tracking Table'!$U349," ",'BMP P Tracking Table'!$AD349),'Performance Curves'!$C$1:$L$46,_xlfn.SINGLE(MATCH('BMP P Tracking Table'!$AF349,'Performance Curves'!$D$1:$L$1,1))+1,FALSE)),"")</f>
        <v/>
      </c>
      <c r="AH349" s="104" t="str">
        <f>IFERROR(('BMP P Tracking Table'!$AF349-INDEX('Performance Curves'!$D$1:$L$1,1,MATCH('BMP P Tracking Table'!$AF349,'Performance Curves'!$D$1:$L$1,1)))/(INDEX('Performance Curves'!$D$1:$L$1,1,MATCH('BMP P Tracking Table'!$AF349,'Performance Curves'!$D$1:$L$1,1)+1)-INDEX('Performance Curves'!$D$1:$L$1,1,MATCH('BMP P Tracking Table'!$AF349,'Performance Curves'!$D$1:$L$1,1))),"")</f>
        <v/>
      </c>
      <c r="AI349" s="103" t="str">
        <f>IFERROR(IF('BMP P Tracking Table'!$AF349=2,VLOOKUP(CONCATENATE('BMP P Tracking Table'!$U349," ",'BMP P Tracking Table'!$AD349),'Performance Curves'!$C$1:$L$46,_xlfn.SINGLE(MATCH('BMP P Tracking Table'!$AF349,'Performance Curves'!$D$1:$L$1,1))+1,FALSE),'BMP P Tracking Table'!$AG349*'BMP P Tracking Table'!$AH349+VLOOKUP(CONCATENATE('BMP P Tracking Table'!$U349," ",'BMP P Tracking Table'!$AD349),'Performance Curves'!$C$1:$L$46,_xlfn.SINGLE(MATCH('BMP P Tracking Table'!$AF349,'Performance Curves'!$D$1:$L$1,1))+1,FALSE)),"")</f>
        <v/>
      </c>
      <c r="AJ349" s="104" t="str">
        <f>IFERROR('BMP P Tracking Table'!$AI349*'BMP P Tracking Table'!$AE349,"")</f>
        <v/>
      </c>
      <c r="AK349" s="65"/>
      <c r="AL349" s="98"/>
      <c r="AM349" s="98"/>
      <c r="AN349" s="64">
        <v>1</v>
      </c>
      <c r="AO349" s="102" t="str">
        <f t="shared" si="39"/>
        <v/>
      </c>
      <c r="AP349" s="98"/>
      <c r="AQ349" s="98"/>
      <c r="AR349" s="98"/>
      <c r="AS349" s="98"/>
      <c r="AT349" s="98"/>
      <c r="AU349" s="98"/>
      <c r="AV349" s="98"/>
      <c r="AW349" s="65"/>
      <c r="AX349" s="99"/>
      <c r="AY349" s="99"/>
      <c r="AZ349" s="104" t="str">
        <f>IF('BMP P Tracking Table'!$AL349="Yes",IF('BMP P Tracking Table'!$AM349="No",'BMP P Tracking Table'!$V349*VLOOKUP('BMP P Tracking Table'!$R349,'Loading Rates'!$B$1:$L$24,4,FALSE)+IF('BMP P Tracking Table'!$W349="By HSG",'BMP P Tracking Table'!$X349*VLOOKUP('BMP P Tracking Table'!$R349,'Loading Rates'!$B$1:$L$24,6,FALSE)+'BMP P Tracking Table'!$Y349*VLOOKUP('BMP P Tracking Table'!$R349,'Loading Rates'!$B$1:$L$24,7,FALSE)+'BMP P Tracking Table'!$Z349*VLOOKUP('BMP P Tracking Table'!$R349,'Loading Rates'!$B$1:$L$24,8,FALSE)+'BMP P Tracking Table'!$AA349*VLOOKUP('BMP P Tracking Table'!$R349,'Loading Rates'!$B$1:$L$24,9,FALSE),'BMP P Tracking Table'!$AB349*VLOOKUP('BMP P Tracking Table'!$R349,'Loading Rates'!$B$1:$L$24,10,FALSE)),'BMP P Tracking Table'!$AP349*VLOOKUP('BMP P Tracking Table'!$R349,'Loading Rates'!$B$1:$L$24,4,FALSE)+IF('BMP P Tracking Table'!$AQ349="By HSG",'BMP P Tracking Table'!$AR349*VLOOKUP('BMP P Tracking Table'!$R349,'Loading Rates'!$B$1:$L$24,6,FALSE)+'BMP P Tracking Table'!$AS349*VLOOKUP('BMP P Tracking Table'!$R349,'Loading Rates'!$B$1:$L$24,7,FALSE)+'BMP P Tracking Table'!$AT349*VLOOKUP('BMP P Tracking Table'!$R349,'Loading Rates'!$B$1:$L$24,8,FALSE)+'BMP P Tracking Table'!$AU349*VLOOKUP('BMP P Tracking Table'!$R349,'Loading Rates'!$B$1:$L$24,9,FALSE),'BMP P Tracking Table'!$AV349*VLOOKUP('BMP P Tracking Table'!$R349,'Loading Rates'!$B$1:$L$24,10,FALSE))),"")</f>
        <v/>
      </c>
      <c r="BA349" s="104" t="str">
        <f>IFERROR(IF('BMP P Tracking Table'!$AM349="Yes",MIN(2,IF('BMP P Tracking Table'!$AQ349="Total Pervious",(-(3630*'BMP P Tracking Table'!$AP349+20.691*'BMP P Tracking Table'!$AV349)+SQRT((3630*'BMP P Tracking Table'!$AP349+20.691*'BMP P Tracking Table'!$AV349)^2-(4*(996.798*'BMP P Tracking Table'!$AV349)*-'BMP P Tracking Table'!$AX349)))/(2*(996.798*'BMP P Tracking Table'!$AV349)),IF(SUM('BMP P Tracking Table'!$AR349:$AU349)=0,'BMP P Tracking Table'!$AV349/(-3630*'BMP P Tracking Table'!$AP349),(-(3630*'BMP P Tracking Table'!$AP349+20.691*'BMP P Tracking Table'!$AU349-216.711*'BMP P Tracking Table'!$AT349-83.853*'BMP P Tracking Table'!$AS349-42.834*'BMP P Tracking Table'!$AR349)+SQRT((3630*'BMP P Tracking Table'!$AP349+20.691*'BMP P Tracking Table'!$AU349-216.711*'BMP P Tracking Table'!$AT349-83.853*'BMP P Tracking Table'!$AS349-42.834*'BMP P Tracking Table'!$AR349)^2-(4*(149.919*'BMP P Tracking Table'!$AR349+236.676*'BMP P Tracking Table'!$AS349+726*'BMP P Tracking Table'!$AT349+996.798*'BMP P Tracking Table'!$AU349)*-'BMP P Tracking Table'!$AX349)))/(2*(149.919*'BMP P Tracking Table'!$AR349+236.676*'BMP P Tracking Table'!$AS349+726*'BMP P Tracking Table'!$AT349+996.798*'BMP P Tracking Table'!$AU349))))),MIN(2,IF('BMP P Tracking Table'!$AQ349="Total Pervious",(-(3630*'BMP P Tracking Table'!$V349+20.691*'BMP P Tracking Table'!$AB349)+SQRT((3630*'BMP P Tracking Table'!$V349+20.691*'BMP P Tracking Table'!$AB349)^2-(4*(996.798*'BMP P Tracking Table'!$AB349)*-'BMP P Tracking Table'!$AX349)))/(2*(996.798*'BMP P Tracking Table'!$AB349)),IF(SUM('BMP P Tracking Table'!$X349:$AA349)=0,'BMP P Tracking Table'!$AX349/(-3630*'BMP P Tracking Table'!$V349),(-(3630*'BMP P Tracking Table'!$V349+20.691*'BMP P Tracking Table'!$AA349-216.711*'BMP P Tracking Table'!$Z349-83.853*'BMP P Tracking Table'!$Y349-42.834*'BMP P Tracking Table'!$X349)+SQRT((3630*'BMP P Tracking Table'!$V349+20.691*'BMP P Tracking Table'!$AA349-216.711*'BMP P Tracking Table'!$Z349-83.853*'BMP P Tracking Table'!$Y349-42.834*'BMP P Tracking Table'!$X349)^2-(4*(149.919*'BMP P Tracking Table'!$X349+236.676*'BMP P Tracking Table'!$Y349+726*'BMP P Tracking Table'!$Z349+996.798*'BMP P Tracking Table'!$AA349)*-'BMP P Tracking Table'!$AX349)))/(2*(149.919*'BMP P Tracking Table'!$X349+236.676*'BMP P Tracking Table'!$Y349+726*'BMP P Tracking Table'!$Z349+996.798*'BMP P Tracking Table'!$AA349)))))),"")</f>
        <v/>
      </c>
      <c r="BB349" s="102" t="str">
        <f>IFERROR((VLOOKUP(CONCATENATE('BMP P Tracking Table'!$AW349," ",'BMP P Tracking Table'!$AY349),'Performance Curves'!$C$1:$L$46,_xlfn.SINGLE(MATCH('BMP P Tracking Table'!$BA349,'Performance Curves'!$D$1:$L$1,1))+2,FALSE)-VLOOKUP(CONCATENATE('BMP P Tracking Table'!$AW349," ",'BMP P Tracking Table'!$AY349),'Performance Curves'!$C$1:$L$46,_xlfn.SINGLE(MATCH('BMP P Tracking Table'!$BA349,'Performance Curves'!$D$1:$L$1,1))+1,FALSE)),"")</f>
        <v/>
      </c>
      <c r="BC349" s="102" t="str">
        <f>IFERROR(('BMP P Tracking Table'!$BA349-INDEX('Performance Curves'!$D$1:$L$1,1,MATCH('BMP P Tracking Table'!$BA349,'Performance Curves'!$D$1:$L$1,1)))/(INDEX('Performance Curves'!$D$1:$L$1,1,MATCH('BMP P Tracking Table'!$BA349,'Performance Curves'!$D$1:$L$1,1)+1)-INDEX('Performance Curves'!$D$1:$L$1,1,MATCH('BMP P Tracking Table'!$BA349,'Performance Curves'!$D$1:$L$1,1))),"")</f>
        <v/>
      </c>
      <c r="BD349" s="103" t="str" cm="1">
        <f t="array" ref="BD349">IFERROR(IF('BMP P Tracking Table'!$BA349=2,VLOOKUP(CONCATENATE('BMP P Tracking Table'!$AW349," ",'BMP P Tracking Table'!$AY349),'Performance Curves'!$C$1:$L$44,_xlfn.SINGLE(MATCH('BMP P Tracking Table'!$BA349,'Performance Curves'!$D$1:$L$1,1))+1,FALSE),'BMP P Tracking Table'!$BB349*'BMP P Tracking Table'!$BC349+VLOOKUP(CONCATENATE('BMP P Tracking Table'!$AW349," ",'BMP P Tracking Table'!$AY349),'Performance Curves'!$C$1:$L$44,_xlfn.SINGLE(MATCH('BMP P Tracking Table'!$BA349,'Performance Curves'!$D$1:$L$1,1))+1,FALSE)),"")</f>
        <v/>
      </c>
      <c r="BE349" s="104" t="str">
        <f>IFERROR('BMP P Tracking Table'!$BD349*'BMP P Tracking Table'!$AZ349,"")</f>
        <v/>
      </c>
      <c r="BF349" s="98"/>
      <c r="BG349" s="37">
        <f t="shared" ref="BG349:BG412" si="40">IFERROR(BE349+BF349,0)</f>
        <v>0</v>
      </c>
    </row>
    <row r="350" spans="2:59" s="36" customFormat="1">
      <c r="B350" s="65"/>
      <c r="C350" s="65"/>
      <c r="D350" s="65"/>
      <c r="E350" s="65"/>
      <c r="F350" s="94"/>
      <c r="G350" s="94"/>
      <c r="H350" s="65"/>
      <c r="I350" s="65"/>
      <c r="J350" s="65"/>
      <c r="K350" s="95"/>
      <c r="L350" s="65"/>
      <c r="M350" s="65"/>
      <c r="N350" s="65"/>
      <c r="O350" s="65"/>
      <c r="P350" s="65"/>
      <c r="Q350" s="65"/>
      <c r="R350" s="65" t="str">
        <f>IFERROR(VLOOKUP('BMP P Tracking Table'!$Q350,Dropdowns!$C$2:$E$15,3,FALSE),"")</f>
        <v/>
      </c>
      <c r="S350" s="65" t="str">
        <f>IFERROR(VLOOKUP('BMP P Tracking Table'!$R350,Dropdowns!$Q$3:$R$23,2,FALSE),"")</f>
        <v/>
      </c>
      <c r="T350" s="65"/>
      <c r="U350" s="65"/>
      <c r="V350" s="65"/>
      <c r="W350" s="65"/>
      <c r="X350" s="65"/>
      <c r="Y350" s="65"/>
      <c r="Z350" s="65"/>
      <c r="AA350" s="65"/>
      <c r="AB350" s="65"/>
      <c r="AC350" s="97"/>
      <c r="AD350" s="65"/>
      <c r="AE350" s="104" t="str">
        <f>IFERROR('BMP P Tracking Table'!$V350*VLOOKUP('BMP P Tracking Table'!$R350,'Loading Rates'!$B$1:$L$24,4,FALSE)+IF('BMP P Tracking Table'!$W350="By HSG",'BMP P Tracking Table'!$X350*VLOOKUP('BMP P Tracking Table'!$R350,'Loading Rates'!$B$1:$L$24,6,FALSE)+'BMP P Tracking Table'!$Y350*VLOOKUP('BMP P Tracking Table'!$R350,'Loading Rates'!$B$1:$L$24,7,FALSE)+'BMP P Tracking Table'!$Z350*VLOOKUP('BMP P Tracking Table'!$R350,'Loading Rates'!$B$1:$L$24,8,FALSE)+'BMP P Tracking Table'!$AA350*VLOOKUP('BMP P Tracking Table'!$R350,'Loading Rates'!$B$1:$L$24,9,FALSE),'BMP P Tracking Table'!$AB350*VLOOKUP('BMP P Tracking Table'!$R350,'Loading Rates'!$B$1:$L$24,10,FALSE)),"")</f>
        <v/>
      </c>
      <c r="AF350" s="104" t="str">
        <f>IFERROR(MIN(2,IF('BMP P Tracking Table'!$W350="Total Pervious",(-(3630*'BMP P Tracking Table'!$V350+20.691*'BMP P Tracking Table'!$AB350)+SQRT((3630*'BMP P Tracking Table'!$V350+20.691*'BMP P Tracking Table'!$AB350)^2-(4*(996.798*'BMP P Tracking Table'!$AB350)*-'BMP P Tracking Table'!$AC350)))/(2*(996.798*'BMP P Tracking Table'!$AB350)),IF(SUM('BMP P Tracking Table'!$X350:$AA350)=0,'BMP P Tracking Table'!$AC350/(-3630*'BMP P Tracking Table'!$V350),(-(3630*'BMP P Tracking Table'!$V350+20.691*'BMP P Tracking Table'!$AA350-216.711*'BMP P Tracking Table'!$Z350-83.853*'BMP P Tracking Table'!$Y350-42.834*'BMP P Tracking Table'!$X350)+SQRT((3630*'BMP P Tracking Table'!$V350+20.691*'BMP P Tracking Table'!$AA350-216.711*'BMP P Tracking Table'!$Z350-83.853*'BMP P Tracking Table'!$Y350-42.834*'BMP P Tracking Table'!$X350)^2-(4*(149.919*'BMP P Tracking Table'!$X350+236.676*'BMP P Tracking Table'!$Y350+726*'BMP P Tracking Table'!$Z350+996.798*'BMP P Tracking Table'!$AA350)*-'BMP P Tracking Table'!$AC350)))/(2*(149.919*'BMP P Tracking Table'!$X350+236.676*'BMP P Tracking Table'!$Y350+726*'BMP P Tracking Table'!$Z350+996.798*'BMP P Tracking Table'!$AA350))))),"")</f>
        <v/>
      </c>
      <c r="AG350" s="104" t="str">
        <f>IFERROR((VLOOKUP(CONCATENATE('BMP P Tracking Table'!$U350," ",'BMP P Tracking Table'!$AD350),'Performance Curves'!$C$1:$L$46,_xlfn.SINGLE(MATCH('BMP P Tracking Table'!$AF350,'Performance Curves'!$D$1:$L$1,1))+2,FALSE)-VLOOKUP(CONCATENATE('BMP P Tracking Table'!$U350," ",'BMP P Tracking Table'!$AD350),'Performance Curves'!$C$1:$L$46,_xlfn.SINGLE(MATCH('BMP P Tracking Table'!$AF350,'Performance Curves'!$D$1:$L$1,1))+1,FALSE)),"")</f>
        <v/>
      </c>
      <c r="AH350" s="104" t="str">
        <f>IFERROR(('BMP P Tracking Table'!$AF350-INDEX('Performance Curves'!$D$1:$L$1,1,MATCH('BMP P Tracking Table'!$AF350,'Performance Curves'!$D$1:$L$1,1)))/(INDEX('Performance Curves'!$D$1:$L$1,1,MATCH('BMP P Tracking Table'!$AF350,'Performance Curves'!$D$1:$L$1,1)+1)-INDEX('Performance Curves'!$D$1:$L$1,1,MATCH('BMP P Tracking Table'!$AF350,'Performance Curves'!$D$1:$L$1,1))),"")</f>
        <v/>
      </c>
      <c r="AI350" s="103" t="str">
        <f>IFERROR(IF('BMP P Tracking Table'!$AF350=2,VLOOKUP(CONCATENATE('BMP P Tracking Table'!$U350," ",'BMP P Tracking Table'!$AD350),'Performance Curves'!$C$1:$L$46,_xlfn.SINGLE(MATCH('BMP P Tracking Table'!$AF350,'Performance Curves'!$D$1:$L$1,1))+1,FALSE),'BMP P Tracking Table'!$AG350*'BMP P Tracking Table'!$AH350+VLOOKUP(CONCATENATE('BMP P Tracking Table'!$U350," ",'BMP P Tracking Table'!$AD350),'Performance Curves'!$C$1:$L$46,_xlfn.SINGLE(MATCH('BMP P Tracking Table'!$AF350,'Performance Curves'!$D$1:$L$1,1))+1,FALSE)),"")</f>
        <v/>
      </c>
      <c r="AJ350" s="104" t="str">
        <f>IFERROR('BMP P Tracking Table'!$AI350*'BMP P Tracking Table'!$AE350,"")</f>
        <v/>
      </c>
      <c r="AK350" s="65"/>
      <c r="AL350" s="98"/>
      <c r="AM350" s="98"/>
      <c r="AN350" s="64">
        <v>1</v>
      </c>
      <c r="AO350" s="102" t="str">
        <f t="shared" si="39"/>
        <v/>
      </c>
      <c r="AP350" s="98"/>
      <c r="AQ350" s="98"/>
      <c r="AR350" s="98"/>
      <c r="AS350" s="98"/>
      <c r="AT350" s="98"/>
      <c r="AU350" s="98"/>
      <c r="AV350" s="98"/>
      <c r="AW350" s="65"/>
      <c r="AX350" s="99"/>
      <c r="AY350" s="99"/>
      <c r="AZ350" s="104" t="str">
        <f>IF('BMP P Tracking Table'!$AL350="Yes",IF('BMP P Tracking Table'!$AM350="No",'BMP P Tracking Table'!$V350*VLOOKUP('BMP P Tracking Table'!$R350,'Loading Rates'!$B$1:$L$24,4,FALSE)+IF('BMP P Tracking Table'!$W350="By HSG",'BMP P Tracking Table'!$X350*VLOOKUP('BMP P Tracking Table'!$R350,'Loading Rates'!$B$1:$L$24,6,FALSE)+'BMP P Tracking Table'!$Y350*VLOOKUP('BMP P Tracking Table'!$R350,'Loading Rates'!$B$1:$L$24,7,FALSE)+'BMP P Tracking Table'!$Z350*VLOOKUP('BMP P Tracking Table'!$R350,'Loading Rates'!$B$1:$L$24,8,FALSE)+'BMP P Tracking Table'!$AA350*VLOOKUP('BMP P Tracking Table'!$R350,'Loading Rates'!$B$1:$L$24,9,FALSE),'BMP P Tracking Table'!$AB350*VLOOKUP('BMP P Tracking Table'!$R350,'Loading Rates'!$B$1:$L$24,10,FALSE)),'BMP P Tracking Table'!$AP350*VLOOKUP('BMP P Tracking Table'!$R350,'Loading Rates'!$B$1:$L$24,4,FALSE)+IF('BMP P Tracking Table'!$AQ350="By HSG",'BMP P Tracking Table'!$AR350*VLOOKUP('BMP P Tracking Table'!$R350,'Loading Rates'!$B$1:$L$24,6,FALSE)+'BMP P Tracking Table'!$AS350*VLOOKUP('BMP P Tracking Table'!$R350,'Loading Rates'!$B$1:$L$24,7,FALSE)+'BMP P Tracking Table'!$AT350*VLOOKUP('BMP P Tracking Table'!$R350,'Loading Rates'!$B$1:$L$24,8,FALSE)+'BMP P Tracking Table'!$AU350*VLOOKUP('BMP P Tracking Table'!$R350,'Loading Rates'!$B$1:$L$24,9,FALSE),'BMP P Tracking Table'!$AV350*VLOOKUP('BMP P Tracking Table'!$R350,'Loading Rates'!$B$1:$L$24,10,FALSE))),"")</f>
        <v/>
      </c>
      <c r="BA350" s="104" t="str">
        <f>IFERROR(IF('BMP P Tracking Table'!$AM350="Yes",MIN(2,IF('BMP P Tracking Table'!$AQ350="Total Pervious",(-(3630*'BMP P Tracking Table'!$AP350+20.691*'BMP P Tracking Table'!$AV350)+SQRT((3630*'BMP P Tracking Table'!$AP350+20.691*'BMP P Tracking Table'!$AV350)^2-(4*(996.798*'BMP P Tracking Table'!$AV350)*-'BMP P Tracking Table'!$AX350)))/(2*(996.798*'BMP P Tracking Table'!$AV350)),IF(SUM('BMP P Tracking Table'!$AR350:$AU350)=0,'BMP P Tracking Table'!$AV350/(-3630*'BMP P Tracking Table'!$AP350),(-(3630*'BMP P Tracking Table'!$AP350+20.691*'BMP P Tracking Table'!$AU350-216.711*'BMP P Tracking Table'!$AT350-83.853*'BMP P Tracking Table'!$AS350-42.834*'BMP P Tracking Table'!$AR350)+SQRT((3630*'BMP P Tracking Table'!$AP350+20.691*'BMP P Tracking Table'!$AU350-216.711*'BMP P Tracking Table'!$AT350-83.853*'BMP P Tracking Table'!$AS350-42.834*'BMP P Tracking Table'!$AR350)^2-(4*(149.919*'BMP P Tracking Table'!$AR350+236.676*'BMP P Tracking Table'!$AS350+726*'BMP P Tracking Table'!$AT350+996.798*'BMP P Tracking Table'!$AU350)*-'BMP P Tracking Table'!$AX350)))/(2*(149.919*'BMP P Tracking Table'!$AR350+236.676*'BMP P Tracking Table'!$AS350+726*'BMP P Tracking Table'!$AT350+996.798*'BMP P Tracking Table'!$AU350))))),MIN(2,IF('BMP P Tracking Table'!$AQ350="Total Pervious",(-(3630*'BMP P Tracking Table'!$V350+20.691*'BMP P Tracking Table'!$AB350)+SQRT((3630*'BMP P Tracking Table'!$V350+20.691*'BMP P Tracking Table'!$AB350)^2-(4*(996.798*'BMP P Tracking Table'!$AB350)*-'BMP P Tracking Table'!$AX350)))/(2*(996.798*'BMP P Tracking Table'!$AB350)),IF(SUM('BMP P Tracking Table'!$X350:$AA350)=0,'BMP P Tracking Table'!$AX350/(-3630*'BMP P Tracking Table'!$V350),(-(3630*'BMP P Tracking Table'!$V350+20.691*'BMP P Tracking Table'!$AA350-216.711*'BMP P Tracking Table'!$Z350-83.853*'BMP P Tracking Table'!$Y350-42.834*'BMP P Tracking Table'!$X350)+SQRT((3630*'BMP P Tracking Table'!$V350+20.691*'BMP P Tracking Table'!$AA350-216.711*'BMP P Tracking Table'!$Z350-83.853*'BMP P Tracking Table'!$Y350-42.834*'BMP P Tracking Table'!$X350)^2-(4*(149.919*'BMP P Tracking Table'!$X350+236.676*'BMP P Tracking Table'!$Y350+726*'BMP P Tracking Table'!$Z350+996.798*'BMP P Tracking Table'!$AA350)*-'BMP P Tracking Table'!$AX350)))/(2*(149.919*'BMP P Tracking Table'!$X350+236.676*'BMP P Tracking Table'!$Y350+726*'BMP P Tracking Table'!$Z350+996.798*'BMP P Tracking Table'!$AA350)))))),"")</f>
        <v/>
      </c>
      <c r="BB350" s="102" t="str">
        <f>IFERROR((VLOOKUP(CONCATENATE('BMP P Tracking Table'!$AW350," ",'BMP P Tracking Table'!$AY350),'Performance Curves'!$C$1:$L$46,_xlfn.SINGLE(MATCH('BMP P Tracking Table'!$BA350,'Performance Curves'!$D$1:$L$1,1))+2,FALSE)-VLOOKUP(CONCATENATE('BMP P Tracking Table'!$AW350," ",'BMP P Tracking Table'!$AY350),'Performance Curves'!$C$1:$L$46,_xlfn.SINGLE(MATCH('BMP P Tracking Table'!$BA350,'Performance Curves'!$D$1:$L$1,1))+1,FALSE)),"")</f>
        <v/>
      </c>
      <c r="BC350" s="102" t="str">
        <f>IFERROR(('BMP P Tracking Table'!$BA350-INDEX('Performance Curves'!$D$1:$L$1,1,MATCH('BMP P Tracking Table'!$BA350,'Performance Curves'!$D$1:$L$1,1)))/(INDEX('Performance Curves'!$D$1:$L$1,1,MATCH('BMP P Tracking Table'!$BA350,'Performance Curves'!$D$1:$L$1,1)+1)-INDEX('Performance Curves'!$D$1:$L$1,1,MATCH('BMP P Tracking Table'!$BA350,'Performance Curves'!$D$1:$L$1,1))),"")</f>
        <v/>
      </c>
      <c r="BD350" s="103" t="str" cm="1">
        <f t="array" ref="BD350">IFERROR(IF('BMP P Tracking Table'!$BA350=2,VLOOKUP(CONCATENATE('BMP P Tracking Table'!$AW350," ",'BMP P Tracking Table'!$AY350),'Performance Curves'!$C$1:$L$44,_xlfn.SINGLE(MATCH('BMP P Tracking Table'!$BA350,'Performance Curves'!$D$1:$L$1,1))+1,FALSE),'BMP P Tracking Table'!$BB350*'BMP P Tracking Table'!$BC350+VLOOKUP(CONCATENATE('BMP P Tracking Table'!$AW350," ",'BMP P Tracking Table'!$AY350),'Performance Curves'!$C$1:$L$44,_xlfn.SINGLE(MATCH('BMP P Tracking Table'!$BA350,'Performance Curves'!$D$1:$L$1,1))+1,FALSE)),"")</f>
        <v/>
      </c>
      <c r="BE350" s="104" t="str">
        <f>IFERROR('BMP P Tracking Table'!$BD350*'BMP P Tracking Table'!$AZ350,"")</f>
        <v/>
      </c>
      <c r="BF350" s="98"/>
      <c r="BG350" s="37">
        <f t="shared" si="40"/>
        <v>0</v>
      </c>
    </row>
    <row r="351" spans="2:59" s="36" customFormat="1">
      <c r="B351" s="65"/>
      <c r="C351" s="65"/>
      <c r="D351" s="65"/>
      <c r="E351" s="65"/>
      <c r="F351" s="94"/>
      <c r="G351" s="94"/>
      <c r="H351" s="65"/>
      <c r="I351" s="65"/>
      <c r="J351" s="65"/>
      <c r="K351" s="95"/>
      <c r="L351" s="65"/>
      <c r="M351" s="65"/>
      <c r="N351" s="65"/>
      <c r="O351" s="65"/>
      <c r="P351" s="65"/>
      <c r="Q351" s="65"/>
      <c r="R351" s="65" t="str">
        <f>IFERROR(VLOOKUP('BMP P Tracking Table'!$Q351,Dropdowns!$C$2:$E$15,3,FALSE),"")</f>
        <v/>
      </c>
      <c r="S351" s="65" t="str">
        <f>IFERROR(VLOOKUP('BMP P Tracking Table'!$R351,Dropdowns!$Q$3:$R$23,2,FALSE),"")</f>
        <v/>
      </c>
      <c r="T351" s="65"/>
      <c r="U351" s="65"/>
      <c r="V351" s="65"/>
      <c r="W351" s="65"/>
      <c r="X351" s="65"/>
      <c r="Y351" s="65"/>
      <c r="Z351" s="65"/>
      <c r="AA351" s="65"/>
      <c r="AB351" s="65"/>
      <c r="AC351" s="97"/>
      <c r="AD351" s="65"/>
      <c r="AE351" s="104" t="str">
        <f>IFERROR('BMP P Tracking Table'!$V351*VLOOKUP('BMP P Tracking Table'!$R351,'Loading Rates'!$B$1:$L$24,4,FALSE)+IF('BMP P Tracking Table'!$W351="By HSG",'BMP P Tracking Table'!$X351*VLOOKUP('BMP P Tracking Table'!$R351,'Loading Rates'!$B$1:$L$24,6,FALSE)+'BMP P Tracking Table'!$Y351*VLOOKUP('BMP P Tracking Table'!$R351,'Loading Rates'!$B$1:$L$24,7,FALSE)+'BMP P Tracking Table'!$Z351*VLOOKUP('BMP P Tracking Table'!$R351,'Loading Rates'!$B$1:$L$24,8,FALSE)+'BMP P Tracking Table'!$AA351*VLOOKUP('BMP P Tracking Table'!$R351,'Loading Rates'!$B$1:$L$24,9,FALSE),'BMP P Tracking Table'!$AB351*VLOOKUP('BMP P Tracking Table'!$R351,'Loading Rates'!$B$1:$L$24,10,FALSE)),"")</f>
        <v/>
      </c>
      <c r="AF351" s="104" t="str">
        <f>IFERROR(MIN(2,IF('BMP P Tracking Table'!$W351="Total Pervious",(-(3630*'BMP P Tracking Table'!$V351+20.691*'BMP P Tracking Table'!$AB351)+SQRT((3630*'BMP P Tracking Table'!$V351+20.691*'BMP P Tracking Table'!$AB351)^2-(4*(996.798*'BMP P Tracking Table'!$AB351)*-'BMP P Tracking Table'!$AC351)))/(2*(996.798*'BMP P Tracking Table'!$AB351)),IF(SUM('BMP P Tracking Table'!$X351:$AA351)=0,'BMP P Tracking Table'!$AC351/(-3630*'BMP P Tracking Table'!$V351),(-(3630*'BMP P Tracking Table'!$V351+20.691*'BMP P Tracking Table'!$AA351-216.711*'BMP P Tracking Table'!$Z351-83.853*'BMP P Tracking Table'!$Y351-42.834*'BMP P Tracking Table'!$X351)+SQRT((3630*'BMP P Tracking Table'!$V351+20.691*'BMP P Tracking Table'!$AA351-216.711*'BMP P Tracking Table'!$Z351-83.853*'BMP P Tracking Table'!$Y351-42.834*'BMP P Tracking Table'!$X351)^2-(4*(149.919*'BMP P Tracking Table'!$X351+236.676*'BMP P Tracking Table'!$Y351+726*'BMP P Tracking Table'!$Z351+996.798*'BMP P Tracking Table'!$AA351)*-'BMP P Tracking Table'!$AC351)))/(2*(149.919*'BMP P Tracking Table'!$X351+236.676*'BMP P Tracking Table'!$Y351+726*'BMP P Tracking Table'!$Z351+996.798*'BMP P Tracking Table'!$AA351))))),"")</f>
        <v/>
      </c>
      <c r="AG351" s="104" t="str">
        <f>IFERROR((VLOOKUP(CONCATENATE('BMP P Tracking Table'!$U351," ",'BMP P Tracking Table'!$AD351),'Performance Curves'!$C$1:$L$46,_xlfn.SINGLE(MATCH('BMP P Tracking Table'!$AF351,'Performance Curves'!$D$1:$L$1,1))+2,FALSE)-VLOOKUP(CONCATENATE('BMP P Tracking Table'!$U351," ",'BMP P Tracking Table'!$AD351),'Performance Curves'!$C$1:$L$46,_xlfn.SINGLE(MATCH('BMP P Tracking Table'!$AF351,'Performance Curves'!$D$1:$L$1,1))+1,FALSE)),"")</f>
        <v/>
      </c>
      <c r="AH351" s="104" t="str">
        <f>IFERROR(('BMP P Tracking Table'!$AF351-INDEX('Performance Curves'!$D$1:$L$1,1,MATCH('BMP P Tracking Table'!$AF351,'Performance Curves'!$D$1:$L$1,1)))/(INDEX('Performance Curves'!$D$1:$L$1,1,MATCH('BMP P Tracking Table'!$AF351,'Performance Curves'!$D$1:$L$1,1)+1)-INDEX('Performance Curves'!$D$1:$L$1,1,MATCH('BMP P Tracking Table'!$AF351,'Performance Curves'!$D$1:$L$1,1))),"")</f>
        <v/>
      </c>
      <c r="AI351" s="103" t="str">
        <f>IFERROR(IF('BMP P Tracking Table'!$AF351=2,VLOOKUP(CONCATENATE('BMP P Tracking Table'!$U351," ",'BMP P Tracking Table'!$AD351),'Performance Curves'!$C$1:$L$46,_xlfn.SINGLE(MATCH('BMP P Tracking Table'!$AF351,'Performance Curves'!$D$1:$L$1,1))+1,FALSE),'BMP P Tracking Table'!$AG351*'BMP P Tracking Table'!$AH351+VLOOKUP(CONCATENATE('BMP P Tracking Table'!$U351," ",'BMP P Tracking Table'!$AD351),'Performance Curves'!$C$1:$L$46,_xlfn.SINGLE(MATCH('BMP P Tracking Table'!$AF351,'Performance Curves'!$D$1:$L$1,1))+1,FALSE)),"")</f>
        <v/>
      </c>
      <c r="AJ351" s="104" t="str">
        <f>IFERROR('BMP P Tracking Table'!$AI351*'BMP P Tracking Table'!$AE351,"")</f>
        <v/>
      </c>
      <c r="AK351" s="65"/>
      <c r="AL351" s="98"/>
      <c r="AM351" s="98"/>
      <c r="AN351" s="64">
        <v>1</v>
      </c>
      <c r="AO351" s="102" t="str">
        <f t="shared" si="39"/>
        <v/>
      </c>
      <c r="AP351" s="98"/>
      <c r="AQ351" s="98"/>
      <c r="AR351" s="98"/>
      <c r="AS351" s="98"/>
      <c r="AT351" s="98"/>
      <c r="AU351" s="98"/>
      <c r="AV351" s="98"/>
      <c r="AW351" s="65"/>
      <c r="AX351" s="99"/>
      <c r="AY351" s="99"/>
      <c r="AZ351" s="104" t="str">
        <f>IF('BMP P Tracking Table'!$AL351="Yes",IF('BMP P Tracking Table'!$AM351="No",'BMP P Tracking Table'!$V351*VLOOKUP('BMP P Tracking Table'!$R351,'Loading Rates'!$B$1:$L$24,4,FALSE)+IF('BMP P Tracking Table'!$W351="By HSG",'BMP P Tracking Table'!$X351*VLOOKUP('BMP P Tracking Table'!$R351,'Loading Rates'!$B$1:$L$24,6,FALSE)+'BMP P Tracking Table'!$Y351*VLOOKUP('BMP P Tracking Table'!$R351,'Loading Rates'!$B$1:$L$24,7,FALSE)+'BMP P Tracking Table'!$Z351*VLOOKUP('BMP P Tracking Table'!$R351,'Loading Rates'!$B$1:$L$24,8,FALSE)+'BMP P Tracking Table'!$AA351*VLOOKUP('BMP P Tracking Table'!$R351,'Loading Rates'!$B$1:$L$24,9,FALSE),'BMP P Tracking Table'!$AB351*VLOOKUP('BMP P Tracking Table'!$R351,'Loading Rates'!$B$1:$L$24,10,FALSE)),'BMP P Tracking Table'!$AP351*VLOOKUP('BMP P Tracking Table'!$R351,'Loading Rates'!$B$1:$L$24,4,FALSE)+IF('BMP P Tracking Table'!$AQ351="By HSG",'BMP P Tracking Table'!$AR351*VLOOKUP('BMP P Tracking Table'!$R351,'Loading Rates'!$B$1:$L$24,6,FALSE)+'BMP P Tracking Table'!$AS351*VLOOKUP('BMP P Tracking Table'!$R351,'Loading Rates'!$B$1:$L$24,7,FALSE)+'BMP P Tracking Table'!$AT351*VLOOKUP('BMP P Tracking Table'!$R351,'Loading Rates'!$B$1:$L$24,8,FALSE)+'BMP P Tracking Table'!$AU351*VLOOKUP('BMP P Tracking Table'!$R351,'Loading Rates'!$B$1:$L$24,9,FALSE),'BMP P Tracking Table'!$AV351*VLOOKUP('BMP P Tracking Table'!$R351,'Loading Rates'!$B$1:$L$24,10,FALSE))),"")</f>
        <v/>
      </c>
      <c r="BA351" s="104" t="str">
        <f>IFERROR(IF('BMP P Tracking Table'!$AM351="Yes",MIN(2,IF('BMP P Tracking Table'!$AQ351="Total Pervious",(-(3630*'BMP P Tracking Table'!$AP351+20.691*'BMP P Tracking Table'!$AV351)+SQRT((3630*'BMP P Tracking Table'!$AP351+20.691*'BMP P Tracking Table'!$AV351)^2-(4*(996.798*'BMP P Tracking Table'!$AV351)*-'BMP P Tracking Table'!$AX351)))/(2*(996.798*'BMP P Tracking Table'!$AV351)),IF(SUM('BMP P Tracking Table'!$AR351:$AU351)=0,'BMP P Tracking Table'!$AV351/(-3630*'BMP P Tracking Table'!$AP351),(-(3630*'BMP P Tracking Table'!$AP351+20.691*'BMP P Tracking Table'!$AU351-216.711*'BMP P Tracking Table'!$AT351-83.853*'BMP P Tracking Table'!$AS351-42.834*'BMP P Tracking Table'!$AR351)+SQRT((3630*'BMP P Tracking Table'!$AP351+20.691*'BMP P Tracking Table'!$AU351-216.711*'BMP P Tracking Table'!$AT351-83.853*'BMP P Tracking Table'!$AS351-42.834*'BMP P Tracking Table'!$AR351)^2-(4*(149.919*'BMP P Tracking Table'!$AR351+236.676*'BMP P Tracking Table'!$AS351+726*'BMP P Tracking Table'!$AT351+996.798*'BMP P Tracking Table'!$AU351)*-'BMP P Tracking Table'!$AX351)))/(2*(149.919*'BMP P Tracking Table'!$AR351+236.676*'BMP P Tracking Table'!$AS351+726*'BMP P Tracking Table'!$AT351+996.798*'BMP P Tracking Table'!$AU351))))),MIN(2,IF('BMP P Tracking Table'!$AQ351="Total Pervious",(-(3630*'BMP P Tracking Table'!$V351+20.691*'BMP P Tracking Table'!$AB351)+SQRT((3630*'BMP P Tracking Table'!$V351+20.691*'BMP P Tracking Table'!$AB351)^2-(4*(996.798*'BMP P Tracking Table'!$AB351)*-'BMP P Tracking Table'!$AX351)))/(2*(996.798*'BMP P Tracking Table'!$AB351)),IF(SUM('BMP P Tracking Table'!$X351:$AA351)=0,'BMP P Tracking Table'!$AX351/(-3630*'BMP P Tracking Table'!$V351),(-(3630*'BMP P Tracking Table'!$V351+20.691*'BMP P Tracking Table'!$AA351-216.711*'BMP P Tracking Table'!$Z351-83.853*'BMP P Tracking Table'!$Y351-42.834*'BMP P Tracking Table'!$X351)+SQRT((3630*'BMP P Tracking Table'!$V351+20.691*'BMP P Tracking Table'!$AA351-216.711*'BMP P Tracking Table'!$Z351-83.853*'BMP P Tracking Table'!$Y351-42.834*'BMP P Tracking Table'!$X351)^2-(4*(149.919*'BMP P Tracking Table'!$X351+236.676*'BMP P Tracking Table'!$Y351+726*'BMP P Tracking Table'!$Z351+996.798*'BMP P Tracking Table'!$AA351)*-'BMP P Tracking Table'!$AX351)))/(2*(149.919*'BMP P Tracking Table'!$X351+236.676*'BMP P Tracking Table'!$Y351+726*'BMP P Tracking Table'!$Z351+996.798*'BMP P Tracking Table'!$AA351)))))),"")</f>
        <v/>
      </c>
      <c r="BB351" s="102" t="str">
        <f>IFERROR((VLOOKUP(CONCATENATE('BMP P Tracking Table'!$AW351," ",'BMP P Tracking Table'!$AY351),'Performance Curves'!$C$1:$L$46,_xlfn.SINGLE(MATCH('BMP P Tracking Table'!$BA351,'Performance Curves'!$D$1:$L$1,1))+2,FALSE)-VLOOKUP(CONCATENATE('BMP P Tracking Table'!$AW351," ",'BMP P Tracking Table'!$AY351),'Performance Curves'!$C$1:$L$46,_xlfn.SINGLE(MATCH('BMP P Tracking Table'!$BA351,'Performance Curves'!$D$1:$L$1,1))+1,FALSE)),"")</f>
        <v/>
      </c>
      <c r="BC351" s="102" t="str">
        <f>IFERROR(('BMP P Tracking Table'!$BA351-INDEX('Performance Curves'!$D$1:$L$1,1,MATCH('BMP P Tracking Table'!$BA351,'Performance Curves'!$D$1:$L$1,1)))/(INDEX('Performance Curves'!$D$1:$L$1,1,MATCH('BMP P Tracking Table'!$BA351,'Performance Curves'!$D$1:$L$1,1)+1)-INDEX('Performance Curves'!$D$1:$L$1,1,MATCH('BMP P Tracking Table'!$BA351,'Performance Curves'!$D$1:$L$1,1))),"")</f>
        <v/>
      </c>
      <c r="BD351" s="103" t="str" cm="1">
        <f t="array" ref="BD351">IFERROR(IF('BMP P Tracking Table'!$BA351=2,VLOOKUP(CONCATENATE('BMP P Tracking Table'!$AW351," ",'BMP P Tracking Table'!$AY351),'Performance Curves'!$C$1:$L$44,_xlfn.SINGLE(MATCH('BMP P Tracking Table'!$BA351,'Performance Curves'!$D$1:$L$1,1))+1,FALSE),'BMP P Tracking Table'!$BB351*'BMP P Tracking Table'!$BC351+VLOOKUP(CONCATENATE('BMP P Tracking Table'!$AW351," ",'BMP P Tracking Table'!$AY351),'Performance Curves'!$C$1:$L$44,_xlfn.SINGLE(MATCH('BMP P Tracking Table'!$BA351,'Performance Curves'!$D$1:$L$1,1))+1,FALSE)),"")</f>
        <v/>
      </c>
      <c r="BE351" s="104" t="str">
        <f>IFERROR('BMP P Tracking Table'!$BD351*'BMP P Tracking Table'!$AZ351,"")</f>
        <v/>
      </c>
      <c r="BF351" s="98"/>
      <c r="BG351" s="37">
        <f t="shared" si="40"/>
        <v>0</v>
      </c>
    </row>
    <row r="352" spans="2:59" s="36" customFormat="1">
      <c r="B352" s="65"/>
      <c r="C352" s="65"/>
      <c r="D352" s="65"/>
      <c r="E352" s="65"/>
      <c r="F352" s="94"/>
      <c r="G352" s="94"/>
      <c r="H352" s="65"/>
      <c r="I352" s="65"/>
      <c r="J352" s="65"/>
      <c r="K352" s="95"/>
      <c r="L352" s="65"/>
      <c r="M352" s="65"/>
      <c r="N352" s="65"/>
      <c r="O352" s="65"/>
      <c r="P352" s="65"/>
      <c r="Q352" s="65"/>
      <c r="R352" s="65" t="str">
        <f>IFERROR(VLOOKUP('BMP P Tracking Table'!$Q352,Dropdowns!$C$2:$E$15,3,FALSE),"")</f>
        <v/>
      </c>
      <c r="S352" s="65" t="str">
        <f>IFERROR(VLOOKUP('BMP P Tracking Table'!$R352,Dropdowns!$Q$3:$R$23,2,FALSE),"")</f>
        <v/>
      </c>
      <c r="T352" s="65"/>
      <c r="U352" s="65"/>
      <c r="V352" s="65"/>
      <c r="W352" s="65"/>
      <c r="X352" s="65"/>
      <c r="Y352" s="65"/>
      <c r="Z352" s="65"/>
      <c r="AA352" s="65"/>
      <c r="AB352" s="65"/>
      <c r="AC352" s="97"/>
      <c r="AD352" s="65"/>
      <c r="AE352" s="104" t="str">
        <f>IFERROR('BMP P Tracking Table'!$V352*VLOOKUP('BMP P Tracking Table'!$R352,'Loading Rates'!$B$1:$L$24,4,FALSE)+IF('BMP P Tracking Table'!$W352="By HSG",'BMP P Tracking Table'!$X352*VLOOKUP('BMP P Tracking Table'!$R352,'Loading Rates'!$B$1:$L$24,6,FALSE)+'BMP P Tracking Table'!$Y352*VLOOKUP('BMP P Tracking Table'!$R352,'Loading Rates'!$B$1:$L$24,7,FALSE)+'BMP P Tracking Table'!$Z352*VLOOKUP('BMP P Tracking Table'!$R352,'Loading Rates'!$B$1:$L$24,8,FALSE)+'BMP P Tracking Table'!$AA352*VLOOKUP('BMP P Tracking Table'!$R352,'Loading Rates'!$B$1:$L$24,9,FALSE),'BMP P Tracking Table'!$AB352*VLOOKUP('BMP P Tracking Table'!$R352,'Loading Rates'!$B$1:$L$24,10,FALSE)),"")</f>
        <v/>
      </c>
      <c r="AF352" s="104" t="str">
        <f>IFERROR(MIN(2,IF('BMP P Tracking Table'!$W352="Total Pervious",(-(3630*'BMP P Tracking Table'!$V352+20.691*'BMP P Tracking Table'!$AB352)+SQRT((3630*'BMP P Tracking Table'!$V352+20.691*'BMP P Tracking Table'!$AB352)^2-(4*(996.798*'BMP P Tracking Table'!$AB352)*-'BMP P Tracking Table'!$AC352)))/(2*(996.798*'BMP P Tracking Table'!$AB352)),IF(SUM('BMP P Tracking Table'!$X352:$AA352)=0,'BMP P Tracking Table'!$AC352/(-3630*'BMP P Tracking Table'!$V352),(-(3630*'BMP P Tracking Table'!$V352+20.691*'BMP P Tracking Table'!$AA352-216.711*'BMP P Tracking Table'!$Z352-83.853*'BMP P Tracking Table'!$Y352-42.834*'BMP P Tracking Table'!$X352)+SQRT((3630*'BMP P Tracking Table'!$V352+20.691*'BMP P Tracking Table'!$AA352-216.711*'BMP P Tracking Table'!$Z352-83.853*'BMP P Tracking Table'!$Y352-42.834*'BMP P Tracking Table'!$X352)^2-(4*(149.919*'BMP P Tracking Table'!$X352+236.676*'BMP P Tracking Table'!$Y352+726*'BMP P Tracking Table'!$Z352+996.798*'BMP P Tracking Table'!$AA352)*-'BMP P Tracking Table'!$AC352)))/(2*(149.919*'BMP P Tracking Table'!$X352+236.676*'BMP P Tracking Table'!$Y352+726*'BMP P Tracking Table'!$Z352+996.798*'BMP P Tracking Table'!$AA352))))),"")</f>
        <v/>
      </c>
      <c r="AG352" s="104" t="str">
        <f>IFERROR((VLOOKUP(CONCATENATE('BMP P Tracking Table'!$U352," ",'BMP P Tracking Table'!$AD352),'Performance Curves'!$C$1:$L$46,_xlfn.SINGLE(MATCH('BMP P Tracking Table'!$AF352,'Performance Curves'!$D$1:$L$1,1))+2,FALSE)-VLOOKUP(CONCATENATE('BMP P Tracking Table'!$U352," ",'BMP P Tracking Table'!$AD352),'Performance Curves'!$C$1:$L$46,_xlfn.SINGLE(MATCH('BMP P Tracking Table'!$AF352,'Performance Curves'!$D$1:$L$1,1))+1,FALSE)),"")</f>
        <v/>
      </c>
      <c r="AH352" s="104" t="str">
        <f>IFERROR(('BMP P Tracking Table'!$AF352-INDEX('Performance Curves'!$D$1:$L$1,1,MATCH('BMP P Tracking Table'!$AF352,'Performance Curves'!$D$1:$L$1,1)))/(INDEX('Performance Curves'!$D$1:$L$1,1,MATCH('BMP P Tracking Table'!$AF352,'Performance Curves'!$D$1:$L$1,1)+1)-INDEX('Performance Curves'!$D$1:$L$1,1,MATCH('BMP P Tracking Table'!$AF352,'Performance Curves'!$D$1:$L$1,1))),"")</f>
        <v/>
      </c>
      <c r="AI352" s="103" t="str">
        <f>IFERROR(IF('BMP P Tracking Table'!$AF352=2,VLOOKUP(CONCATENATE('BMP P Tracking Table'!$U352," ",'BMP P Tracking Table'!$AD352),'Performance Curves'!$C$1:$L$46,_xlfn.SINGLE(MATCH('BMP P Tracking Table'!$AF352,'Performance Curves'!$D$1:$L$1,1))+1,FALSE),'BMP P Tracking Table'!$AG352*'BMP P Tracking Table'!$AH352+VLOOKUP(CONCATENATE('BMP P Tracking Table'!$U352," ",'BMP P Tracking Table'!$AD352),'Performance Curves'!$C$1:$L$46,_xlfn.SINGLE(MATCH('BMP P Tracking Table'!$AF352,'Performance Curves'!$D$1:$L$1,1))+1,FALSE)),"")</f>
        <v/>
      </c>
      <c r="AJ352" s="104" t="str">
        <f>IFERROR('BMP P Tracking Table'!$AI352*'BMP P Tracking Table'!$AE352,"")</f>
        <v/>
      </c>
      <c r="AK352" s="65"/>
      <c r="AL352" s="98"/>
      <c r="AM352" s="98"/>
      <c r="AN352" s="64">
        <v>1</v>
      </c>
      <c r="AO352" s="102" t="str">
        <f t="shared" si="39"/>
        <v/>
      </c>
      <c r="AP352" s="98"/>
      <c r="AQ352" s="98"/>
      <c r="AR352" s="98"/>
      <c r="AS352" s="98"/>
      <c r="AT352" s="98"/>
      <c r="AU352" s="98"/>
      <c r="AV352" s="98"/>
      <c r="AW352" s="65"/>
      <c r="AX352" s="99"/>
      <c r="AY352" s="99"/>
      <c r="AZ352" s="104" t="str">
        <f>IF('BMP P Tracking Table'!$AL352="Yes",IF('BMP P Tracking Table'!$AM352="No",'BMP P Tracking Table'!$V352*VLOOKUP('BMP P Tracking Table'!$R352,'Loading Rates'!$B$1:$L$24,4,FALSE)+IF('BMP P Tracking Table'!$W352="By HSG",'BMP P Tracking Table'!$X352*VLOOKUP('BMP P Tracking Table'!$R352,'Loading Rates'!$B$1:$L$24,6,FALSE)+'BMP P Tracking Table'!$Y352*VLOOKUP('BMP P Tracking Table'!$R352,'Loading Rates'!$B$1:$L$24,7,FALSE)+'BMP P Tracking Table'!$Z352*VLOOKUP('BMP P Tracking Table'!$R352,'Loading Rates'!$B$1:$L$24,8,FALSE)+'BMP P Tracking Table'!$AA352*VLOOKUP('BMP P Tracking Table'!$R352,'Loading Rates'!$B$1:$L$24,9,FALSE),'BMP P Tracking Table'!$AB352*VLOOKUP('BMP P Tracking Table'!$R352,'Loading Rates'!$B$1:$L$24,10,FALSE)),'BMP P Tracking Table'!$AP352*VLOOKUP('BMP P Tracking Table'!$R352,'Loading Rates'!$B$1:$L$24,4,FALSE)+IF('BMP P Tracking Table'!$AQ352="By HSG",'BMP P Tracking Table'!$AR352*VLOOKUP('BMP P Tracking Table'!$R352,'Loading Rates'!$B$1:$L$24,6,FALSE)+'BMP P Tracking Table'!$AS352*VLOOKUP('BMP P Tracking Table'!$R352,'Loading Rates'!$B$1:$L$24,7,FALSE)+'BMP P Tracking Table'!$AT352*VLOOKUP('BMP P Tracking Table'!$R352,'Loading Rates'!$B$1:$L$24,8,FALSE)+'BMP P Tracking Table'!$AU352*VLOOKUP('BMP P Tracking Table'!$R352,'Loading Rates'!$B$1:$L$24,9,FALSE),'BMP P Tracking Table'!$AV352*VLOOKUP('BMP P Tracking Table'!$R352,'Loading Rates'!$B$1:$L$24,10,FALSE))),"")</f>
        <v/>
      </c>
      <c r="BA352" s="104" t="str">
        <f>IFERROR(IF('BMP P Tracking Table'!$AM352="Yes",MIN(2,IF('BMP P Tracking Table'!$AQ352="Total Pervious",(-(3630*'BMP P Tracking Table'!$AP352+20.691*'BMP P Tracking Table'!$AV352)+SQRT((3630*'BMP P Tracking Table'!$AP352+20.691*'BMP P Tracking Table'!$AV352)^2-(4*(996.798*'BMP P Tracking Table'!$AV352)*-'BMP P Tracking Table'!$AX352)))/(2*(996.798*'BMP P Tracking Table'!$AV352)),IF(SUM('BMP P Tracking Table'!$AR352:$AU352)=0,'BMP P Tracking Table'!$AV352/(-3630*'BMP P Tracking Table'!$AP352),(-(3630*'BMP P Tracking Table'!$AP352+20.691*'BMP P Tracking Table'!$AU352-216.711*'BMP P Tracking Table'!$AT352-83.853*'BMP P Tracking Table'!$AS352-42.834*'BMP P Tracking Table'!$AR352)+SQRT((3630*'BMP P Tracking Table'!$AP352+20.691*'BMP P Tracking Table'!$AU352-216.711*'BMP P Tracking Table'!$AT352-83.853*'BMP P Tracking Table'!$AS352-42.834*'BMP P Tracking Table'!$AR352)^2-(4*(149.919*'BMP P Tracking Table'!$AR352+236.676*'BMP P Tracking Table'!$AS352+726*'BMP P Tracking Table'!$AT352+996.798*'BMP P Tracking Table'!$AU352)*-'BMP P Tracking Table'!$AX352)))/(2*(149.919*'BMP P Tracking Table'!$AR352+236.676*'BMP P Tracking Table'!$AS352+726*'BMP P Tracking Table'!$AT352+996.798*'BMP P Tracking Table'!$AU352))))),MIN(2,IF('BMP P Tracking Table'!$AQ352="Total Pervious",(-(3630*'BMP P Tracking Table'!$V352+20.691*'BMP P Tracking Table'!$AB352)+SQRT((3630*'BMP P Tracking Table'!$V352+20.691*'BMP P Tracking Table'!$AB352)^2-(4*(996.798*'BMP P Tracking Table'!$AB352)*-'BMP P Tracking Table'!$AX352)))/(2*(996.798*'BMP P Tracking Table'!$AB352)),IF(SUM('BMP P Tracking Table'!$X352:$AA352)=0,'BMP P Tracking Table'!$AX352/(-3630*'BMP P Tracking Table'!$V352),(-(3630*'BMP P Tracking Table'!$V352+20.691*'BMP P Tracking Table'!$AA352-216.711*'BMP P Tracking Table'!$Z352-83.853*'BMP P Tracking Table'!$Y352-42.834*'BMP P Tracking Table'!$X352)+SQRT((3630*'BMP P Tracking Table'!$V352+20.691*'BMP P Tracking Table'!$AA352-216.711*'BMP P Tracking Table'!$Z352-83.853*'BMP P Tracking Table'!$Y352-42.834*'BMP P Tracking Table'!$X352)^2-(4*(149.919*'BMP P Tracking Table'!$X352+236.676*'BMP P Tracking Table'!$Y352+726*'BMP P Tracking Table'!$Z352+996.798*'BMP P Tracking Table'!$AA352)*-'BMP P Tracking Table'!$AX352)))/(2*(149.919*'BMP P Tracking Table'!$X352+236.676*'BMP P Tracking Table'!$Y352+726*'BMP P Tracking Table'!$Z352+996.798*'BMP P Tracking Table'!$AA352)))))),"")</f>
        <v/>
      </c>
      <c r="BB352" s="102" t="str">
        <f>IFERROR((VLOOKUP(CONCATENATE('BMP P Tracking Table'!$AW352," ",'BMP P Tracking Table'!$AY352),'Performance Curves'!$C$1:$L$46,_xlfn.SINGLE(MATCH('BMP P Tracking Table'!$BA352,'Performance Curves'!$D$1:$L$1,1))+2,FALSE)-VLOOKUP(CONCATENATE('BMP P Tracking Table'!$AW352," ",'BMP P Tracking Table'!$AY352),'Performance Curves'!$C$1:$L$46,_xlfn.SINGLE(MATCH('BMP P Tracking Table'!$BA352,'Performance Curves'!$D$1:$L$1,1))+1,FALSE)),"")</f>
        <v/>
      </c>
      <c r="BC352" s="102" t="str">
        <f>IFERROR(('BMP P Tracking Table'!$BA352-INDEX('Performance Curves'!$D$1:$L$1,1,MATCH('BMP P Tracking Table'!$BA352,'Performance Curves'!$D$1:$L$1,1)))/(INDEX('Performance Curves'!$D$1:$L$1,1,MATCH('BMP P Tracking Table'!$BA352,'Performance Curves'!$D$1:$L$1,1)+1)-INDEX('Performance Curves'!$D$1:$L$1,1,MATCH('BMP P Tracking Table'!$BA352,'Performance Curves'!$D$1:$L$1,1))),"")</f>
        <v/>
      </c>
      <c r="BD352" s="103" t="str" cm="1">
        <f t="array" ref="BD352">IFERROR(IF('BMP P Tracking Table'!$BA352=2,VLOOKUP(CONCATENATE('BMP P Tracking Table'!$AW352," ",'BMP P Tracking Table'!$AY352),'Performance Curves'!$C$1:$L$44,_xlfn.SINGLE(MATCH('BMP P Tracking Table'!$BA352,'Performance Curves'!$D$1:$L$1,1))+1,FALSE),'BMP P Tracking Table'!$BB352*'BMP P Tracking Table'!$BC352+VLOOKUP(CONCATENATE('BMP P Tracking Table'!$AW352," ",'BMP P Tracking Table'!$AY352),'Performance Curves'!$C$1:$L$44,_xlfn.SINGLE(MATCH('BMP P Tracking Table'!$BA352,'Performance Curves'!$D$1:$L$1,1))+1,FALSE)),"")</f>
        <v/>
      </c>
      <c r="BE352" s="104" t="str">
        <f>IFERROR('BMP P Tracking Table'!$BD352*'BMP P Tracking Table'!$AZ352,"")</f>
        <v/>
      </c>
      <c r="BF352" s="98"/>
      <c r="BG352" s="37">
        <f t="shared" si="40"/>
        <v>0</v>
      </c>
    </row>
    <row r="353" spans="2:59" s="36" customFormat="1">
      <c r="B353" s="65"/>
      <c r="C353" s="65"/>
      <c r="D353" s="65"/>
      <c r="E353" s="65"/>
      <c r="F353" s="94"/>
      <c r="G353" s="94"/>
      <c r="H353" s="65"/>
      <c r="I353" s="65"/>
      <c r="J353" s="65"/>
      <c r="K353" s="95"/>
      <c r="L353" s="65"/>
      <c r="M353" s="65"/>
      <c r="N353" s="65"/>
      <c r="O353" s="65"/>
      <c r="P353" s="65"/>
      <c r="Q353" s="65"/>
      <c r="R353" s="65" t="str">
        <f>IFERROR(VLOOKUP('BMP P Tracking Table'!$Q353,Dropdowns!$C$2:$E$15,3,FALSE),"")</f>
        <v/>
      </c>
      <c r="S353" s="65" t="str">
        <f>IFERROR(VLOOKUP('BMP P Tracking Table'!$R353,Dropdowns!$Q$3:$R$23,2,FALSE),"")</f>
        <v/>
      </c>
      <c r="T353" s="65"/>
      <c r="U353" s="65"/>
      <c r="V353" s="65"/>
      <c r="W353" s="65"/>
      <c r="X353" s="65"/>
      <c r="Y353" s="65"/>
      <c r="Z353" s="65"/>
      <c r="AA353" s="65"/>
      <c r="AB353" s="65"/>
      <c r="AC353" s="97"/>
      <c r="AD353" s="65"/>
      <c r="AE353" s="104" t="str">
        <f>IFERROR('BMP P Tracking Table'!$V353*VLOOKUP('BMP P Tracking Table'!$R353,'Loading Rates'!$B$1:$L$24,4,FALSE)+IF('BMP P Tracking Table'!$W353="By HSG",'BMP P Tracking Table'!$X353*VLOOKUP('BMP P Tracking Table'!$R353,'Loading Rates'!$B$1:$L$24,6,FALSE)+'BMP P Tracking Table'!$Y353*VLOOKUP('BMP P Tracking Table'!$R353,'Loading Rates'!$B$1:$L$24,7,FALSE)+'BMP P Tracking Table'!$Z353*VLOOKUP('BMP P Tracking Table'!$R353,'Loading Rates'!$B$1:$L$24,8,FALSE)+'BMP P Tracking Table'!$AA353*VLOOKUP('BMP P Tracking Table'!$R353,'Loading Rates'!$B$1:$L$24,9,FALSE),'BMP P Tracking Table'!$AB353*VLOOKUP('BMP P Tracking Table'!$R353,'Loading Rates'!$B$1:$L$24,10,FALSE)),"")</f>
        <v/>
      </c>
      <c r="AF353" s="104" t="str">
        <f>IFERROR(MIN(2,IF('BMP P Tracking Table'!$W353="Total Pervious",(-(3630*'BMP P Tracking Table'!$V353+20.691*'BMP P Tracking Table'!$AB353)+SQRT((3630*'BMP P Tracking Table'!$V353+20.691*'BMP P Tracking Table'!$AB353)^2-(4*(996.798*'BMP P Tracking Table'!$AB353)*-'BMP P Tracking Table'!$AC353)))/(2*(996.798*'BMP P Tracking Table'!$AB353)),IF(SUM('BMP P Tracking Table'!$X353:$AA353)=0,'BMP P Tracking Table'!$AC353/(-3630*'BMP P Tracking Table'!$V353),(-(3630*'BMP P Tracking Table'!$V353+20.691*'BMP P Tracking Table'!$AA353-216.711*'BMP P Tracking Table'!$Z353-83.853*'BMP P Tracking Table'!$Y353-42.834*'BMP P Tracking Table'!$X353)+SQRT((3630*'BMP P Tracking Table'!$V353+20.691*'BMP P Tracking Table'!$AA353-216.711*'BMP P Tracking Table'!$Z353-83.853*'BMP P Tracking Table'!$Y353-42.834*'BMP P Tracking Table'!$X353)^2-(4*(149.919*'BMP P Tracking Table'!$X353+236.676*'BMP P Tracking Table'!$Y353+726*'BMP P Tracking Table'!$Z353+996.798*'BMP P Tracking Table'!$AA353)*-'BMP P Tracking Table'!$AC353)))/(2*(149.919*'BMP P Tracking Table'!$X353+236.676*'BMP P Tracking Table'!$Y353+726*'BMP P Tracking Table'!$Z353+996.798*'BMP P Tracking Table'!$AA353))))),"")</f>
        <v/>
      </c>
      <c r="AG353" s="104" t="str">
        <f>IFERROR((VLOOKUP(CONCATENATE('BMP P Tracking Table'!$U353," ",'BMP P Tracking Table'!$AD353),'Performance Curves'!$C$1:$L$46,_xlfn.SINGLE(MATCH('BMP P Tracking Table'!$AF353,'Performance Curves'!$D$1:$L$1,1))+2,FALSE)-VLOOKUP(CONCATENATE('BMP P Tracking Table'!$U353," ",'BMP P Tracking Table'!$AD353),'Performance Curves'!$C$1:$L$46,_xlfn.SINGLE(MATCH('BMP P Tracking Table'!$AF353,'Performance Curves'!$D$1:$L$1,1))+1,FALSE)),"")</f>
        <v/>
      </c>
      <c r="AH353" s="104" t="str">
        <f>IFERROR(('BMP P Tracking Table'!$AF353-INDEX('Performance Curves'!$D$1:$L$1,1,MATCH('BMP P Tracking Table'!$AF353,'Performance Curves'!$D$1:$L$1,1)))/(INDEX('Performance Curves'!$D$1:$L$1,1,MATCH('BMP P Tracking Table'!$AF353,'Performance Curves'!$D$1:$L$1,1)+1)-INDEX('Performance Curves'!$D$1:$L$1,1,MATCH('BMP P Tracking Table'!$AF353,'Performance Curves'!$D$1:$L$1,1))),"")</f>
        <v/>
      </c>
      <c r="AI353" s="103" t="str">
        <f>IFERROR(IF('BMP P Tracking Table'!$AF353=2,VLOOKUP(CONCATENATE('BMP P Tracking Table'!$U353," ",'BMP P Tracking Table'!$AD353),'Performance Curves'!$C$1:$L$46,_xlfn.SINGLE(MATCH('BMP P Tracking Table'!$AF353,'Performance Curves'!$D$1:$L$1,1))+1,FALSE),'BMP P Tracking Table'!$AG353*'BMP P Tracking Table'!$AH353+VLOOKUP(CONCATENATE('BMP P Tracking Table'!$U353," ",'BMP P Tracking Table'!$AD353),'Performance Curves'!$C$1:$L$46,_xlfn.SINGLE(MATCH('BMP P Tracking Table'!$AF353,'Performance Curves'!$D$1:$L$1,1))+1,FALSE)),"")</f>
        <v/>
      </c>
      <c r="AJ353" s="104" t="str">
        <f>IFERROR('BMP P Tracking Table'!$AI353*'BMP P Tracking Table'!$AE353,"")</f>
        <v/>
      </c>
      <c r="AK353" s="65"/>
      <c r="AL353" s="98"/>
      <c r="AM353" s="98"/>
      <c r="AN353" s="64">
        <v>1</v>
      </c>
      <c r="AO353" s="102" t="str">
        <f t="shared" si="39"/>
        <v/>
      </c>
      <c r="AP353" s="98"/>
      <c r="AQ353" s="98"/>
      <c r="AR353" s="98"/>
      <c r="AS353" s="98"/>
      <c r="AT353" s="98"/>
      <c r="AU353" s="98"/>
      <c r="AV353" s="98"/>
      <c r="AW353" s="65"/>
      <c r="AX353" s="99"/>
      <c r="AY353" s="99"/>
      <c r="AZ353" s="104" t="str">
        <f>IF('BMP P Tracking Table'!$AL353="Yes",IF('BMP P Tracking Table'!$AM353="No",'BMP P Tracking Table'!$V353*VLOOKUP('BMP P Tracking Table'!$R353,'Loading Rates'!$B$1:$L$24,4,FALSE)+IF('BMP P Tracking Table'!$W353="By HSG",'BMP P Tracking Table'!$X353*VLOOKUP('BMP P Tracking Table'!$R353,'Loading Rates'!$B$1:$L$24,6,FALSE)+'BMP P Tracking Table'!$Y353*VLOOKUP('BMP P Tracking Table'!$R353,'Loading Rates'!$B$1:$L$24,7,FALSE)+'BMP P Tracking Table'!$Z353*VLOOKUP('BMP P Tracking Table'!$R353,'Loading Rates'!$B$1:$L$24,8,FALSE)+'BMP P Tracking Table'!$AA353*VLOOKUP('BMP P Tracking Table'!$R353,'Loading Rates'!$B$1:$L$24,9,FALSE),'BMP P Tracking Table'!$AB353*VLOOKUP('BMP P Tracking Table'!$R353,'Loading Rates'!$B$1:$L$24,10,FALSE)),'BMP P Tracking Table'!$AP353*VLOOKUP('BMP P Tracking Table'!$R353,'Loading Rates'!$B$1:$L$24,4,FALSE)+IF('BMP P Tracking Table'!$AQ353="By HSG",'BMP P Tracking Table'!$AR353*VLOOKUP('BMP P Tracking Table'!$R353,'Loading Rates'!$B$1:$L$24,6,FALSE)+'BMP P Tracking Table'!$AS353*VLOOKUP('BMP P Tracking Table'!$R353,'Loading Rates'!$B$1:$L$24,7,FALSE)+'BMP P Tracking Table'!$AT353*VLOOKUP('BMP P Tracking Table'!$R353,'Loading Rates'!$B$1:$L$24,8,FALSE)+'BMP P Tracking Table'!$AU353*VLOOKUP('BMP P Tracking Table'!$R353,'Loading Rates'!$B$1:$L$24,9,FALSE),'BMP P Tracking Table'!$AV353*VLOOKUP('BMP P Tracking Table'!$R353,'Loading Rates'!$B$1:$L$24,10,FALSE))),"")</f>
        <v/>
      </c>
      <c r="BA353" s="104" t="str">
        <f>IFERROR(IF('BMP P Tracking Table'!$AM353="Yes",MIN(2,IF('BMP P Tracking Table'!$AQ353="Total Pervious",(-(3630*'BMP P Tracking Table'!$AP353+20.691*'BMP P Tracking Table'!$AV353)+SQRT((3630*'BMP P Tracking Table'!$AP353+20.691*'BMP P Tracking Table'!$AV353)^2-(4*(996.798*'BMP P Tracking Table'!$AV353)*-'BMP P Tracking Table'!$AX353)))/(2*(996.798*'BMP P Tracking Table'!$AV353)),IF(SUM('BMP P Tracking Table'!$AR353:$AU353)=0,'BMP P Tracking Table'!$AV353/(-3630*'BMP P Tracking Table'!$AP353),(-(3630*'BMP P Tracking Table'!$AP353+20.691*'BMP P Tracking Table'!$AU353-216.711*'BMP P Tracking Table'!$AT353-83.853*'BMP P Tracking Table'!$AS353-42.834*'BMP P Tracking Table'!$AR353)+SQRT((3630*'BMP P Tracking Table'!$AP353+20.691*'BMP P Tracking Table'!$AU353-216.711*'BMP P Tracking Table'!$AT353-83.853*'BMP P Tracking Table'!$AS353-42.834*'BMP P Tracking Table'!$AR353)^2-(4*(149.919*'BMP P Tracking Table'!$AR353+236.676*'BMP P Tracking Table'!$AS353+726*'BMP P Tracking Table'!$AT353+996.798*'BMP P Tracking Table'!$AU353)*-'BMP P Tracking Table'!$AX353)))/(2*(149.919*'BMP P Tracking Table'!$AR353+236.676*'BMP P Tracking Table'!$AS353+726*'BMP P Tracking Table'!$AT353+996.798*'BMP P Tracking Table'!$AU353))))),MIN(2,IF('BMP P Tracking Table'!$AQ353="Total Pervious",(-(3630*'BMP P Tracking Table'!$V353+20.691*'BMP P Tracking Table'!$AB353)+SQRT((3630*'BMP P Tracking Table'!$V353+20.691*'BMP P Tracking Table'!$AB353)^2-(4*(996.798*'BMP P Tracking Table'!$AB353)*-'BMP P Tracking Table'!$AX353)))/(2*(996.798*'BMP P Tracking Table'!$AB353)),IF(SUM('BMP P Tracking Table'!$X353:$AA353)=0,'BMP P Tracking Table'!$AX353/(-3630*'BMP P Tracking Table'!$V353),(-(3630*'BMP P Tracking Table'!$V353+20.691*'BMP P Tracking Table'!$AA353-216.711*'BMP P Tracking Table'!$Z353-83.853*'BMP P Tracking Table'!$Y353-42.834*'BMP P Tracking Table'!$X353)+SQRT((3630*'BMP P Tracking Table'!$V353+20.691*'BMP P Tracking Table'!$AA353-216.711*'BMP P Tracking Table'!$Z353-83.853*'BMP P Tracking Table'!$Y353-42.834*'BMP P Tracking Table'!$X353)^2-(4*(149.919*'BMP P Tracking Table'!$X353+236.676*'BMP P Tracking Table'!$Y353+726*'BMP P Tracking Table'!$Z353+996.798*'BMP P Tracking Table'!$AA353)*-'BMP P Tracking Table'!$AX353)))/(2*(149.919*'BMP P Tracking Table'!$X353+236.676*'BMP P Tracking Table'!$Y353+726*'BMP P Tracking Table'!$Z353+996.798*'BMP P Tracking Table'!$AA353)))))),"")</f>
        <v/>
      </c>
      <c r="BB353" s="102" t="str">
        <f>IFERROR((VLOOKUP(CONCATENATE('BMP P Tracking Table'!$AW353," ",'BMP P Tracking Table'!$AY353),'Performance Curves'!$C$1:$L$46,_xlfn.SINGLE(MATCH('BMP P Tracking Table'!$BA353,'Performance Curves'!$D$1:$L$1,1))+2,FALSE)-VLOOKUP(CONCATENATE('BMP P Tracking Table'!$AW353," ",'BMP P Tracking Table'!$AY353),'Performance Curves'!$C$1:$L$46,_xlfn.SINGLE(MATCH('BMP P Tracking Table'!$BA353,'Performance Curves'!$D$1:$L$1,1))+1,FALSE)),"")</f>
        <v/>
      </c>
      <c r="BC353" s="102" t="str">
        <f>IFERROR(('BMP P Tracking Table'!$BA353-INDEX('Performance Curves'!$D$1:$L$1,1,MATCH('BMP P Tracking Table'!$BA353,'Performance Curves'!$D$1:$L$1,1)))/(INDEX('Performance Curves'!$D$1:$L$1,1,MATCH('BMP P Tracking Table'!$BA353,'Performance Curves'!$D$1:$L$1,1)+1)-INDEX('Performance Curves'!$D$1:$L$1,1,MATCH('BMP P Tracking Table'!$BA353,'Performance Curves'!$D$1:$L$1,1))),"")</f>
        <v/>
      </c>
      <c r="BD353" s="103" t="str" cm="1">
        <f t="array" ref="BD353">IFERROR(IF('BMP P Tracking Table'!$BA353=2,VLOOKUP(CONCATENATE('BMP P Tracking Table'!$AW353," ",'BMP P Tracking Table'!$AY353),'Performance Curves'!$C$1:$L$44,_xlfn.SINGLE(MATCH('BMP P Tracking Table'!$BA353,'Performance Curves'!$D$1:$L$1,1))+1,FALSE),'BMP P Tracking Table'!$BB353*'BMP P Tracking Table'!$BC353+VLOOKUP(CONCATENATE('BMP P Tracking Table'!$AW353," ",'BMP P Tracking Table'!$AY353),'Performance Curves'!$C$1:$L$44,_xlfn.SINGLE(MATCH('BMP P Tracking Table'!$BA353,'Performance Curves'!$D$1:$L$1,1))+1,FALSE)),"")</f>
        <v/>
      </c>
      <c r="BE353" s="104" t="str">
        <f>IFERROR('BMP P Tracking Table'!$BD353*'BMP P Tracking Table'!$AZ353,"")</f>
        <v/>
      </c>
      <c r="BF353" s="92"/>
      <c r="BG353" s="37">
        <f t="shared" si="40"/>
        <v>0</v>
      </c>
    </row>
    <row r="354" spans="2:59" s="36" customFormat="1">
      <c r="B354" s="65"/>
      <c r="C354" s="65"/>
      <c r="D354" s="65"/>
      <c r="E354" s="65"/>
      <c r="F354" s="94"/>
      <c r="G354" s="94"/>
      <c r="H354" s="65"/>
      <c r="I354" s="65"/>
      <c r="J354" s="65"/>
      <c r="K354" s="95"/>
      <c r="L354" s="65"/>
      <c r="M354" s="65"/>
      <c r="N354" s="65"/>
      <c r="O354" s="65"/>
      <c r="P354" s="65"/>
      <c r="Q354" s="65"/>
      <c r="R354" s="65" t="str">
        <f>IFERROR(VLOOKUP('BMP P Tracking Table'!$Q354,Dropdowns!$C$2:$E$15,3,FALSE),"")</f>
        <v/>
      </c>
      <c r="S354" s="65" t="str">
        <f>IFERROR(VLOOKUP('BMP P Tracking Table'!$R354,Dropdowns!$Q$3:$R$23,2,FALSE),"")</f>
        <v/>
      </c>
      <c r="T354" s="65"/>
      <c r="U354" s="65"/>
      <c r="V354" s="65"/>
      <c r="W354" s="65"/>
      <c r="X354" s="65"/>
      <c r="Y354" s="65"/>
      <c r="Z354" s="65"/>
      <c r="AA354" s="65"/>
      <c r="AB354" s="65"/>
      <c r="AC354" s="97"/>
      <c r="AD354" s="65"/>
      <c r="AE354" s="104" t="str">
        <f>IFERROR('BMP P Tracking Table'!$V354*VLOOKUP('BMP P Tracking Table'!$R354,'Loading Rates'!$B$1:$L$24,4,FALSE)+IF('BMP P Tracking Table'!$W354="By HSG",'BMP P Tracking Table'!$X354*VLOOKUP('BMP P Tracking Table'!$R354,'Loading Rates'!$B$1:$L$24,6,FALSE)+'BMP P Tracking Table'!$Y354*VLOOKUP('BMP P Tracking Table'!$R354,'Loading Rates'!$B$1:$L$24,7,FALSE)+'BMP P Tracking Table'!$Z354*VLOOKUP('BMP P Tracking Table'!$R354,'Loading Rates'!$B$1:$L$24,8,FALSE)+'BMP P Tracking Table'!$AA354*VLOOKUP('BMP P Tracking Table'!$R354,'Loading Rates'!$B$1:$L$24,9,FALSE),'BMP P Tracking Table'!$AB354*VLOOKUP('BMP P Tracking Table'!$R354,'Loading Rates'!$B$1:$L$24,10,FALSE)),"")</f>
        <v/>
      </c>
      <c r="AF354" s="104" t="str">
        <f>IFERROR(MIN(2,IF('BMP P Tracking Table'!$W354="Total Pervious",(-(3630*'BMP P Tracking Table'!$V354+20.691*'BMP P Tracking Table'!$AB354)+SQRT((3630*'BMP P Tracking Table'!$V354+20.691*'BMP P Tracking Table'!$AB354)^2-(4*(996.798*'BMP P Tracking Table'!$AB354)*-'BMP P Tracking Table'!$AC354)))/(2*(996.798*'BMP P Tracking Table'!$AB354)),IF(SUM('BMP P Tracking Table'!$X354:$AA354)=0,'BMP P Tracking Table'!$AC354/(-3630*'BMP P Tracking Table'!$V354),(-(3630*'BMP P Tracking Table'!$V354+20.691*'BMP P Tracking Table'!$AA354-216.711*'BMP P Tracking Table'!$Z354-83.853*'BMP P Tracking Table'!$Y354-42.834*'BMP P Tracking Table'!$X354)+SQRT((3630*'BMP P Tracking Table'!$V354+20.691*'BMP P Tracking Table'!$AA354-216.711*'BMP P Tracking Table'!$Z354-83.853*'BMP P Tracking Table'!$Y354-42.834*'BMP P Tracking Table'!$X354)^2-(4*(149.919*'BMP P Tracking Table'!$X354+236.676*'BMP P Tracking Table'!$Y354+726*'BMP P Tracking Table'!$Z354+996.798*'BMP P Tracking Table'!$AA354)*-'BMP P Tracking Table'!$AC354)))/(2*(149.919*'BMP P Tracking Table'!$X354+236.676*'BMP P Tracking Table'!$Y354+726*'BMP P Tracking Table'!$Z354+996.798*'BMP P Tracking Table'!$AA354))))),"")</f>
        <v/>
      </c>
      <c r="AG354" s="104" t="str">
        <f>IFERROR((VLOOKUP(CONCATENATE('BMP P Tracking Table'!$U354," ",'BMP P Tracking Table'!$AD354),'Performance Curves'!$C$1:$L$46,_xlfn.SINGLE(MATCH('BMP P Tracking Table'!$AF354,'Performance Curves'!$D$1:$L$1,1))+2,FALSE)-VLOOKUP(CONCATENATE('BMP P Tracking Table'!$U354," ",'BMP P Tracking Table'!$AD354),'Performance Curves'!$C$1:$L$46,_xlfn.SINGLE(MATCH('BMP P Tracking Table'!$AF354,'Performance Curves'!$D$1:$L$1,1))+1,FALSE)),"")</f>
        <v/>
      </c>
      <c r="AH354" s="104" t="str">
        <f>IFERROR(('BMP P Tracking Table'!$AF354-INDEX('Performance Curves'!$D$1:$L$1,1,MATCH('BMP P Tracking Table'!$AF354,'Performance Curves'!$D$1:$L$1,1)))/(INDEX('Performance Curves'!$D$1:$L$1,1,MATCH('BMP P Tracking Table'!$AF354,'Performance Curves'!$D$1:$L$1,1)+1)-INDEX('Performance Curves'!$D$1:$L$1,1,MATCH('BMP P Tracking Table'!$AF354,'Performance Curves'!$D$1:$L$1,1))),"")</f>
        <v/>
      </c>
      <c r="AI354" s="103" t="str">
        <f>IFERROR(IF('BMP P Tracking Table'!$AF354=2,VLOOKUP(CONCATENATE('BMP P Tracking Table'!$U354," ",'BMP P Tracking Table'!$AD354),'Performance Curves'!$C$1:$L$46,_xlfn.SINGLE(MATCH('BMP P Tracking Table'!$AF354,'Performance Curves'!$D$1:$L$1,1))+1,FALSE),'BMP P Tracking Table'!$AG354*'BMP P Tracking Table'!$AH354+VLOOKUP(CONCATENATE('BMP P Tracking Table'!$U354," ",'BMP P Tracking Table'!$AD354),'Performance Curves'!$C$1:$L$46,_xlfn.SINGLE(MATCH('BMP P Tracking Table'!$AF354,'Performance Curves'!$D$1:$L$1,1))+1,FALSE)),"")</f>
        <v/>
      </c>
      <c r="AJ354" s="104" t="str">
        <f>IFERROR('BMP P Tracking Table'!$AI354*'BMP P Tracking Table'!$AE354,"")</f>
        <v/>
      </c>
      <c r="AK354" s="65"/>
      <c r="AL354" s="98"/>
      <c r="AM354" s="98"/>
      <c r="AN354" s="64">
        <v>1</v>
      </c>
      <c r="AO354" s="102" t="str">
        <f t="shared" si="39"/>
        <v/>
      </c>
      <c r="AP354" s="98"/>
      <c r="AQ354" s="98"/>
      <c r="AR354" s="98"/>
      <c r="AS354" s="98"/>
      <c r="AT354" s="98"/>
      <c r="AU354" s="98"/>
      <c r="AV354" s="98"/>
      <c r="AW354" s="65"/>
      <c r="AX354" s="99"/>
      <c r="AY354" s="99"/>
      <c r="AZ354" s="104" t="str">
        <f>IF('BMP P Tracking Table'!$AL354="Yes",IF('BMP P Tracking Table'!$AM354="No",'BMP P Tracking Table'!$V354*VLOOKUP('BMP P Tracking Table'!$R354,'Loading Rates'!$B$1:$L$24,4,FALSE)+IF('BMP P Tracking Table'!$W354="By HSG",'BMP P Tracking Table'!$X354*VLOOKUP('BMP P Tracking Table'!$R354,'Loading Rates'!$B$1:$L$24,6,FALSE)+'BMP P Tracking Table'!$Y354*VLOOKUP('BMP P Tracking Table'!$R354,'Loading Rates'!$B$1:$L$24,7,FALSE)+'BMP P Tracking Table'!$Z354*VLOOKUP('BMP P Tracking Table'!$R354,'Loading Rates'!$B$1:$L$24,8,FALSE)+'BMP P Tracking Table'!$AA354*VLOOKUP('BMP P Tracking Table'!$R354,'Loading Rates'!$B$1:$L$24,9,FALSE),'BMP P Tracking Table'!$AB354*VLOOKUP('BMP P Tracking Table'!$R354,'Loading Rates'!$B$1:$L$24,10,FALSE)),'BMP P Tracking Table'!$AP354*VLOOKUP('BMP P Tracking Table'!$R354,'Loading Rates'!$B$1:$L$24,4,FALSE)+IF('BMP P Tracking Table'!$AQ354="By HSG",'BMP P Tracking Table'!$AR354*VLOOKUP('BMP P Tracking Table'!$R354,'Loading Rates'!$B$1:$L$24,6,FALSE)+'BMP P Tracking Table'!$AS354*VLOOKUP('BMP P Tracking Table'!$R354,'Loading Rates'!$B$1:$L$24,7,FALSE)+'BMP P Tracking Table'!$AT354*VLOOKUP('BMP P Tracking Table'!$R354,'Loading Rates'!$B$1:$L$24,8,FALSE)+'BMP P Tracking Table'!$AU354*VLOOKUP('BMP P Tracking Table'!$R354,'Loading Rates'!$B$1:$L$24,9,FALSE),'BMP P Tracking Table'!$AV354*VLOOKUP('BMP P Tracking Table'!$R354,'Loading Rates'!$B$1:$L$24,10,FALSE))),"")</f>
        <v/>
      </c>
      <c r="BA354" s="104" t="str">
        <f>IFERROR(IF('BMP P Tracking Table'!$AM354="Yes",MIN(2,IF('BMP P Tracking Table'!$AQ354="Total Pervious",(-(3630*'BMP P Tracking Table'!$AP354+20.691*'BMP P Tracking Table'!$AV354)+SQRT((3630*'BMP P Tracking Table'!$AP354+20.691*'BMP P Tracking Table'!$AV354)^2-(4*(996.798*'BMP P Tracking Table'!$AV354)*-'BMP P Tracking Table'!$AX354)))/(2*(996.798*'BMP P Tracking Table'!$AV354)),IF(SUM('BMP P Tracking Table'!$AR354:$AU354)=0,'BMP P Tracking Table'!$AV354/(-3630*'BMP P Tracking Table'!$AP354),(-(3630*'BMP P Tracking Table'!$AP354+20.691*'BMP P Tracking Table'!$AU354-216.711*'BMP P Tracking Table'!$AT354-83.853*'BMP P Tracking Table'!$AS354-42.834*'BMP P Tracking Table'!$AR354)+SQRT((3630*'BMP P Tracking Table'!$AP354+20.691*'BMP P Tracking Table'!$AU354-216.711*'BMP P Tracking Table'!$AT354-83.853*'BMP P Tracking Table'!$AS354-42.834*'BMP P Tracking Table'!$AR354)^2-(4*(149.919*'BMP P Tracking Table'!$AR354+236.676*'BMP P Tracking Table'!$AS354+726*'BMP P Tracking Table'!$AT354+996.798*'BMP P Tracking Table'!$AU354)*-'BMP P Tracking Table'!$AX354)))/(2*(149.919*'BMP P Tracking Table'!$AR354+236.676*'BMP P Tracking Table'!$AS354+726*'BMP P Tracking Table'!$AT354+996.798*'BMP P Tracking Table'!$AU354))))),MIN(2,IF('BMP P Tracking Table'!$AQ354="Total Pervious",(-(3630*'BMP P Tracking Table'!$V354+20.691*'BMP P Tracking Table'!$AB354)+SQRT((3630*'BMP P Tracking Table'!$V354+20.691*'BMP P Tracking Table'!$AB354)^2-(4*(996.798*'BMP P Tracking Table'!$AB354)*-'BMP P Tracking Table'!$AX354)))/(2*(996.798*'BMP P Tracking Table'!$AB354)),IF(SUM('BMP P Tracking Table'!$X354:$AA354)=0,'BMP P Tracking Table'!$AX354/(-3630*'BMP P Tracking Table'!$V354),(-(3630*'BMP P Tracking Table'!$V354+20.691*'BMP P Tracking Table'!$AA354-216.711*'BMP P Tracking Table'!$Z354-83.853*'BMP P Tracking Table'!$Y354-42.834*'BMP P Tracking Table'!$X354)+SQRT((3630*'BMP P Tracking Table'!$V354+20.691*'BMP P Tracking Table'!$AA354-216.711*'BMP P Tracking Table'!$Z354-83.853*'BMP P Tracking Table'!$Y354-42.834*'BMP P Tracking Table'!$X354)^2-(4*(149.919*'BMP P Tracking Table'!$X354+236.676*'BMP P Tracking Table'!$Y354+726*'BMP P Tracking Table'!$Z354+996.798*'BMP P Tracking Table'!$AA354)*-'BMP P Tracking Table'!$AX354)))/(2*(149.919*'BMP P Tracking Table'!$X354+236.676*'BMP P Tracking Table'!$Y354+726*'BMP P Tracking Table'!$Z354+996.798*'BMP P Tracking Table'!$AA354)))))),"")</f>
        <v/>
      </c>
      <c r="BB354" s="102" t="str">
        <f>IFERROR((VLOOKUP(CONCATENATE('BMP P Tracking Table'!$AW354," ",'BMP P Tracking Table'!$AY354),'Performance Curves'!$C$1:$L$46,_xlfn.SINGLE(MATCH('BMP P Tracking Table'!$BA354,'Performance Curves'!$D$1:$L$1,1))+2,FALSE)-VLOOKUP(CONCATENATE('BMP P Tracking Table'!$AW354," ",'BMP P Tracking Table'!$AY354),'Performance Curves'!$C$1:$L$46,_xlfn.SINGLE(MATCH('BMP P Tracking Table'!$BA354,'Performance Curves'!$D$1:$L$1,1))+1,FALSE)),"")</f>
        <v/>
      </c>
      <c r="BC354" s="102" t="str">
        <f>IFERROR(('BMP P Tracking Table'!$BA354-INDEX('Performance Curves'!$D$1:$L$1,1,MATCH('BMP P Tracking Table'!$BA354,'Performance Curves'!$D$1:$L$1,1)))/(INDEX('Performance Curves'!$D$1:$L$1,1,MATCH('BMP P Tracking Table'!$BA354,'Performance Curves'!$D$1:$L$1,1)+1)-INDEX('Performance Curves'!$D$1:$L$1,1,MATCH('BMP P Tracking Table'!$BA354,'Performance Curves'!$D$1:$L$1,1))),"")</f>
        <v/>
      </c>
      <c r="BD354" s="103" t="str" cm="1">
        <f t="array" ref="BD354">IFERROR(IF('BMP P Tracking Table'!$BA354=2,VLOOKUP(CONCATENATE('BMP P Tracking Table'!$AW354," ",'BMP P Tracking Table'!$AY354),'Performance Curves'!$C$1:$L$44,_xlfn.SINGLE(MATCH('BMP P Tracking Table'!$BA354,'Performance Curves'!$D$1:$L$1,1))+1,FALSE),'BMP P Tracking Table'!$BB354*'BMP P Tracking Table'!$BC354+VLOOKUP(CONCATENATE('BMP P Tracking Table'!$AW354," ",'BMP P Tracking Table'!$AY354),'Performance Curves'!$C$1:$L$44,_xlfn.SINGLE(MATCH('BMP P Tracking Table'!$BA354,'Performance Curves'!$D$1:$L$1,1))+1,FALSE)),"")</f>
        <v/>
      </c>
      <c r="BE354" s="104" t="str">
        <f>IFERROR('BMP P Tracking Table'!$BD354*'BMP P Tracking Table'!$AZ354,"")</f>
        <v/>
      </c>
      <c r="BF354" s="98"/>
      <c r="BG354" s="37">
        <f t="shared" si="40"/>
        <v>0</v>
      </c>
    </row>
    <row r="355" spans="2:59" s="36" customFormat="1">
      <c r="B355" s="65"/>
      <c r="C355" s="65"/>
      <c r="D355" s="65"/>
      <c r="E355" s="65"/>
      <c r="F355" s="94"/>
      <c r="G355" s="94"/>
      <c r="H355" s="65"/>
      <c r="I355" s="65"/>
      <c r="J355" s="65"/>
      <c r="K355" s="95"/>
      <c r="L355" s="65"/>
      <c r="M355" s="65"/>
      <c r="N355" s="65"/>
      <c r="O355" s="65"/>
      <c r="P355" s="65"/>
      <c r="Q355" s="65"/>
      <c r="R355" s="65" t="str">
        <f>IFERROR(VLOOKUP('BMP P Tracking Table'!$Q355,Dropdowns!$C$2:$E$15,3,FALSE),"")</f>
        <v/>
      </c>
      <c r="S355" s="65" t="str">
        <f>IFERROR(VLOOKUP('BMP P Tracking Table'!$R355,Dropdowns!$Q$3:$R$23,2,FALSE),"")</f>
        <v/>
      </c>
      <c r="T355" s="65"/>
      <c r="U355" s="65"/>
      <c r="V355" s="65"/>
      <c r="W355" s="65"/>
      <c r="X355" s="65"/>
      <c r="Y355" s="65"/>
      <c r="Z355" s="65"/>
      <c r="AA355" s="65"/>
      <c r="AB355" s="65"/>
      <c r="AC355" s="97"/>
      <c r="AD355" s="65"/>
      <c r="AE355" s="104" t="str">
        <f>IFERROR('BMP P Tracking Table'!$V355*VLOOKUP('BMP P Tracking Table'!$R355,'Loading Rates'!$B$1:$L$24,4,FALSE)+IF('BMP P Tracking Table'!$W355="By HSG",'BMP P Tracking Table'!$X355*VLOOKUP('BMP P Tracking Table'!$R355,'Loading Rates'!$B$1:$L$24,6,FALSE)+'BMP P Tracking Table'!$Y355*VLOOKUP('BMP P Tracking Table'!$R355,'Loading Rates'!$B$1:$L$24,7,FALSE)+'BMP P Tracking Table'!$Z355*VLOOKUP('BMP P Tracking Table'!$R355,'Loading Rates'!$B$1:$L$24,8,FALSE)+'BMP P Tracking Table'!$AA355*VLOOKUP('BMP P Tracking Table'!$R355,'Loading Rates'!$B$1:$L$24,9,FALSE),'BMP P Tracking Table'!$AB355*VLOOKUP('BMP P Tracking Table'!$R355,'Loading Rates'!$B$1:$L$24,10,FALSE)),"")</f>
        <v/>
      </c>
      <c r="AF355" s="104" t="str">
        <f>IFERROR(MIN(2,IF('BMP P Tracking Table'!$W355="Total Pervious",(-(3630*'BMP P Tracking Table'!$V355+20.691*'BMP P Tracking Table'!$AB355)+SQRT((3630*'BMP P Tracking Table'!$V355+20.691*'BMP P Tracking Table'!$AB355)^2-(4*(996.798*'BMP P Tracking Table'!$AB355)*-'BMP P Tracking Table'!$AC355)))/(2*(996.798*'BMP P Tracking Table'!$AB355)),IF(SUM('BMP P Tracking Table'!$X355:$AA355)=0,'BMP P Tracking Table'!$AC355/(-3630*'BMP P Tracking Table'!$V355),(-(3630*'BMP P Tracking Table'!$V355+20.691*'BMP P Tracking Table'!$AA355-216.711*'BMP P Tracking Table'!$Z355-83.853*'BMP P Tracking Table'!$Y355-42.834*'BMP P Tracking Table'!$X355)+SQRT((3630*'BMP P Tracking Table'!$V355+20.691*'BMP P Tracking Table'!$AA355-216.711*'BMP P Tracking Table'!$Z355-83.853*'BMP P Tracking Table'!$Y355-42.834*'BMP P Tracking Table'!$X355)^2-(4*(149.919*'BMP P Tracking Table'!$X355+236.676*'BMP P Tracking Table'!$Y355+726*'BMP P Tracking Table'!$Z355+996.798*'BMP P Tracking Table'!$AA355)*-'BMP P Tracking Table'!$AC355)))/(2*(149.919*'BMP P Tracking Table'!$X355+236.676*'BMP P Tracking Table'!$Y355+726*'BMP P Tracking Table'!$Z355+996.798*'BMP P Tracking Table'!$AA355))))),"")</f>
        <v/>
      </c>
      <c r="AG355" s="104" t="str">
        <f>IFERROR((VLOOKUP(CONCATENATE('BMP P Tracking Table'!$U355," ",'BMP P Tracking Table'!$AD355),'Performance Curves'!$C$1:$L$46,_xlfn.SINGLE(MATCH('BMP P Tracking Table'!$AF355,'Performance Curves'!$D$1:$L$1,1))+2,FALSE)-VLOOKUP(CONCATENATE('BMP P Tracking Table'!$U355," ",'BMP P Tracking Table'!$AD355),'Performance Curves'!$C$1:$L$46,_xlfn.SINGLE(MATCH('BMP P Tracking Table'!$AF355,'Performance Curves'!$D$1:$L$1,1))+1,FALSE)),"")</f>
        <v/>
      </c>
      <c r="AH355" s="104" t="str">
        <f>IFERROR(('BMP P Tracking Table'!$AF355-INDEX('Performance Curves'!$D$1:$L$1,1,MATCH('BMP P Tracking Table'!$AF355,'Performance Curves'!$D$1:$L$1,1)))/(INDEX('Performance Curves'!$D$1:$L$1,1,MATCH('BMP P Tracking Table'!$AF355,'Performance Curves'!$D$1:$L$1,1)+1)-INDEX('Performance Curves'!$D$1:$L$1,1,MATCH('BMP P Tracking Table'!$AF355,'Performance Curves'!$D$1:$L$1,1))),"")</f>
        <v/>
      </c>
      <c r="AI355" s="103" t="str">
        <f>IFERROR(IF('BMP P Tracking Table'!$AF355=2,VLOOKUP(CONCATENATE('BMP P Tracking Table'!$U355," ",'BMP P Tracking Table'!$AD355),'Performance Curves'!$C$1:$L$46,_xlfn.SINGLE(MATCH('BMP P Tracking Table'!$AF355,'Performance Curves'!$D$1:$L$1,1))+1,FALSE),'BMP P Tracking Table'!$AG355*'BMP P Tracking Table'!$AH355+VLOOKUP(CONCATENATE('BMP P Tracking Table'!$U355," ",'BMP P Tracking Table'!$AD355),'Performance Curves'!$C$1:$L$46,_xlfn.SINGLE(MATCH('BMP P Tracking Table'!$AF355,'Performance Curves'!$D$1:$L$1,1))+1,FALSE)),"")</f>
        <v/>
      </c>
      <c r="AJ355" s="104" t="str">
        <f>IFERROR('BMP P Tracking Table'!$AI355*'BMP P Tracking Table'!$AE355,"")</f>
        <v/>
      </c>
      <c r="AK355" s="65"/>
      <c r="AL355" s="98"/>
      <c r="AM355" s="98"/>
      <c r="AN355" s="64">
        <v>1</v>
      </c>
      <c r="AO355" s="102" t="str">
        <f t="shared" si="39"/>
        <v/>
      </c>
      <c r="AP355" s="98"/>
      <c r="AQ355" s="98"/>
      <c r="AR355" s="98"/>
      <c r="AS355" s="98"/>
      <c r="AT355" s="98"/>
      <c r="AU355" s="98"/>
      <c r="AV355" s="98"/>
      <c r="AW355" s="65"/>
      <c r="AX355" s="99"/>
      <c r="AY355" s="99"/>
      <c r="AZ355" s="104" t="str">
        <f>IF('BMP P Tracking Table'!$AL355="Yes",IF('BMP P Tracking Table'!$AM355="No",'BMP P Tracking Table'!$V355*VLOOKUP('BMP P Tracking Table'!$R355,'Loading Rates'!$B$1:$L$24,4,FALSE)+IF('BMP P Tracking Table'!$W355="By HSG",'BMP P Tracking Table'!$X355*VLOOKUP('BMP P Tracking Table'!$R355,'Loading Rates'!$B$1:$L$24,6,FALSE)+'BMP P Tracking Table'!$Y355*VLOOKUP('BMP P Tracking Table'!$R355,'Loading Rates'!$B$1:$L$24,7,FALSE)+'BMP P Tracking Table'!$Z355*VLOOKUP('BMP P Tracking Table'!$R355,'Loading Rates'!$B$1:$L$24,8,FALSE)+'BMP P Tracking Table'!$AA355*VLOOKUP('BMP P Tracking Table'!$R355,'Loading Rates'!$B$1:$L$24,9,FALSE),'BMP P Tracking Table'!$AB355*VLOOKUP('BMP P Tracking Table'!$R355,'Loading Rates'!$B$1:$L$24,10,FALSE)),'BMP P Tracking Table'!$AP355*VLOOKUP('BMP P Tracking Table'!$R355,'Loading Rates'!$B$1:$L$24,4,FALSE)+IF('BMP P Tracking Table'!$AQ355="By HSG",'BMP P Tracking Table'!$AR355*VLOOKUP('BMP P Tracking Table'!$R355,'Loading Rates'!$B$1:$L$24,6,FALSE)+'BMP P Tracking Table'!$AS355*VLOOKUP('BMP P Tracking Table'!$R355,'Loading Rates'!$B$1:$L$24,7,FALSE)+'BMP P Tracking Table'!$AT355*VLOOKUP('BMP P Tracking Table'!$R355,'Loading Rates'!$B$1:$L$24,8,FALSE)+'BMP P Tracking Table'!$AU355*VLOOKUP('BMP P Tracking Table'!$R355,'Loading Rates'!$B$1:$L$24,9,FALSE),'BMP P Tracking Table'!$AV355*VLOOKUP('BMP P Tracking Table'!$R355,'Loading Rates'!$B$1:$L$24,10,FALSE))),"")</f>
        <v/>
      </c>
      <c r="BA355" s="104" t="str">
        <f>IFERROR(IF('BMP P Tracking Table'!$AM355="Yes",MIN(2,IF('BMP P Tracking Table'!$AQ355="Total Pervious",(-(3630*'BMP P Tracking Table'!$AP355+20.691*'BMP P Tracking Table'!$AV355)+SQRT((3630*'BMP P Tracking Table'!$AP355+20.691*'BMP P Tracking Table'!$AV355)^2-(4*(996.798*'BMP P Tracking Table'!$AV355)*-'BMP P Tracking Table'!$AX355)))/(2*(996.798*'BMP P Tracking Table'!$AV355)),IF(SUM('BMP P Tracking Table'!$AR355:$AU355)=0,'BMP P Tracking Table'!$AV355/(-3630*'BMP P Tracking Table'!$AP355),(-(3630*'BMP P Tracking Table'!$AP355+20.691*'BMP P Tracking Table'!$AU355-216.711*'BMP P Tracking Table'!$AT355-83.853*'BMP P Tracking Table'!$AS355-42.834*'BMP P Tracking Table'!$AR355)+SQRT((3630*'BMP P Tracking Table'!$AP355+20.691*'BMP P Tracking Table'!$AU355-216.711*'BMP P Tracking Table'!$AT355-83.853*'BMP P Tracking Table'!$AS355-42.834*'BMP P Tracking Table'!$AR355)^2-(4*(149.919*'BMP P Tracking Table'!$AR355+236.676*'BMP P Tracking Table'!$AS355+726*'BMP P Tracking Table'!$AT355+996.798*'BMP P Tracking Table'!$AU355)*-'BMP P Tracking Table'!$AX355)))/(2*(149.919*'BMP P Tracking Table'!$AR355+236.676*'BMP P Tracking Table'!$AS355+726*'BMP P Tracking Table'!$AT355+996.798*'BMP P Tracking Table'!$AU355))))),MIN(2,IF('BMP P Tracking Table'!$AQ355="Total Pervious",(-(3630*'BMP P Tracking Table'!$V355+20.691*'BMP P Tracking Table'!$AB355)+SQRT((3630*'BMP P Tracking Table'!$V355+20.691*'BMP P Tracking Table'!$AB355)^2-(4*(996.798*'BMP P Tracking Table'!$AB355)*-'BMP P Tracking Table'!$AX355)))/(2*(996.798*'BMP P Tracking Table'!$AB355)),IF(SUM('BMP P Tracking Table'!$X355:$AA355)=0,'BMP P Tracking Table'!$AX355/(-3630*'BMP P Tracking Table'!$V355),(-(3630*'BMP P Tracking Table'!$V355+20.691*'BMP P Tracking Table'!$AA355-216.711*'BMP P Tracking Table'!$Z355-83.853*'BMP P Tracking Table'!$Y355-42.834*'BMP P Tracking Table'!$X355)+SQRT((3630*'BMP P Tracking Table'!$V355+20.691*'BMP P Tracking Table'!$AA355-216.711*'BMP P Tracking Table'!$Z355-83.853*'BMP P Tracking Table'!$Y355-42.834*'BMP P Tracking Table'!$X355)^2-(4*(149.919*'BMP P Tracking Table'!$X355+236.676*'BMP P Tracking Table'!$Y355+726*'BMP P Tracking Table'!$Z355+996.798*'BMP P Tracking Table'!$AA355)*-'BMP P Tracking Table'!$AX355)))/(2*(149.919*'BMP P Tracking Table'!$X355+236.676*'BMP P Tracking Table'!$Y355+726*'BMP P Tracking Table'!$Z355+996.798*'BMP P Tracking Table'!$AA355)))))),"")</f>
        <v/>
      </c>
      <c r="BB355" s="102" t="str">
        <f>IFERROR((VLOOKUP(CONCATENATE('BMP P Tracking Table'!$AW355," ",'BMP P Tracking Table'!$AY355),'Performance Curves'!$C$1:$L$46,_xlfn.SINGLE(MATCH('BMP P Tracking Table'!$BA355,'Performance Curves'!$D$1:$L$1,1))+2,FALSE)-VLOOKUP(CONCATENATE('BMP P Tracking Table'!$AW355," ",'BMP P Tracking Table'!$AY355),'Performance Curves'!$C$1:$L$46,_xlfn.SINGLE(MATCH('BMP P Tracking Table'!$BA355,'Performance Curves'!$D$1:$L$1,1))+1,FALSE)),"")</f>
        <v/>
      </c>
      <c r="BC355" s="102" t="str">
        <f>IFERROR(('BMP P Tracking Table'!$BA355-INDEX('Performance Curves'!$D$1:$L$1,1,MATCH('BMP P Tracking Table'!$BA355,'Performance Curves'!$D$1:$L$1,1)))/(INDEX('Performance Curves'!$D$1:$L$1,1,MATCH('BMP P Tracking Table'!$BA355,'Performance Curves'!$D$1:$L$1,1)+1)-INDEX('Performance Curves'!$D$1:$L$1,1,MATCH('BMP P Tracking Table'!$BA355,'Performance Curves'!$D$1:$L$1,1))),"")</f>
        <v/>
      </c>
      <c r="BD355" s="103" t="str" cm="1">
        <f t="array" ref="BD355">IFERROR(IF('BMP P Tracking Table'!$BA355=2,VLOOKUP(CONCATENATE('BMP P Tracking Table'!$AW355," ",'BMP P Tracking Table'!$AY355),'Performance Curves'!$C$1:$L$44,_xlfn.SINGLE(MATCH('BMP P Tracking Table'!$BA355,'Performance Curves'!$D$1:$L$1,1))+1,FALSE),'BMP P Tracking Table'!$BB355*'BMP P Tracking Table'!$BC355+VLOOKUP(CONCATENATE('BMP P Tracking Table'!$AW355," ",'BMP P Tracking Table'!$AY355),'Performance Curves'!$C$1:$L$44,_xlfn.SINGLE(MATCH('BMP P Tracking Table'!$BA355,'Performance Curves'!$D$1:$L$1,1))+1,FALSE)),"")</f>
        <v/>
      </c>
      <c r="BE355" s="104" t="str">
        <f>IFERROR('BMP P Tracking Table'!$BD355*'BMP P Tracking Table'!$AZ355,"")</f>
        <v/>
      </c>
      <c r="BF355" s="98"/>
      <c r="BG355" s="37">
        <f t="shared" si="40"/>
        <v>0</v>
      </c>
    </row>
    <row r="356" spans="2:59" s="36" customFormat="1">
      <c r="B356" s="65"/>
      <c r="C356" s="65"/>
      <c r="D356" s="65"/>
      <c r="E356" s="65"/>
      <c r="F356" s="94"/>
      <c r="G356" s="94"/>
      <c r="H356" s="65"/>
      <c r="I356" s="65"/>
      <c r="J356" s="65"/>
      <c r="K356" s="95"/>
      <c r="L356" s="65"/>
      <c r="M356" s="65"/>
      <c r="N356" s="65"/>
      <c r="O356" s="65"/>
      <c r="P356" s="65"/>
      <c r="Q356" s="65"/>
      <c r="R356" s="65" t="str">
        <f>IFERROR(VLOOKUP('BMP P Tracking Table'!$Q356,Dropdowns!$C$2:$E$15,3,FALSE),"")</f>
        <v/>
      </c>
      <c r="S356" s="65" t="str">
        <f>IFERROR(VLOOKUP('BMP P Tracking Table'!$R356,Dropdowns!$Q$3:$R$23,2,FALSE),"")</f>
        <v/>
      </c>
      <c r="T356" s="65"/>
      <c r="U356" s="65"/>
      <c r="V356" s="65"/>
      <c r="W356" s="65"/>
      <c r="X356" s="65"/>
      <c r="Y356" s="65"/>
      <c r="Z356" s="65"/>
      <c r="AA356" s="65"/>
      <c r="AB356" s="65"/>
      <c r="AC356" s="97"/>
      <c r="AD356" s="65"/>
      <c r="AE356" s="104" t="str">
        <f>IFERROR('BMP P Tracking Table'!$V356*VLOOKUP('BMP P Tracking Table'!$R356,'Loading Rates'!$B$1:$L$24,4,FALSE)+IF('BMP P Tracking Table'!$W356="By HSG",'BMP P Tracking Table'!$X356*VLOOKUP('BMP P Tracking Table'!$R356,'Loading Rates'!$B$1:$L$24,6,FALSE)+'BMP P Tracking Table'!$Y356*VLOOKUP('BMP P Tracking Table'!$R356,'Loading Rates'!$B$1:$L$24,7,FALSE)+'BMP P Tracking Table'!$Z356*VLOOKUP('BMP P Tracking Table'!$R356,'Loading Rates'!$B$1:$L$24,8,FALSE)+'BMP P Tracking Table'!$AA356*VLOOKUP('BMP P Tracking Table'!$R356,'Loading Rates'!$B$1:$L$24,9,FALSE),'BMP P Tracking Table'!$AB356*VLOOKUP('BMP P Tracking Table'!$R356,'Loading Rates'!$B$1:$L$24,10,FALSE)),"")</f>
        <v/>
      </c>
      <c r="AF356" s="104" t="str">
        <f>IFERROR(MIN(2,IF('BMP P Tracking Table'!$W356="Total Pervious",(-(3630*'BMP P Tracking Table'!$V356+20.691*'BMP P Tracking Table'!$AB356)+SQRT((3630*'BMP P Tracking Table'!$V356+20.691*'BMP P Tracking Table'!$AB356)^2-(4*(996.798*'BMP P Tracking Table'!$AB356)*-'BMP P Tracking Table'!$AC356)))/(2*(996.798*'BMP P Tracking Table'!$AB356)),IF(SUM('BMP P Tracking Table'!$X356:$AA356)=0,'BMP P Tracking Table'!$AC356/(-3630*'BMP P Tracking Table'!$V356),(-(3630*'BMP P Tracking Table'!$V356+20.691*'BMP P Tracking Table'!$AA356-216.711*'BMP P Tracking Table'!$Z356-83.853*'BMP P Tracking Table'!$Y356-42.834*'BMP P Tracking Table'!$X356)+SQRT((3630*'BMP P Tracking Table'!$V356+20.691*'BMP P Tracking Table'!$AA356-216.711*'BMP P Tracking Table'!$Z356-83.853*'BMP P Tracking Table'!$Y356-42.834*'BMP P Tracking Table'!$X356)^2-(4*(149.919*'BMP P Tracking Table'!$X356+236.676*'BMP P Tracking Table'!$Y356+726*'BMP P Tracking Table'!$Z356+996.798*'BMP P Tracking Table'!$AA356)*-'BMP P Tracking Table'!$AC356)))/(2*(149.919*'BMP P Tracking Table'!$X356+236.676*'BMP P Tracking Table'!$Y356+726*'BMP P Tracking Table'!$Z356+996.798*'BMP P Tracking Table'!$AA356))))),"")</f>
        <v/>
      </c>
      <c r="AG356" s="104" t="str">
        <f>IFERROR((VLOOKUP(CONCATENATE('BMP P Tracking Table'!$U356," ",'BMP P Tracking Table'!$AD356),'Performance Curves'!$C$1:$L$46,_xlfn.SINGLE(MATCH('BMP P Tracking Table'!$AF356,'Performance Curves'!$D$1:$L$1,1))+2,FALSE)-VLOOKUP(CONCATENATE('BMP P Tracking Table'!$U356," ",'BMP P Tracking Table'!$AD356),'Performance Curves'!$C$1:$L$46,_xlfn.SINGLE(MATCH('BMP P Tracking Table'!$AF356,'Performance Curves'!$D$1:$L$1,1))+1,FALSE)),"")</f>
        <v/>
      </c>
      <c r="AH356" s="104" t="str">
        <f>IFERROR(('BMP P Tracking Table'!$AF356-INDEX('Performance Curves'!$D$1:$L$1,1,MATCH('BMP P Tracking Table'!$AF356,'Performance Curves'!$D$1:$L$1,1)))/(INDEX('Performance Curves'!$D$1:$L$1,1,MATCH('BMP P Tracking Table'!$AF356,'Performance Curves'!$D$1:$L$1,1)+1)-INDEX('Performance Curves'!$D$1:$L$1,1,MATCH('BMP P Tracking Table'!$AF356,'Performance Curves'!$D$1:$L$1,1))),"")</f>
        <v/>
      </c>
      <c r="AI356" s="103" t="str">
        <f>IFERROR(IF('BMP P Tracking Table'!$AF356=2,VLOOKUP(CONCATENATE('BMP P Tracking Table'!$U356," ",'BMP P Tracking Table'!$AD356),'Performance Curves'!$C$1:$L$46,_xlfn.SINGLE(MATCH('BMP P Tracking Table'!$AF356,'Performance Curves'!$D$1:$L$1,1))+1,FALSE),'BMP P Tracking Table'!$AG356*'BMP P Tracking Table'!$AH356+VLOOKUP(CONCATENATE('BMP P Tracking Table'!$U356," ",'BMP P Tracking Table'!$AD356),'Performance Curves'!$C$1:$L$46,_xlfn.SINGLE(MATCH('BMP P Tracking Table'!$AF356,'Performance Curves'!$D$1:$L$1,1))+1,FALSE)),"")</f>
        <v/>
      </c>
      <c r="AJ356" s="104" t="str">
        <f>IFERROR('BMP P Tracking Table'!$AI356*'BMP P Tracking Table'!$AE356,"")</f>
        <v/>
      </c>
      <c r="AK356" s="65"/>
      <c r="AL356" s="98"/>
      <c r="AM356" s="98"/>
      <c r="AN356" s="64">
        <v>1</v>
      </c>
      <c r="AO356" s="102" t="str">
        <f t="shared" si="39"/>
        <v/>
      </c>
      <c r="AP356" s="98"/>
      <c r="AQ356" s="98"/>
      <c r="AR356" s="98"/>
      <c r="AS356" s="98"/>
      <c r="AT356" s="98"/>
      <c r="AU356" s="98"/>
      <c r="AV356" s="98"/>
      <c r="AW356" s="65"/>
      <c r="AX356" s="99"/>
      <c r="AY356" s="99"/>
      <c r="AZ356" s="104" t="str">
        <f>IF('BMP P Tracking Table'!$AL356="Yes",IF('BMP P Tracking Table'!$AM356="No",'BMP P Tracking Table'!$V356*VLOOKUP('BMP P Tracking Table'!$R356,'Loading Rates'!$B$1:$L$24,4,FALSE)+IF('BMP P Tracking Table'!$W356="By HSG",'BMP P Tracking Table'!$X356*VLOOKUP('BMP P Tracking Table'!$R356,'Loading Rates'!$B$1:$L$24,6,FALSE)+'BMP P Tracking Table'!$Y356*VLOOKUP('BMP P Tracking Table'!$R356,'Loading Rates'!$B$1:$L$24,7,FALSE)+'BMP P Tracking Table'!$Z356*VLOOKUP('BMP P Tracking Table'!$R356,'Loading Rates'!$B$1:$L$24,8,FALSE)+'BMP P Tracking Table'!$AA356*VLOOKUP('BMP P Tracking Table'!$R356,'Loading Rates'!$B$1:$L$24,9,FALSE),'BMP P Tracking Table'!$AB356*VLOOKUP('BMP P Tracking Table'!$R356,'Loading Rates'!$B$1:$L$24,10,FALSE)),'BMP P Tracking Table'!$AP356*VLOOKUP('BMP P Tracking Table'!$R356,'Loading Rates'!$B$1:$L$24,4,FALSE)+IF('BMP P Tracking Table'!$AQ356="By HSG",'BMP P Tracking Table'!$AR356*VLOOKUP('BMP P Tracking Table'!$R356,'Loading Rates'!$B$1:$L$24,6,FALSE)+'BMP P Tracking Table'!$AS356*VLOOKUP('BMP P Tracking Table'!$R356,'Loading Rates'!$B$1:$L$24,7,FALSE)+'BMP P Tracking Table'!$AT356*VLOOKUP('BMP P Tracking Table'!$R356,'Loading Rates'!$B$1:$L$24,8,FALSE)+'BMP P Tracking Table'!$AU356*VLOOKUP('BMP P Tracking Table'!$R356,'Loading Rates'!$B$1:$L$24,9,FALSE),'BMP P Tracking Table'!$AV356*VLOOKUP('BMP P Tracking Table'!$R356,'Loading Rates'!$B$1:$L$24,10,FALSE))),"")</f>
        <v/>
      </c>
      <c r="BA356" s="104" t="str">
        <f>IFERROR(IF('BMP P Tracking Table'!$AM356="Yes",MIN(2,IF('BMP P Tracking Table'!$AQ356="Total Pervious",(-(3630*'BMP P Tracking Table'!$AP356+20.691*'BMP P Tracking Table'!$AV356)+SQRT((3630*'BMP P Tracking Table'!$AP356+20.691*'BMP P Tracking Table'!$AV356)^2-(4*(996.798*'BMP P Tracking Table'!$AV356)*-'BMP P Tracking Table'!$AX356)))/(2*(996.798*'BMP P Tracking Table'!$AV356)),IF(SUM('BMP P Tracking Table'!$AR356:$AU356)=0,'BMP P Tracking Table'!$AV356/(-3630*'BMP P Tracking Table'!$AP356),(-(3630*'BMP P Tracking Table'!$AP356+20.691*'BMP P Tracking Table'!$AU356-216.711*'BMP P Tracking Table'!$AT356-83.853*'BMP P Tracking Table'!$AS356-42.834*'BMP P Tracking Table'!$AR356)+SQRT((3630*'BMP P Tracking Table'!$AP356+20.691*'BMP P Tracking Table'!$AU356-216.711*'BMP P Tracking Table'!$AT356-83.853*'BMP P Tracking Table'!$AS356-42.834*'BMP P Tracking Table'!$AR356)^2-(4*(149.919*'BMP P Tracking Table'!$AR356+236.676*'BMP P Tracking Table'!$AS356+726*'BMP P Tracking Table'!$AT356+996.798*'BMP P Tracking Table'!$AU356)*-'BMP P Tracking Table'!$AX356)))/(2*(149.919*'BMP P Tracking Table'!$AR356+236.676*'BMP P Tracking Table'!$AS356+726*'BMP P Tracking Table'!$AT356+996.798*'BMP P Tracking Table'!$AU356))))),MIN(2,IF('BMP P Tracking Table'!$AQ356="Total Pervious",(-(3630*'BMP P Tracking Table'!$V356+20.691*'BMP P Tracking Table'!$AB356)+SQRT((3630*'BMP P Tracking Table'!$V356+20.691*'BMP P Tracking Table'!$AB356)^2-(4*(996.798*'BMP P Tracking Table'!$AB356)*-'BMP P Tracking Table'!$AX356)))/(2*(996.798*'BMP P Tracking Table'!$AB356)),IF(SUM('BMP P Tracking Table'!$X356:$AA356)=0,'BMP P Tracking Table'!$AX356/(-3630*'BMP P Tracking Table'!$V356),(-(3630*'BMP P Tracking Table'!$V356+20.691*'BMP P Tracking Table'!$AA356-216.711*'BMP P Tracking Table'!$Z356-83.853*'BMP P Tracking Table'!$Y356-42.834*'BMP P Tracking Table'!$X356)+SQRT((3630*'BMP P Tracking Table'!$V356+20.691*'BMP P Tracking Table'!$AA356-216.711*'BMP P Tracking Table'!$Z356-83.853*'BMP P Tracking Table'!$Y356-42.834*'BMP P Tracking Table'!$X356)^2-(4*(149.919*'BMP P Tracking Table'!$X356+236.676*'BMP P Tracking Table'!$Y356+726*'BMP P Tracking Table'!$Z356+996.798*'BMP P Tracking Table'!$AA356)*-'BMP P Tracking Table'!$AX356)))/(2*(149.919*'BMP P Tracking Table'!$X356+236.676*'BMP P Tracking Table'!$Y356+726*'BMP P Tracking Table'!$Z356+996.798*'BMP P Tracking Table'!$AA356)))))),"")</f>
        <v/>
      </c>
      <c r="BB356" s="102" t="str">
        <f>IFERROR((VLOOKUP(CONCATENATE('BMP P Tracking Table'!$AW356," ",'BMP P Tracking Table'!$AY356),'Performance Curves'!$C$1:$L$46,_xlfn.SINGLE(MATCH('BMP P Tracking Table'!$BA356,'Performance Curves'!$D$1:$L$1,1))+2,FALSE)-VLOOKUP(CONCATENATE('BMP P Tracking Table'!$AW356," ",'BMP P Tracking Table'!$AY356),'Performance Curves'!$C$1:$L$46,_xlfn.SINGLE(MATCH('BMP P Tracking Table'!$BA356,'Performance Curves'!$D$1:$L$1,1))+1,FALSE)),"")</f>
        <v/>
      </c>
      <c r="BC356" s="102" t="str">
        <f>IFERROR(('BMP P Tracking Table'!$BA356-INDEX('Performance Curves'!$D$1:$L$1,1,MATCH('BMP P Tracking Table'!$BA356,'Performance Curves'!$D$1:$L$1,1)))/(INDEX('Performance Curves'!$D$1:$L$1,1,MATCH('BMP P Tracking Table'!$BA356,'Performance Curves'!$D$1:$L$1,1)+1)-INDEX('Performance Curves'!$D$1:$L$1,1,MATCH('BMP P Tracking Table'!$BA356,'Performance Curves'!$D$1:$L$1,1))),"")</f>
        <v/>
      </c>
      <c r="BD356" s="103" t="str" cm="1">
        <f t="array" ref="BD356">IFERROR(IF('BMP P Tracking Table'!$BA356=2,VLOOKUP(CONCATENATE('BMP P Tracking Table'!$AW356," ",'BMP P Tracking Table'!$AY356),'Performance Curves'!$C$1:$L$44,_xlfn.SINGLE(MATCH('BMP P Tracking Table'!$BA356,'Performance Curves'!$D$1:$L$1,1))+1,FALSE),'BMP P Tracking Table'!$BB356*'BMP P Tracking Table'!$BC356+VLOOKUP(CONCATENATE('BMP P Tracking Table'!$AW356," ",'BMP P Tracking Table'!$AY356),'Performance Curves'!$C$1:$L$44,_xlfn.SINGLE(MATCH('BMP P Tracking Table'!$BA356,'Performance Curves'!$D$1:$L$1,1))+1,FALSE)),"")</f>
        <v/>
      </c>
      <c r="BE356" s="104" t="str">
        <f>IFERROR('BMP P Tracking Table'!$BD356*'BMP P Tracking Table'!$AZ356,"")</f>
        <v/>
      </c>
      <c r="BF356" s="98"/>
      <c r="BG356" s="37">
        <f t="shared" si="40"/>
        <v>0</v>
      </c>
    </row>
    <row r="357" spans="2:59" s="36" customFormat="1">
      <c r="B357" s="65"/>
      <c r="C357" s="65"/>
      <c r="D357" s="65"/>
      <c r="E357" s="65"/>
      <c r="F357" s="94"/>
      <c r="G357" s="94"/>
      <c r="H357" s="65"/>
      <c r="I357" s="65"/>
      <c r="J357" s="65"/>
      <c r="K357" s="95"/>
      <c r="L357" s="65"/>
      <c r="M357" s="65"/>
      <c r="N357" s="65"/>
      <c r="O357" s="65"/>
      <c r="P357" s="65"/>
      <c r="Q357" s="65"/>
      <c r="R357" s="65" t="str">
        <f>IFERROR(VLOOKUP('BMP P Tracking Table'!$Q357,Dropdowns!$C$2:$E$15,3,FALSE),"")</f>
        <v/>
      </c>
      <c r="S357" s="65" t="str">
        <f>IFERROR(VLOOKUP('BMP P Tracking Table'!$R357,Dropdowns!$Q$3:$R$23,2,FALSE),"")</f>
        <v/>
      </c>
      <c r="T357" s="65"/>
      <c r="U357" s="65"/>
      <c r="V357" s="65"/>
      <c r="W357" s="65"/>
      <c r="X357" s="65"/>
      <c r="Y357" s="65"/>
      <c r="Z357" s="65"/>
      <c r="AA357" s="65"/>
      <c r="AB357" s="65"/>
      <c r="AC357" s="97"/>
      <c r="AD357" s="65"/>
      <c r="AE357" s="104" t="str">
        <f>IFERROR('BMP P Tracking Table'!$V357*VLOOKUP('BMP P Tracking Table'!$R357,'Loading Rates'!$B$1:$L$24,4,FALSE)+IF('BMP P Tracking Table'!$W357="By HSG",'BMP P Tracking Table'!$X357*VLOOKUP('BMP P Tracking Table'!$R357,'Loading Rates'!$B$1:$L$24,6,FALSE)+'BMP P Tracking Table'!$Y357*VLOOKUP('BMP P Tracking Table'!$R357,'Loading Rates'!$B$1:$L$24,7,FALSE)+'BMP P Tracking Table'!$Z357*VLOOKUP('BMP P Tracking Table'!$R357,'Loading Rates'!$B$1:$L$24,8,FALSE)+'BMP P Tracking Table'!$AA357*VLOOKUP('BMP P Tracking Table'!$R357,'Loading Rates'!$B$1:$L$24,9,FALSE),'BMP P Tracking Table'!$AB357*VLOOKUP('BMP P Tracking Table'!$R357,'Loading Rates'!$B$1:$L$24,10,FALSE)),"")</f>
        <v/>
      </c>
      <c r="AF357" s="104" t="str">
        <f>IFERROR(MIN(2,IF('BMP P Tracking Table'!$W357="Total Pervious",(-(3630*'BMP P Tracking Table'!$V357+20.691*'BMP P Tracking Table'!$AB357)+SQRT((3630*'BMP P Tracking Table'!$V357+20.691*'BMP P Tracking Table'!$AB357)^2-(4*(996.798*'BMP P Tracking Table'!$AB357)*-'BMP P Tracking Table'!$AC357)))/(2*(996.798*'BMP P Tracking Table'!$AB357)),IF(SUM('BMP P Tracking Table'!$X357:$AA357)=0,'BMP P Tracking Table'!$AC357/(-3630*'BMP P Tracking Table'!$V357),(-(3630*'BMP P Tracking Table'!$V357+20.691*'BMP P Tracking Table'!$AA357-216.711*'BMP P Tracking Table'!$Z357-83.853*'BMP P Tracking Table'!$Y357-42.834*'BMP P Tracking Table'!$X357)+SQRT((3630*'BMP P Tracking Table'!$V357+20.691*'BMP P Tracking Table'!$AA357-216.711*'BMP P Tracking Table'!$Z357-83.853*'BMP P Tracking Table'!$Y357-42.834*'BMP P Tracking Table'!$X357)^2-(4*(149.919*'BMP P Tracking Table'!$X357+236.676*'BMP P Tracking Table'!$Y357+726*'BMP P Tracking Table'!$Z357+996.798*'BMP P Tracking Table'!$AA357)*-'BMP P Tracking Table'!$AC357)))/(2*(149.919*'BMP P Tracking Table'!$X357+236.676*'BMP P Tracking Table'!$Y357+726*'BMP P Tracking Table'!$Z357+996.798*'BMP P Tracking Table'!$AA357))))),"")</f>
        <v/>
      </c>
      <c r="AG357" s="104" t="str">
        <f>IFERROR((VLOOKUP(CONCATENATE('BMP P Tracking Table'!$U357," ",'BMP P Tracking Table'!$AD357),'Performance Curves'!$C$1:$L$46,_xlfn.SINGLE(MATCH('BMP P Tracking Table'!$AF357,'Performance Curves'!$D$1:$L$1,1))+2,FALSE)-VLOOKUP(CONCATENATE('BMP P Tracking Table'!$U357," ",'BMP P Tracking Table'!$AD357),'Performance Curves'!$C$1:$L$46,_xlfn.SINGLE(MATCH('BMP P Tracking Table'!$AF357,'Performance Curves'!$D$1:$L$1,1))+1,FALSE)),"")</f>
        <v/>
      </c>
      <c r="AH357" s="104" t="str">
        <f>IFERROR(('BMP P Tracking Table'!$AF357-INDEX('Performance Curves'!$D$1:$L$1,1,MATCH('BMP P Tracking Table'!$AF357,'Performance Curves'!$D$1:$L$1,1)))/(INDEX('Performance Curves'!$D$1:$L$1,1,MATCH('BMP P Tracking Table'!$AF357,'Performance Curves'!$D$1:$L$1,1)+1)-INDEX('Performance Curves'!$D$1:$L$1,1,MATCH('BMP P Tracking Table'!$AF357,'Performance Curves'!$D$1:$L$1,1))),"")</f>
        <v/>
      </c>
      <c r="AI357" s="103" t="str">
        <f>IFERROR(IF('BMP P Tracking Table'!$AF357=2,VLOOKUP(CONCATENATE('BMP P Tracking Table'!$U357," ",'BMP P Tracking Table'!$AD357),'Performance Curves'!$C$1:$L$46,_xlfn.SINGLE(MATCH('BMP P Tracking Table'!$AF357,'Performance Curves'!$D$1:$L$1,1))+1,FALSE),'BMP P Tracking Table'!$AG357*'BMP P Tracking Table'!$AH357+VLOOKUP(CONCATENATE('BMP P Tracking Table'!$U357," ",'BMP P Tracking Table'!$AD357),'Performance Curves'!$C$1:$L$46,_xlfn.SINGLE(MATCH('BMP P Tracking Table'!$AF357,'Performance Curves'!$D$1:$L$1,1))+1,FALSE)),"")</f>
        <v/>
      </c>
      <c r="AJ357" s="104" t="str">
        <f>IFERROR('BMP P Tracking Table'!$AI357*'BMP P Tracking Table'!$AE357,"")</f>
        <v/>
      </c>
      <c r="AK357" s="65"/>
      <c r="AL357" s="98"/>
      <c r="AM357" s="98"/>
      <c r="AN357" s="64">
        <v>1</v>
      </c>
      <c r="AO357" s="102" t="str">
        <f t="shared" si="39"/>
        <v/>
      </c>
      <c r="AP357" s="98"/>
      <c r="AQ357" s="98"/>
      <c r="AR357" s="98"/>
      <c r="AS357" s="98"/>
      <c r="AT357" s="98"/>
      <c r="AU357" s="98"/>
      <c r="AV357" s="98"/>
      <c r="AW357" s="65"/>
      <c r="AX357" s="99"/>
      <c r="AY357" s="99"/>
      <c r="AZ357" s="104" t="str">
        <f>IF('BMP P Tracking Table'!$AL357="Yes",IF('BMP P Tracking Table'!$AM357="No",'BMP P Tracking Table'!$V357*VLOOKUP('BMP P Tracking Table'!$R357,'Loading Rates'!$B$1:$L$24,4,FALSE)+IF('BMP P Tracking Table'!$W357="By HSG",'BMP P Tracking Table'!$X357*VLOOKUP('BMP P Tracking Table'!$R357,'Loading Rates'!$B$1:$L$24,6,FALSE)+'BMP P Tracking Table'!$Y357*VLOOKUP('BMP P Tracking Table'!$R357,'Loading Rates'!$B$1:$L$24,7,FALSE)+'BMP P Tracking Table'!$Z357*VLOOKUP('BMP P Tracking Table'!$R357,'Loading Rates'!$B$1:$L$24,8,FALSE)+'BMP P Tracking Table'!$AA357*VLOOKUP('BMP P Tracking Table'!$R357,'Loading Rates'!$B$1:$L$24,9,FALSE),'BMP P Tracking Table'!$AB357*VLOOKUP('BMP P Tracking Table'!$R357,'Loading Rates'!$B$1:$L$24,10,FALSE)),'BMP P Tracking Table'!$AP357*VLOOKUP('BMP P Tracking Table'!$R357,'Loading Rates'!$B$1:$L$24,4,FALSE)+IF('BMP P Tracking Table'!$AQ357="By HSG",'BMP P Tracking Table'!$AR357*VLOOKUP('BMP P Tracking Table'!$R357,'Loading Rates'!$B$1:$L$24,6,FALSE)+'BMP P Tracking Table'!$AS357*VLOOKUP('BMP P Tracking Table'!$R357,'Loading Rates'!$B$1:$L$24,7,FALSE)+'BMP P Tracking Table'!$AT357*VLOOKUP('BMP P Tracking Table'!$R357,'Loading Rates'!$B$1:$L$24,8,FALSE)+'BMP P Tracking Table'!$AU357*VLOOKUP('BMP P Tracking Table'!$R357,'Loading Rates'!$B$1:$L$24,9,FALSE),'BMP P Tracking Table'!$AV357*VLOOKUP('BMP P Tracking Table'!$R357,'Loading Rates'!$B$1:$L$24,10,FALSE))),"")</f>
        <v/>
      </c>
      <c r="BA357" s="104" t="str">
        <f>IFERROR(IF('BMP P Tracking Table'!$AM357="Yes",MIN(2,IF('BMP P Tracking Table'!$AQ357="Total Pervious",(-(3630*'BMP P Tracking Table'!$AP357+20.691*'BMP P Tracking Table'!$AV357)+SQRT((3630*'BMP P Tracking Table'!$AP357+20.691*'BMP P Tracking Table'!$AV357)^2-(4*(996.798*'BMP P Tracking Table'!$AV357)*-'BMP P Tracking Table'!$AX357)))/(2*(996.798*'BMP P Tracking Table'!$AV357)),IF(SUM('BMP P Tracking Table'!$AR357:$AU357)=0,'BMP P Tracking Table'!$AV357/(-3630*'BMP P Tracking Table'!$AP357),(-(3630*'BMP P Tracking Table'!$AP357+20.691*'BMP P Tracking Table'!$AU357-216.711*'BMP P Tracking Table'!$AT357-83.853*'BMP P Tracking Table'!$AS357-42.834*'BMP P Tracking Table'!$AR357)+SQRT((3630*'BMP P Tracking Table'!$AP357+20.691*'BMP P Tracking Table'!$AU357-216.711*'BMP P Tracking Table'!$AT357-83.853*'BMP P Tracking Table'!$AS357-42.834*'BMP P Tracking Table'!$AR357)^2-(4*(149.919*'BMP P Tracking Table'!$AR357+236.676*'BMP P Tracking Table'!$AS357+726*'BMP P Tracking Table'!$AT357+996.798*'BMP P Tracking Table'!$AU357)*-'BMP P Tracking Table'!$AX357)))/(2*(149.919*'BMP P Tracking Table'!$AR357+236.676*'BMP P Tracking Table'!$AS357+726*'BMP P Tracking Table'!$AT357+996.798*'BMP P Tracking Table'!$AU357))))),MIN(2,IF('BMP P Tracking Table'!$AQ357="Total Pervious",(-(3630*'BMP P Tracking Table'!$V357+20.691*'BMP P Tracking Table'!$AB357)+SQRT((3630*'BMP P Tracking Table'!$V357+20.691*'BMP P Tracking Table'!$AB357)^2-(4*(996.798*'BMP P Tracking Table'!$AB357)*-'BMP P Tracking Table'!$AX357)))/(2*(996.798*'BMP P Tracking Table'!$AB357)),IF(SUM('BMP P Tracking Table'!$X357:$AA357)=0,'BMP P Tracking Table'!$AX357/(-3630*'BMP P Tracking Table'!$V357),(-(3630*'BMP P Tracking Table'!$V357+20.691*'BMP P Tracking Table'!$AA357-216.711*'BMP P Tracking Table'!$Z357-83.853*'BMP P Tracking Table'!$Y357-42.834*'BMP P Tracking Table'!$X357)+SQRT((3630*'BMP P Tracking Table'!$V357+20.691*'BMP P Tracking Table'!$AA357-216.711*'BMP P Tracking Table'!$Z357-83.853*'BMP P Tracking Table'!$Y357-42.834*'BMP P Tracking Table'!$X357)^2-(4*(149.919*'BMP P Tracking Table'!$X357+236.676*'BMP P Tracking Table'!$Y357+726*'BMP P Tracking Table'!$Z357+996.798*'BMP P Tracking Table'!$AA357)*-'BMP P Tracking Table'!$AX357)))/(2*(149.919*'BMP P Tracking Table'!$X357+236.676*'BMP P Tracking Table'!$Y357+726*'BMP P Tracking Table'!$Z357+996.798*'BMP P Tracking Table'!$AA357)))))),"")</f>
        <v/>
      </c>
      <c r="BB357" s="102" t="str">
        <f>IFERROR((VLOOKUP(CONCATENATE('BMP P Tracking Table'!$AW357," ",'BMP P Tracking Table'!$AY357),'Performance Curves'!$C$1:$L$46,_xlfn.SINGLE(MATCH('BMP P Tracking Table'!$BA357,'Performance Curves'!$D$1:$L$1,1))+2,FALSE)-VLOOKUP(CONCATENATE('BMP P Tracking Table'!$AW357," ",'BMP P Tracking Table'!$AY357),'Performance Curves'!$C$1:$L$46,_xlfn.SINGLE(MATCH('BMP P Tracking Table'!$BA357,'Performance Curves'!$D$1:$L$1,1))+1,FALSE)),"")</f>
        <v/>
      </c>
      <c r="BC357" s="102" t="str">
        <f>IFERROR(('BMP P Tracking Table'!$BA357-INDEX('Performance Curves'!$D$1:$L$1,1,MATCH('BMP P Tracking Table'!$BA357,'Performance Curves'!$D$1:$L$1,1)))/(INDEX('Performance Curves'!$D$1:$L$1,1,MATCH('BMP P Tracking Table'!$BA357,'Performance Curves'!$D$1:$L$1,1)+1)-INDEX('Performance Curves'!$D$1:$L$1,1,MATCH('BMP P Tracking Table'!$BA357,'Performance Curves'!$D$1:$L$1,1))),"")</f>
        <v/>
      </c>
      <c r="BD357" s="103" t="str" cm="1">
        <f t="array" ref="BD357">IFERROR(IF('BMP P Tracking Table'!$BA357=2,VLOOKUP(CONCATENATE('BMP P Tracking Table'!$AW357," ",'BMP P Tracking Table'!$AY357),'Performance Curves'!$C$1:$L$44,_xlfn.SINGLE(MATCH('BMP P Tracking Table'!$BA357,'Performance Curves'!$D$1:$L$1,1))+1,FALSE),'BMP P Tracking Table'!$BB357*'BMP P Tracking Table'!$BC357+VLOOKUP(CONCATENATE('BMP P Tracking Table'!$AW357," ",'BMP P Tracking Table'!$AY357),'Performance Curves'!$C$1:$L$44,_xlfn.SINGLE(MATCH('BMP P Tracking Table'!$BA357,'Performance Curves'!$D$1:$L$1,1))+1,FALSE)),"")</f>
        <v/>
      </c>
      <c r="BE357" s="104" t="str">
        <f>IFERROR('BMP P Tracking Table'!$BD357*'BMP P Tracking Table'!$AZ357,"")</f>
        <v/>
      </c>
      <c r="BF357" s="98"/>
      <c r="BG357" s="37">
        <f t="shared" si="40"/>
        <v>0</v>
      </c>
    </row>
    <row r="358" spans="2:59" s="36" customFormat="1">
      <c r="B358" s="65"/>
      <c r="C358" s="65"/>
      <c r="D358" s="65"/>
      <c r="E358" s="65"/>
      <c r="F358" s="94"/>
      <c r="G358" s="94"/>
      <c r="H358" s="65"/>
      <c r="I358" s="65"/>
      <c r="J358" s="65"/>
      <c r="K358" s="95"/>
      <c r="L358" s="65"/>
      <c r="M358" s="65"/>
      <c r="N358" s="65"/>
      <c r="O358" s="65"/>
      <c r="P358" s="65"/>
      <c r="Q358" s="65"/>
      <c r="R358" s="65" t="str">
        <f>IFERROR(VLOOKUP('BMP P Tracking Table'!$Q358,Dropdowns!$C$2:$E$15,3,FALSE),"")</f>
        <v/>
      </c>
      <c r="S358" s="65" t="str">
        <f>IFERROR(VLOOKUP('BMP P Tracking Table'!$R358,Dropdowns!$Q$3:$R$23,2,FALSE),"")</f>
        <v/>
      </c>
      <c r="T358" s="65"/>
      <c r="U358" s="65"/>
      <c r="V358" s="65"/>
      <c r="W358" s="65"/>
      <c r="X358" s="65"/>
      <c r="Y358" s="65"/>
      <c r="Z358" s="65"/>
      <c r="AA358" s="65"/>
      <c r="AB358" s="65"/>
      <c r="AC358" s="97"/>
      <c r="AD358" s="65"/>
      <c r="AE358" s="104" t="str">
        <f>IFERROR('BMP P Tracking Table'!$V358*VLOOKUP('BMP P Tracking Table'!$R358,'Loading Rates'!$B$1:$L$24,4,FALSE)+IF('BMP P Tracking Table'!$W358="By HSG",'BMP P Tracking Table'!$X358*VLOOKUP('BMP P Tracking Table'!$R358,'Loading Rates'!$B$1:$L$24,6,FALSE)+'BMP P Tracking Table'!$Y358*VLOOKUP('BMP P Tracking Table'!$R358,'Loading Rates'!$B$1:$L$24,7,FALSE)+'BMP P Tracking Table'!$Z358*VLOOKUP('BMP P Tracking Table'!$R358,'Loading Rates'!$B$1:$L$24,8,FALSE)+'BMP P Tracking Table'!$AA358*VLOOKUP('BMP P Tracking Table'!$R358,'Loading Rates'!$B$1:$L$24,9,FALSE),'BMP P Tracking Table'!$AB358*VLOOKUP('BMP P Tracking Table'!$R358,'Loading Rates'!$B$1:$L$24,10,FALSE)),"")</f>
        <v/>
      </c>
      <c r="AF358" s="104" t="str">
        <f>IFERROR(MIN(2,IF('BMP P Tracking Table'!$W358="Total Pervious",(-(3630*'BMP P Tracking Table'!$V358+20.691*'BMP P Tracking Table'!$AB358)+SQRT((3630*'BMP P Tracking Table'!$V358+20.691*'BMP P Tracking Table'!$AB358)^2-(4*(996.798*'BMP P Tracking Table'!$AB358)*-'BMP P Tracking Table'!$AC358)))/(2*(996.798*'BMP P Tracking Table'!$AB358)),IF(SUM('BMP P Tracking Table'!$X358:$AA358)=0,'BMP P Tracking Table'!$AC358/(-3630*'BMP P Tracking Table'!$V358),(-(3630*'BMP P Tracking Table'!$V358+20.691*'BMP P Tracking Table'!$AA358-216.711*'BMP P Tracking Table'!$Z358-83.853*'BMP P Tracking Table'!$Y358-42.834*'BMP P Tracking Table'!$X358)+SQRT((3630*'BMP P Tracking Table'!$V358+20.691*'BMP P Tracking Table'!$AA358-216.711*'BMP P Tracking Table'!$Z358-83.853*'BMP P Tracking Table'!$Y358-42.834*'BMP P Tracking Table'!$X358)^2-(4*(149.919*'BMP P Tracking Table'!$X358+236.676*'BMP P Tracking Table'!$Y358+726*'BMP P Tracking Table'!$Z358+996.798*'BMP P Tracking Table'!$AA358)*-'BMP P Tracking Table'!$AC358)))/(2*(149.919*'BMP P Tracking Table'!$X358+236.676*'BMP P Tracking Table'!$Y358+726*'BMP P Tracking Table'!$Z358+996.798*'BMP P Tracking Table'!$AA358))))),"")</f>
        <v/>
      </c>
      <c r="AG358" s="104" t="str">
        <f>IFERROR((VLOOKUP(CONCATENATE('BMP P Tracking Table'!$U358," ",'BMP P Tracking Table'!$AD358),'Performance Curves'!$C$1:$L$46,_xlfn.SINGLE(MATCH('BMP P Tracking Table'!$AF358,'Performance Curves'!$D$1:$L$1,1))+2,FALSE)-VLOOKUP(CONCATENATE('BMP P Tracking Table'!$U358," ",'BMP P Tracking Table'!$AD358),'Performance Curves'!$C$1:$L$46,_xlfn.SINGLE(MATCH('BMP P Tracking Table'!$AF358,'Performance Curves'!$D$1:$L$1,1))+1,FALSE)),"")</f>
        <v/>
      </c>
      <c r="AH358" s="104" t="str">
        <f>IFERROR(('BMP P Tracking Table'!$AF358-INDEX('Performance Curves'!$D$1:$L$1,1,MATCH('BMP P Tracking Table'!$AF358,'Performance Curves'!$D$1:$L$1,1)))/(INDEX('Performance Curves'!$D$1:$L$1,1,MATCH('BMP P Tracking Table'!$AF358,'Performance Curves'!$D$1:$L$1,1)+1)-INDEX('Performance Curves'!$D$1:$L$1,1,MATCH('BMP P Tracking Table'!$AF358,'Performance Curves'!$D$1:$L$1,1))),"")</f>
        <v/>
      </c>
      <c r="AI358" s="103" t="str">
        <f>IFERROR(IF('BMP P Tracking Table'!$AF358=2,VLOOKUP(CONCATENATE('BMP P Tracking Table'!$U358," ",'BMP P Tracking Table'!$AD358),'Performance Curves'!$C$1:$L$46,_xlfn.SINGLE(MATCH('BMP P Tracking Table'!$AF358,'Performance Curves'!$D$1:$L$1,1))+1,FALSE),'BMP P Tracking Table'!$AG358*'BMP P Tracking Table'!$AH358+VLOOKUP(CONCATENATE('BMP P Tracking Table'!$U358," ",'BMP P Tracking Table'!$AD358),'Performance Curves'!$C$1:$L$46,_xlfn.SINGLE(MATCH('BMP P Tracking Table'!$AF358,'Performance Curves'!$D$1:$L$1,1))+1,FALSE)),"")</f>
        <v/>
      </c>
      <c r="AJ358" s="104" t="str">
        <f>IFERROR('BMP P Tracking Table'!$AI358*'BMP P Tracking Table'!$AE358,"")</f>
        <v/>
      </c>
      <c r="AK358" s="65"/>
      <c r="AL358" s="98"/>
      <c r="AM358" s="98"/>
      <c r="AN358" s="64">
        <v>1</v>
      </c>
      <c r="AO358" s="102" t="str">
        <f t="shared" si="39"/>
        <v/>
      </c>
      <c r="AP358" s="98"/>
      <c r="AQ358" s="98"/>
      <c r="AR358" s="98"/>
      <c r="AS358" s="98"/>
      <c r="AT358" s="98"/>
      <c r="AU358" s="98"/>
      <c r="AV358" s="98"/>
      <c r="AW358" s="65"/>
      <c r="AX358" s="99"/>
      <c r="AY358" s="99"/>
      <c r="AZ358" s="104" t="str">
        <f>IF('BMP P Tracking Table'!$AL358="Yes",IF('BMP P Tracking Table'!$AM358="No",'BMP P Tracking Table'!$V358*VLOOKUP('BMP P Tracking Table'!$R358,'Loading Rates'!$B$1:$L$24,4,FALSE)+IF('BMP P Tracking Table'!$W358="By HSG",'BMP P Tracking Table'!$X358*VLOOKUP('BMP P Tracking Table'!$R358,'Loading Rates'!$B$1:$L$24,6,FALSE)+'BMP P Tracking Table'!$Y358*VLOOKUP('BMP P Tracking Table'!$R358,'Loading Rates'!$B$1:$L$24,7,FALSE)+'BMP P Tracking Table'!$Z358*VLOOKUP('BMP P Tracking Table'!$R358,'Loading Rates'!$B$1:$L$24,8,FALSE)+'BMP P Tracking Table'!$AA358*VLOOKUP('BMP P Tracking Table'!$R358,'Loading Rates'!$B$1:$L$24,9,FALSE),'BMP P Tracking Table'!$AB358*VLOOKUP('BMP P Tracking Table'!$R358,'Loading Rates'!$B$1:$L$24,10,FALSE)),'BMP P Tracking Table'!$AP358*VLOOKUP('BMP P Tracking Table'!$R358,'Loading Rates'!$B$1:$L$24,4,FALSE)+IF('BMP P Tracking Table'!$AQ358="By HSG",'BMP P Tracking Table'!$AR358*VLOOKUP('BMP P Tracking Table'!$R358,'Loading Rates'!$B$1:$L$24,6,FALSE)+'BMP P Tracking Table'!$AS358*VLOOKUP('BMP P Tracking Table'!$R358,'Loading Rates'!$B$1:$L$24,7,FALSE)+'BMP P Tracking Table'!$AT358*VLOOKUP('BMP P Tracking Table'!$R358,'Loading Rates'!$B$1:$L$24,8,FALSE)+'BMP P Tracking Table'!$AU358*VLOOKUP('BMP P Tracking Table'!$R358,'Loading Rates'!$B$1:$L$24,9,FALSE),'BMP P Tracking Table'!$AV358*VLOOKUP('BMP P Tracking Table'!$R358,'Loading Rates'!$B$1:$L$24,10,FALSE))),"")</f>
        <v/>
      </c>
      <c r="BA358" s="104" t="str">
        <f>IFERROR(IF('BMP P Tracking Table'!$AM358="Yes",MIN(2,IF('BMP P Tracking Table'!$AQ358="Total Pervious",(-(3630*'BMP P Tracking Table'!$AP358+20.691*'BMP P Tracking Table'!$AV358)+SQRT((3630*'BMP P Tracking Table'!$AP358+20.691*'BMP P Tracking Table'!$AV358)^2-(4*(996.798*'BMP P Tracking Table'!$AV358)*-'BMP P Tracking Table'!$AX358)))/(2*(996.798*'BMP P Tracking Table'!$AV358)),IF(SUM('BMP P Tracking Table'!$AR358:$AU358)=0,'BMP P Tracking Table'!$AV358/(-3630*'BMP P Tracking Table'!$AP358),(-(3630*'BMP P Tracking Table'!$AP358+20.691*'BMP P Tracking Table'!$AU358-216.711*'BMP P Tracking Table'!$AT358-83.853*'BMP P Tracking Table'!$AS358-42.834*'BMP P Tracking Table'!$AR358)+SQRT((3630*'BMP P Tracking Table'!$AP358+20.691*'BMP P Tracking Table'!$AU358-216.711*'BMP P Tracking Table'!$AT358-83.853*'BMP P Tracking Table'!$AS358-42.834*'BMP P Tracking Table'!$AR358)^2-(4*(149.919*'BMP P Tracking Table'!$AR358+236.676*'BMP P Tracking Table'!$AS358+726*'BMP P Tracking Table'!$AT358+996.798*'BMP P Tracking Table'!$AU358)*-'BMP P Tracking Table'!$AX358)))/(2*(149.919*'BMP P Tracking Table'!$AR358+236.676*'BMP P Tracking Table'!$AS358+726*'BMP P Tracking Table'!$AT358+996.798*'BMP P Tracking Table'!$AU358))))),MIN(2,IF('BMP P Tracking Table'!$AQ358="Total Pervious",(-(3630*'BMP P Tracking Table'!$V358+20.691*'BMP P Tracking Table'!$AB358)+SQRT((3630*'BMP P Tracking Table'!$V358+20.691*'BMP P Tracking Table'!$AB358)^2-(4*(996.798*'BMP P Tracking Table'!$AB358)*-'BMP P Tracking Table'!$AX358)))/(2*(996.798*'BMP P Tracking Table'!$AB358)),IF(SUM('BMP P Tracking Table'!$X358:$AA358)=0,'BMP P Tracking Table'!$AX358/(-3630*'BMP P Tracking Table'!$V358),(-(3630*'BMP P Tracking Table'!$V358+20.691*'BMP P Tracking Table'!$AA358-216.711*'BMP P Tracking Table'!$Z358-83.853*'BMP P Tracking Table'!$Y358-42.834*'BMP P Tracking Table'!$X358)+SQRT((3630*'BMP P Tracking Table'!$V358+20.691*'BMP P Tracking Table'!$AA358-216.711*'BMP P Tracking Table'!$Z358-83.853*'BMP P Tracking Table'!$Y358-42.834*'BMP P Tracking Table'!$X358)^2-(4*(149.919*'BMP P Tracking Table'!$X358+236.676*'BMP P Tracking Table'!$Y358+726*'BMP P Tracking Table'!$Z358+996.798*'BMP P Tracking Table'!$AA358)*-'BMP P Tracking Table'!$AX358)))/(2*(149.919*'BMP P Tracking Table'!$X358+236.676*'BMP P Tracking Table'!$Y358+726*'BMP P Tracking Table'!$Z358+996.798*'BMP P Tracking Table'!$AA358)))))),"")</f>
        <v/>
      </c>
      <c r="BB358" s="102" t="str">
        <f>IFERROR((VLOOKUP(CONCATENATE('BMP P Tracking Table'!$AW358," ",'BMP P Tracking Table'!$AY358),'Performance Curves'!$C$1:$L$46,_xlfn.SINGLE(MATCH('BMP P Tracking Table'!$BA358,'Performance Curves'!$D$1:$L$1,1))+2,FALSE)-VLOOKUP(CONCATENATE('BMP P Tracking Table'!$AW358," ",'BMP P Tracking Table'!$AY358),'Performance Curves'!$C$1:$L$46,_xlfn.SINGLE(MATCH('BMP P Tracking Table'!$BA358,'Performance Curves'!$D$1:$L$1,1))+1,FALSE)),"")</f>
        <v/>
      </c>
      <c r="BC358" s="102" t="str">
        <f>IFERROR(('BMP P Tracking Table'!$BA358-INDEX('Performance Curves'!$D$1:$L$1,1,MATCH('BMP P Tracking Table'!$BA358,'Performance Curves'!$D$1:$L$1,1)))/(INDEX('Performance Curves'!$D$1:$L$1,1,MATCH('BMP P Tracking Table'!$BA358,'Performance Curves'!$D$1:$L$1,1)+1)-INDEX('Performance Curves'!$D$1:$L$1,1,MATCH('BMP P Tracking Table'!$BA358,'Performance Curves'!$D$1:$L$1,1))),"")</f>
        <v/>
      </c>
      <c r="BD358" s="103" t="str" cm="1">
        <f t="array" ref="BD358">IFERROR(IF('BMP P Tracking Table'!$BA358=2,VLOOKUP(CONCATENATE('BMP P Tracking Table'!$AW358," ",'BMP P Tracking Table'!$AY358),'Performance Curves'!$C$1:$L$44,_xlfn.SINGLE(MATCH('BMP P Tracking Table'!$BA358,'Performance Curves'!$D$1:$L$1,1))+1,FALSE),'BMP P Tracking Table'!$BB358*'BMP P Tracking Table'!$BC358+VLOOKUP(CONCATENATE('BMP P Tracking Table'!$AW358," ",'BMP P Tracking Table'!$AY358),'Performance Curves'!$C$1:$L$44,_xlfn.SINGLE(MATCH('BMP P Tracking Table'!$BA358,'Performance Curves'!$D$1:$L$1,1))+1,FALSE)),"")</f>
        <v/>
      </c>
      <c r="BE358" s="104" t="str">
        <f>IFERROR('BMP P Tracking Table'!$BD358*'BMP P Tracking Table'!$AZ358,"")</f>
        <v/>
      </c>
      <c r="BF358" s="98"/>
      <c r="BG358" s="37">
        <f t="shared" si="40"/>
        <v>0</v>
      </c>
    </row>
    <row r="359" spans="2:59" s="36" customFormat="1">
      <c r="B359" s="65"/>
      <c r="C359" s="65"/>
      <c r="D359" s="65"/>
      <c r="E359" s="65"/>
      <c r="F359" s="94"/>
      <c r="G359" s="94"/>
      <c r="H359" s="65"/>
      <c r="I359" s="65"/>
      <c r="J359" s="65"/>
      <c r="K359" s="95"/>
      <c r="L359" s="65"/>
      <c r="M359" s="65"/>
      <c r="N359" s="65"/>
      <c r="O359" s="65"/>
      <c r="P359" s="65"/>
      <c r="Q359" s="65"/>
      <c r="R359" s="65" t="str">
        <f>IFERROR(VLOOKUP('BMP P Tracking Table'!$Q359,Dropdowns!$C$2:$E$15,3,FALSE),"")</f>
        <v/>
      </c>
      <c r="S359" s="65" t="str">
        <f>IFERROR(VLOOKUP('BMP P Tracking Table'!$R359,Dropdowns!$Q$3:$R$23,2,FALSE),"")</f>
        <v/>
      </c>
      <c r="T359" s="65"/>
      <c r="U359" s="65"/>
      <c r="V359" s="65"/>
      <c r="W359" s="65"/>
      <c r="X359" s="65"/>
      <c r="Y359" s="65"/>
      <c r="Z359" s="65"/>
      <c r="AA359" s="65"/>
      <c r="AB359" s="65"/>
      <c r="AC359" s="97"/>
      <c r="AD359" s="65"/>
      <c r="AE359" s="104" t="str">
        <f>IFERROR('BMP P Tracking Table'!$V359*VLOOKUP('BMP P Tracking Table'!$R359,'Loading Rates'!$B$1:$L$24,4,FALSE)+IF('BMP P Tracking Table'!$W359="By HSG",'BMP P Tracking Table'!$X359*VLOOKUP('BMP P Tracking Table'!$R359,'Loading Rates'!$B$1:$L$24,6,FALSE)+'BMP P Tracking Table'!$Y359*VLOOKUP('BMP P Tracking Table'!$R359,'Loading Rates'!$B$1:$L$24,7,FALSE)+'BMP P Tracking Table'!$Z359*VLOOKUP('BMP P Tracking Table'!$R359,'Loading Rates'!$B$1:$L$24,8,FALSE)+'BMP P Tracking Table'!$AA359*VLOOKUP('BMP P Tracking Table'!$R359,'Loading Rates'!$B$1:$L$24,9,FALSE),'BMP P Tracking Table'!$AB359*VLOOKUP('BMP P Tracking Table'!$R359,'Loading Rates'!$B$1:$L$24,10,FALSE)),"")</f>
        <v/>
      </c>
      <c r="AF359" s="104" t="str">
        <f>IFERROR(MIN(2,IF('BMP P Tracking Table'!$W359="Total Pervious",(-(3630*'BMP P Tracking Table'!$V359+20.691*'BMP P Tracking Table'!$AB359)+SQRT((3630*'BMP P Tracking Table'!$V359+20.691*'BMP P Tracking Table'!$AB359)^2-(4*(996.798*'BMP P Tracking Table'!$AB359)*-'BMP P Tracking Table'!$AC359)))/(2*(996.798*'BMP P Tracking Table'!$AB359)),IF(SUM('BMP P Tracking Table'!$X359:$AA359)=0,'BMP P Tracking Table'!$AC359/(-3630*'BMP P Tracking Table'!$V359),(-(3630*'BMP P Tracking Table'!$V359+20.691*'BMP P Tracking Table'!$AA359-216.711*'BMP P Tracking Table'!$Z359-83.853*'BMP P Tracking Table'!$Y359-42.834*'BMP P Tracking Table'!$X359)+SQRT((3630*'BMP P Tracking Table'!$V359+20.691*'BMP P Tracking Table'!$AA359-216.711*'BMP P Tracking Table'!$Z359-83.853*'BMP P Tracking Table'!$Y359-42.834*'BMP P Tracking Table'!$X359)^2-(4*(149.919*'BMP P Tracking Table'!$X359+236.676*'BMP P Tracking Table'!$Y359+726*'BMP P Tracking Table'!$Z359+996.798*'BMP P Tracking Table'!$AA359)*-'BMP P Tracking Table'!$AC359)))/(2*(149.919*'BMP P Tracking Table'!$X359+236.676*'BMP P Tracking Table'!$Y359+726*'BMP P Tracking Table'!$Z359+996.798*'BMP P Tracking Table'!$AA359))))),"")</f>
        <v/>
      </c>
      <c r="AG359" s="104" t="str">
        <f>IFERROR((VLOOKUP(CONCATENATE('BMP P Tracking Table'!$U359," ",'BMP P Tracking Table'!$AD359),'Performance Curves'!$C$1:$L$46,_xlfn.SINGLE(MATCH('BMP P Tracking Table'!$AF359,'Performance Curves'!$D$1:$L$1,1))+2,FALSE)-VLOOKUP(CONCATENATE('BMP P Tracking Table'!$U359," ",'BMP P Tracking Table'!$AD359),'Performance Curves'!$C$1:$L$46,_xlfn.SINGLE(MATCH('BMP P Tracking Table'!$AF359,'Performance Curves'!$D$1:$L$1,1))+1,FALSE)),"")</f>
        <v/>
      </c>
      <c r="AH359" s="104" t="str">
        <f>IFERROR(('BMP P Tracking Table'!$AF359-INDEX('Performance Curves'!$D$1:$L$1,1,MATCH('BMP P Tracking Table'!$AF359,'Performance Curves'!$D$1:$L$1,1)))/(INDEX('Performance Curves'!$D$1:$L$1,1,MATCH('BMP P Tracking Table'!$AF359,'Performance Curves'!$D$1:$L$1,1)+1)-INDEX('Performance Curves'!$D$1:$L$1,1,MATCH('BMP P Tracking Table'!$AF359,'Performance Curves'!$D$1:$L$1,1))),"")</f>
        <v/>
      </c>
      <c r="AI359" s="103" t="str">
        <f>IFERROR(IF('BMP P Tracking Table'!$AF359=2,VLOOKUP(CONCATENATE('BMP P Tracking Table'!$U359," ",'BMP P Tracking Table'!$AD359),'Performance Curves'!$C$1:$L$46,_xlfn.SINGLE(MATCH('BMP P Tracking Table'!$AF359,'Performance Curves'!$D$1:$L$1,1))+1,FALSE),'BMP P Tracking Table'!$AG359*'BMP P Tracking Table'!$AH359+VLOOKUP(CONCATENATE('BMP P Tracking Table'!$U359," ",'BMP P Tracking Table'!$AD359),'Performance Curves'!$C$1:$L$46,_xlfn.SINGLE(MATCH('BMP P Tracking Table'!$AF359,'Performance Curves'!$D$1:$L$1,1))+1,FALSE)),"")</f>
        <v/>
      </c>
      <c r="AJ359" s="104" t="str">
        <f>IFERROR('BMP P Tracking Table'!$AI359*'BMP P Tracking Table'!$AE359,"")</f>
        <v/>
      </c>
      <c r="AK359" s="65"/>
      <c r="AL359" s="98"/>
      <c r="AM359" s="98"/>
      <c r="AN359" s="64">
        <v>1</v>
      </c>
      <c r="AO359" s="102" t="str">
        <f t="shared" si="39"/>
        <v/>
      </c>
      <c r="AP359" s="98"/>
      <c r="AQ359" s="98"/>
      <c r="AR359" s="98"/>
      <c r="AS359" s="98"/>
      <c r="AT359" s="98"/>
      <c r="AU359" s="98"/>
      <c r="AV359" s="98"/>
      <c r="AW359" s="65"/>
      <c r="AX359" s="99"/>
      <c r="AY359" s="99"/>
      <c r="AZ359" s="104" t="str">
        <f>IF('BMP P Tracking Table'!$AL359="Yes",IF('BMP P Tracking Table'!$AM359="No",'BMP P Tracking Table'!$V359*VLOOKUP('BMP P Tracking Table'!$R359,'Loading Rates'!$B$1:$L$24,4,FALSE)+IF('BMP P Tracking Table'!$W359="By HSG",'BMP P Tracking Table'!$X359*VLOOKUP('BMP P Tracking Table'!$R359,'Loading Rates'!$B$1:$L$24,6,FALSE)+'BMP P Tracking Table'!$Y359*VLOOKUP('BMP P Tracking Table'!$R359,'Loading Rates'!$B$1:$L$24,7,FALSE)+'BMP P Tracking Table'!$Z359*VLOOKUP('BMP P Tracking Table'!$R359,'Loading Rates'!$B$1:$L$24,8,FALSE)+'BMP P Tracking Table'!$AA359*VLOOKUP('BMP P Tracking Table'!$R359,'Loading Rates'!$B$1:$L$24,9,FALSE),'BMP P Tracking Table'!$AB359*VLOOKUP('BMP P Tracking Table'!$R359,'Loading Rates'!$B$1:$L$24,10,FALSE)),'BMP P Tracking Table'!$AP359*VLOOKUP('BMP P Tracking Table'!$R359,'Loading Rates'!$B$1:$L$24,4,FALSE)+IF('BMP P Tracking Table'!$AQ359="By HSG",'BMP P Tracking Table'!$AR359*VLOOKUP('BMP P Tracking Table'!$R359,'Loading Rates'!$B$1:$L$24,6,FALSE)+'BMP P Tracking Table'!$AS359*VLOOKUP('BMP P Tracking Table'!$R359,'Loading Rates'!$B$1:$L$24,7,FALSE)+'BMP P Tracking Table'!$AT359*VLOOKUP('BMP P Tracking Table'!$R359,'Loading Rates'!$B$1:$L$24,8,FALSE)+'BMP P Tracking Table'!$AU359*VLOOKUP('BMP P Tracking Table'!$R359,'Loading Rates'!$B$1:$L$24,9,FALSE),'BMP P Tracking Table'!$AV359*VLOOKUP('BMP P Tracking Table'!$R359,'Loading Rates'!$B$1:$L$24,10,FALSE))),"")</f>
        <v/>
      </c>
      <c r="BA359" s="104" t="str">
        <f>IFERROR(IF('BMP P Tracking Table'!$AM359="Yes",MIN(2,IF('BMP P Tracking Table'!$AQ359="Total Pervious",(-(3630*'BMP P Tracking Table'!$AP359+20.691*'BMP P Tracking Table'!$AV359)+SQRT((3630*'BMP P Tracking Table'!$AP359+20.691*'BMP P Tracking Table'!$AV359)^2-(4*(996.798*'BMP P Tracking Table'!$AV359)*-'BMP P Tracking Table'!$AX359)))/(2*(996.798*'BMP P Tracking Table'!$AV359)),IF(SUM('BMP P Tracking Table'!$AR359:$AU359)=0,'BMP P Tracking Table'!$AV359/(-3630*'BMP P Tracking Table'!$AP359),(-(3630*'BMP P Tracking Table'!$AP359+20.691*'BMP P Tracking Table'!$AU359-216.711*'BMP P Tracking Table'!$AT359-83.853*'BMP P Tracking Table'!$AS359-42.834*'BMP P Tracking Table'!$AR359)+SQRT((3630*'BMP P Tracking Table'!$AP359+20.691*'BMP P Tracking Table'!$AU359-216.711*'BMP P Tracking Table'!$AT359-83.853*'BMP P Tracking Table'!$AS359-42.834*'BMP P Tracking Table'!$AR359)^2-(4*(149.919*'BMP P Tracking Table'!$AR359+236.676*'BMP P Tracking Table'!$AS359+726*'BMP P Tracking Table'!$AT359+996.798*'BMP P Tracking Table'!$AU359)*-'BMP P Tracking Table'!$AX359)))/(2*(149.919*'BMP P Tracking Table'!$AR359+236.676*'BMP P Tracking Table'!$AS359+726*'BMP P Tracking Table'!$AT359+996.798*'BMP P Tracking Table'!$AU359))))),MIN(2,IF('BMP P Tracking Table'!$AQ359="Total Pervious",(-(3630*'BMP P Tracking Table'!$V359+20.691*'BMP P Tracking Table'!$AB359)+SQRT((3630*'BMP P Tracking Table'!$V359+20.691*'BMP P Tracking Table'!$AB359)^2-(4*(996.798*'BMP P Tracking Table'!$AB359)*-'BMP P Tracking Table'!$AX359)))/(2*(996.798*'BMP P Tracking Table'!$AB359)),IF(SUM('BMP P Tracking Table'!$X359:$AA359)=0,'BMP P Tracking Table'!$AX359/(-3630*'BMP P Tracking Table'!$V359),(-(3630*'BMP P Tracking Table'!$V359+20.691*'BMP P Tracking Table'!$AA359-216.711*'BMP P Tracking Table'!$Z359-83.853*'BMP P Tracking Table'!$Y359-42.834*'BMP P Tracking Table'!$X359)+SQRT((3630*'BMP P Tracking Table'!$V359+20.691*'BMP P Tracking Table'!$AA359-216.711*'BMP P Tracking Table'!$Z359-83.853*'BMP P Tracking Table'!$Y359-42.834*'BMP P Tracking Table'!$X359)^2-(4*(149.919*'BMP P Tracking Table'!$X359+236.676*'BMP P Tracking Table'!$Y359+726*'BMP P Tracking Table'!$Z359+996.798*'BMP P Tracking Table'!$AA359)*-'BMP P Tracking Table'!$AX359)))/(2*(149.919*'BMP P Tracking Table'!$X359+236.676*'BMP P Tracking Table'!$Y359+726*'BMP P Tracking Table'!$Z359+996.798*'BMP P Tracking Table'!$AA359)))))),"")</f>
        <v/>
      </c>
      <c r="BB359" s="102" t="str">
        <f>IFERROR((VLOOKUP(CONCATENATE('BMP P Tracking Table'!$AW359," ",'BMP P Tracking Table'!$AY359),'Performance Curves'!$C$1:$L$46,_xlfn.SINGLE(MATCH('BMP P Tracking Table'!$BA359,'Performance Curves'!$D$1:$L$1,1))+2,FALSE)-VLOOKUP(CONCATENATE('BMP P Tracking Table'!$AW359," ",'BMP P Tracking Table'!$AY359),'Performance Curves'!$C$1:$L$46,_xlfn.SINGLE(MATCH('BMP P Tracking Table'!$BA359,'Performance Curves'!$D$1:$L$1,1))+1,FALSE)),"")</f>
        <v/>
      </c>
      <c r="BC359" s="102" t="str">
        <f>IFERROR(('BMP P Tracking Table'!$BA359-INDEX('Performance Curves'!$D$1:$L$1,1,MATCH('BMP P Tracking Table'!$BA359,'Performance Curves'!$D$1:$L$1,1)))/(INDEX('Performance Curves'!$D$1:$L$1,1,MATCH('BMP P Tracking Table'!$BA359,'Performance Curves'!$D$1:$L$1,1)+1)-INDEX('Performance Curves'!$D$1:$L$1,1,MATCH('BMP P Tracking Table'!$BA359,'Performance Curves'!$D$1:$L$1,1))),"")</f>
        <v/>
      </c>
      <c r="BD359" s="103" t="str" cm="1">
        <f t="array" ref="BD359">IFERROR(IF('BMP P Tracking Table'!$BA359=2,VLOOKUP(CONCATENATE('BMP P Tracking Table'!$AW359," ",'BMP P Tracking Table'!$AY359),'Performance Curves'!$C$1:$L$44,_xlfn.SINGLE(MATCH('BMP P Tracking Table'!$BA359,'Performance Curves'!$D$1:$L$1,1))+1,FALSE),'BMP P Tracking Table'!$BB359*'BMP P Tracking Table'!$BC359+VLOOKUP(CONCATENATE('BMP P Tracking Table'!$AW359," ",'BMP P Tracking Table'!$AY359),'Performance Curves'!$C$1:$L$44,_xlfn.SINGLE(MATCH('BMP P Tracking Table'!$BA359,'Performance Curves'!$D$1:$L$1,1))+1,FALSE)),"")</f>
        <v/>
      </c>
      <c r="BE359" s="104" t="str">
        <f>IFERROR('BMP P Tracking Table'!$BD359*'BMP P Tracking Table'!$AZ359,"")</f>
        <v/>
      </c>
      <c r="BF359" s="98"/>
      <c r="BG359" s="37">
        <f t="shared" si="40"/>
        <v>0</v>
      </c>
    </row>
    <row r="360" spans="2:59" s="36" customFormat="1">
      <c r="B360" s="65"/>
      <c r="C360" s="65"/>
      <c r="D360" s="65"/>
      <c r="E360" s="65"/>
      <c r="F360" s="94"/>
      <c r="G360" s="94"/>
      <c r="H360" s="65"/>
      <c r="I360" s="65"/>
      <c r="J360" s="65"/>
      <c r="K360" s="95"/>
      <c r="L360" s="65"/>
      <c r="M360" s="65"/>
      <c r="N360" s="65"/>
      <c r="O360" s="65"/>
      <c r="P360" s="65"/>
      <c r="Q360" s="65"/>
      <c r="R360" s="65" t="str">
        <f>IFERROR(VLOOKUP('BMP P Tracking Table'!$Q360,Dropdowns!$C$2:$E$15,3,FALSE),"")</f>
        <v/>
      </c>
      <c r="S360" s="65" t="str">
        <f>IFERROR(VLOOKUP('BMP P Tracking Table'!$R360,Dropdowns!$Q$3:$R$23,2,FALSE),"")</f>
        <v/>
      </c>
      <c r="T360" s="65"/>
      <c r="U360" s="65"/>
      <c r="V360" s="65"/>
      <c r="W360" s="65"/>
      <c r="X360" s="65"/>
      <c r="Y360" s="65"/>
      <c r="Z360" s="65"/>
      <c r="AA360" s="65"/>
      <c r="AB360" s="65"/>
      <c r="AC360" s="97"/>
      <c r="AD360" s="65"/>
      <c r="AE360" s="104" t="str">
        <f>IFERROR('BMP P Tracking Table'!$V360*VLOOKUP('BMP P Tracking Table'!$R360,'Loading Rates'!$B$1:$L$24,4,FALSE)+IF('BMP P Tracking Table'!$W360="By HSG",'BMP P Tracking Table'!$X360*VLOOKUP('BMP P Tracking Table'!$R360,'Loading Rates'!$B$1:$L$24,6,FALSE)+'BMP P Tracking Table'!$Y360*VLOOKUP('BMP P Tracking Table'!$R360,'Loading Rates'!$B$1:$L$24,7,FALSE)+'BMP P Tracking Table'!$Z360*VLOOKUP('BMP P Tracking Table'!$R360,'Loading Rates'!$B$1:$L$24,8,FALSE)+'BMP P Tracking Table'!$AA360*VLOOKUP('BMP P Tracking Table'!$R360,'Loading Rates'!$B$1:$L$24,9,FALSE),'BMP P Tracking Table'!$AB360*VLOOKUP('BMP P Tracking Table'!$R360,'Loading Rates'!$B$1:$L$24,10,FALSE)),"")</f>
        <v/>
      </c>
      <c r="AF360" s="104" t="str">
        <f>IFERROR(MIN(2,IF('BMP P Tracking Table'!$W360="Total Pervious",(-(3630*'BMP P Tracking Table'!$V360+20.691*'BMP P Tracking Table'!$AB360)+SQRT((3630*'BMP P Tracking Table'!$V360+20.691*'BMP P Tracking Table'!$AB360)^2-(4*(996.798*'BMP P Tracking Table'!$AB360)*-'BMP P Tracking Table'!$AC360)))/(2*(996.798*'BMP P Tracking Table'!$AB360)),IF(SUM('BMP P Tracking Table'!$X360:$AA360)=0,'BMP P Tracking Table'!$AC360/(-3630*'BMP P Tracking Table'!$V360),(-(3630*'BMP P Tracking Table'!$V360+20.691*'BMP P Tracking Table'!$AA360-216.711*'BMP P Tracking Table'!$Z360-83.853*'BMP P Tracking Table'!$Y360-42.834*'BMP P Tracking Table'!$X360)+SQRT((3630*'BMP P Tracking Table'!$V360+20.691*'BMP P Tracking Table'!$AA360-216.711*'BMP P Tracking Table'!$Z360-83.853*'BMP P Tracking Table'!$Y360-42.834*'BMP P Tracking Table'!$X360)^2-(4*(149.919*'BMP P Tracking Table'!$X360+236.676*'BMP P Tracking Table'!$Y360+726*'BMP P Tracking Table'!$Z360+996.798*'BMP P Tracking Table'!$AA360)*-'BMP P Tracking Table'!$AC360)))/(2*(149.919*'BMP P Tracking Table'!$X360+236.676*'BMP P Tracking Table'!$Y360+726*'BMP P Tracking Table'!$Z360+996.798*'BMP P Tracking Table'!$AA360))))),"")</f>
        <v/>
      </c>
      <c r="AG360" s="104" t="str">
        <f>IFERROR((VLOOKUP(CONCATENATE('BMP P Tracking Table'!$U360," ",'BMP P Tracking Table'!$AD360),'Performance Curves'!$C$1:$L$46,_xlfn.SINGLE(MATCH('BMP P Tracking Table'!$AF360,'Performance Curves'!$D$1:$L$1,1))+2,FALSE)-VLOOKUP(CONCATENATE('BMP P Tracking Table'!$U360," ",'BMP P Tracking Table'!$AD360),'Performance Curves'!$C$1:$L$46,_xlfn.SINGLE(MATCH('BMP P Tracking Table'!$AF360,'Performance Curves'!$D$1:$L$1,1))+1,FALSE)),"")</f>
        <v/>
      </c>
      <c r="AH360" s="104" t="str">
        <f>IFERROR(('BMP P Tracking Table'!$AF360-INDEX('Performance Curves'!$D$1:$L$1,1,MATCH('BMP P Tracking Table'!$AF360,'Performance Curves'!$D$1:$L$1,1)))/(INDEX('Performance Curves'!$D$1:$L$1,1,MATCH('BMP P Tracking Table'!$AF360,'Performance Curves'!$D$1:$L$1,1)+1)-INDEX('Performance Curves'!$D$1:$L$1,1,MATCH('BMP P Tracking Table'!$AF360,'Performance Curves'!$D$1:$L$1,1))),"")</f>
        <v/>
      </c>
      <c r="AI360" s="103" t="str">
        <f>IFERROR(IF('BMP P Tracking Table'!$AF360=2,VLOOKUP(CONCATENATE('BMP P Tracking Table'!$U360," ",'BMP P Tracking Table'!$AD360),'Performance Curves'!$C$1:$L$46,_xlfn.SINGLE(MATCH('BMP P Tracking Table'!$AF360,'Performance Curves'!$D$1:$L$1,1))+1,FALSE),'BMP P Tracking Table'!$AG360*'BMP P Tracking Table'!$AH360+VLOOKUP(CONCATENATE('BMP P Tracking Table'!$U360," ",'BMP P Tracking Table'!$AD360),'Performance Curves'!$C$1:$L$46,_xlfn.SINGLE(MATCH('BMP P Tracking Table'!$AF360,'Performance Curves'!$D$1:$L$1,1))+1,FALSE)),"")</f>
        <v/>
      </c>
      <c r="AJ360" s="104" t="str">
        <f>IFERROR('BMP P Tracking Table'!$AI360*'BMP P Tracking Table'!$AE360,"")</f>
        <v/>
      </c>
      <c r="AK360" s="65"/>
      <c r="AL360" s="98"/>
      <c r="AM360" s="98"/>
      <c r="AN360" s="64">
        <v>1</v>
      </c>
      <c r="AO360" s="102" t="str">
        <f t="shared" si="39"/>
        <v/>
      </c>
      <c r="AP360" s="98"/>
      <c r="AQ360" s="98"/>
      <c r="AR360" s="98"/>
      <c r="AS360" s="98"/>
      <c r="AT360" s="98"/>
      <c r="AU360" s="98"/>
      <c r="AV360" s="98"/>
      <c r="AW360" s="65"/>
      <c r="AX360" s="99"/>
      <c r="AY360" s="99"/>
      <c r="AZ360" s="104" t="str">
        <f>IF('BMP P Tracking Table'!$AL360="Yes",IF('BMP P Tracking Table'!$AM360="No",'BMP P Tracking Table'!$V360*VLOOKUP('BMP P Tracking Table'!$R360,'Loading Rates'!$B$1:$L$24,4,FALSE)+IF('BMP P Tracking Table'!$W360="By HSG",'BMP P Tracking Table'!$X360*VLOOKUP('BMP P Tracking Table'!$R360,'Loading Rates'!$B$1:$L$24,6,FALSE)+'BMP P Tracking Table'!$Y360*VLOOKUP('BMP P Tracking Table'!$R360,'Loading Rates'!$B$1:$L$24,7,FALSE)+'BMP P Tracking Table'!$Z360*VLOOKUP('BMP P Tracking Table'!$R360,'Loading Rates'!$B$1:$L$24,8,FALSE)+'BMP P Tracking Table'!$AA360*VLOOKUP('BMP P Tracking Table'!$R360,'Loading Rates'!$B$1:$L$24,9,FALSE),'BMP P Tracking Table'!$AB360*VLOOKUP('BMP P Tracking Table'!$R360,'Loading Rates'!$B$1:$L$24,10,FALSE)),'BMP P Tracking Table'!$AP360*VLOOKUP('BMP P Tracking Table'!$R360,'Loading Rates'!$B$1:$L$24,4,FALSE)+IF('BMP P Tracking Table'!$AQ360="By HSG",'BMP P Tracking Table'!$AR360*VLOOKUP('BMP P Tracking Table'!$R360,'Loading Rates'!$B$1:$L$24,6,FALSE)+'BMP P Tracking Table'!$AS360*VLOOKUP('BMP P Tracking Table'!$R360,'Loading Rates'!$B$1:$L$24,7,FALSE)+'BMP P Tracking Table'!$AT360*VLOOKUP('BMP P Tracking Table'!$R360,'Loading Rates'!$B$1:$L$24,8,FALSE)+'BMP P Tracking Table'!$AU360*VLOOKUP('BMP P Tracking Table'!$R360,'Loading Rates'!$B$1:$L$24,9,FALSE),'BMP P Tracking Table'!$AV360*VLOOKUP('BMP P Tracking Table'!$R360,'Loading Rates'!$B$1:$L$24,10,FALSE))),"")</f>
        <v/>
      </c>
      <c r="BA360" s="104" t="str">
        <f>IFERROR(IF('BMP P Tracking Table'!$AM360="Yes",MIN(2,IF('BMP P Tracking Table'!$AQ360="Total Pervious",(-(3630*'BMP P Tracking Table'!$AP360+20.691*'BMP P Tracking Table'!$AV360)+SQRT((3630*'BMP P Tracking Table'!$AP360+20.691*'BMP P Tracking Table'!$AV360)^2-(4*(996.798*'BMP P Tracking Table'!$AV360)*-'BMP P Tracking Table'!$AX360)))/(2*(996.798*'BMP P Tracking Table'!$AV360)),IF(SUM('BMP P Tracking Table'!$AR360:$AU360)=0,'BMP P Tracking Table'!$AV360/(-3630*'BMP P Tracking Table'!$AP360),(-(3630*'BMP P Tracking Table'!$AP360+20.691*'BMP P Tracking Table'!$AU360-216.711*'BMP P Tracking Table'!$AT360-83.853*'BMP P Tracking Table'!$AS360-42.834*'BMP P Tracking Table'!$AR360)+SQRT((3630*'BMP P Tracking Table'!$AP360+20.691*'BMP P Tracking Table'!$AU360-216.711*'BMP P Tracking Table'!$AT360-83.853*'BMP P Tracking Table'!$AS360-42.834*'BMP P Tracking Table'!$AR360)^2-(4*(149.919*'BMP P Tracking Table'!$AR360+236.676*'BMP P Tracking Table'!$AS360+726*'BMP P Tracking Table'!$AT360+996.798*'BMP P Tracking Table'!$AU360)*-'BMP P Tracking Table'!$AX360)))/(2*(149.919*'BMP P Tracking Table'!$AR360+236.676*'BMP P Tracking Table'!$AS360+726*'BMP P Tracking Table'!$AT360+996.798*'BMP P Tracking Table'!$AU360))))),MIN(2,IF('BMP P Tracking Table'!$AQ360="Total Pervious",(-(3630*'BMP P Tracking Table'!$V360+20.691*'BMP P Tracking Table'!$AB360)+SQRT((3630*'BMP P Tracking Table'!$V360+20.691*'BMP P Tracking Table'!$AB360)^2-(4*(996.798*'BMP P Tracking Table'!$AB360)*-'BMP P Tracking Table'!$AX360)))/(2*(996.798*'BMP P Tracking Table'!$AB360)),IF(SUM('BMP P Tracking Table'!$X360:$AA360)=0,'BMP P Tracking Table'!$AX360/(-3630*'BMP P Tracking Table'!$V360),(-(3630*'BMP P Tracking Table'!$V360+20.691*'BMP P Tracking Table'!$AA360-216.711*'BMP P Tracking Table'!$Z360-83.853*'BMP P Tracking Table'!$Y360-42.834*'BMP P Tracking Table'!$X360)+SQRT((3630*'BMP P Tracking Table'!$V360+20.691*'BMP P Tracking Table'!$AA360-216.711*'BMP P Tracking Table'!$Z360-83.853*'BMP P Tracking Table'!$Y360-42.834*'BMP P Tracking Table'!$X360)^2-(4*(149.919*'BMP P Tracking Table'!$X360+236.676*'BMP P Tracking Table'!$Y360+726*'BMP P Tracking Table'!$Z360+996.798*'BMP P Tracking Table'!$AA360)*-'BMP P Tracking Table'!$AX360)))/(2*(149.919*'BMP P Tracking Table'!$X360+236.676*'BMP P Tracking Table'!$Y360+726*'BMP P Tracking Table'!$Z360+996.798*'BMP P Tracking Table'!$AA360)))))),"")</f>
        <v/>
      </c>
      <c r="BB360" s="102" t="str">
        <f>IFERROR((VLOOKUP(CONCATENATE('BMP P Tracking Table'!$AW360," ",'BMP P Tracking Table'!$AY360),'Performance Curves'!$C$1:$L$46,_xlfn.SINGLE(MATCH('BMP P Tracking Table'!$BA360,'Performance Curves'!$D$1:$L$1,1))+2,FALSE)-VLOOKUP(CONCATENATE('BMP P Tracking Table'!$AW360," ",'BMP P Tracking Table'!$AY360),'Performance Curves'!$C$1:$L$46,_xlfn.SINGLE(MATCH('BMP P Tracking Table'!$BA360,'Performance Curves'!$D$1:$L$1,1))+1,FALSE)),"")</f>
        <v/>
      </c>
      <c r="BC360" s="102" t="str">
        <f>IFERROR(('BMP P Tracking Table'!$BA360-INDEX('Performance Curves'!$D$1:$L$1,1,MATCH('BMP P Tracking Table'!$BA360,'Performance Curves'!$D$1:$L$1,1)))/(INDEX('Performance Curves'!$D$1:$L$1,1,MATCH('BMP P Tracking Table'!$BA360,'Performance Curves'!$D$1:$L$1,1)+1)-INDEX('Performance Curves'!$D$1:$L$1,1,MATCH('BMP P Tracking Table'!$BA360,'Performance Curves'!$D$1:$L$1,1))),"")</f>
        <v/>
      </c>
      <c r="BD360" s="103" t="str" cm="1">
        <f t="array" ref="BD360">IFERROR(IF('BMP P Tracking Table'!$BA360=2,VLOOKUP(CONCATENATE('BMP P Tracking Table'!$AW360," ",'BMP P Tracking Table'!$AY360),'Performance Curves'!$C$1:$L$44,_xlfn.SINGLE(MATCH('BMP P Tracking Table'!$BA360,'Performance Curves'!$D$1:$L$1,1))+1,FALSE),'BMP P Tracking Table'!$BB360*'BMP P Tracking Table'!$BC360+VLOOKUP(CONCATENATE('BMP P Tracking Table'!$AW360," ",'BMP P Tracking Table'!$AY360),'Performance Curves'!$C$1:$L$44,_xlfn.SINGLE(MATCH('BMP P Tracking Table'!$BA360,'Performance Curves'!$D$1:$L$1,1))+1,FALSE)),"")</f>
        <v/>
      </c>
      <c r="BE360" s="104" t="str">
        <f>IFERROR('BMP P Tracking Table'!$BD360*'BMP P Tracking Table'!$AZ360,"")</f>
        <v/>
      </c>
      <c r="BF360" s="98"/>
      <c r="BG360" s="37">
        <f t="shared" si="40"/>
        <v>0</v>
      </c>
    </row>
    <row r="361" spans="2:59" s="36" customFormat="1">
      <c r="B361" s="65"/>
      <c r="C361" s="65"/>
      <c r="D361" s="65"/>
      <c r="E361" s="65"/>
      <c r="F361" s="94"/>
      <c r="G361" s="94"/>
      <c r="H361" s="65"/>
      <c r="I361" s="65"/>
      <c r="J361" s="65"/>
      <c r="K361" s="95"/>
      <c r="L361" s="65"/>
      <c r="M361" s="65"/>
      <c r="N361" s="65"/>
      <c r="O361" s="65"/>
      <c r="P361" s="65"/>
      <c r="Q361" s="65"/>
      <c r="R361" s="65" t="str">
        <f>IFERROR(VLOOKUP('BMP P Tracking Table'!$Q361,Dropdowns!$C$2:$E$15,3,FALSE),"")</f>
        <v/>
      </c>
      <c r="S361" s="65" t="str">
        <f>IFERROR(VLOOKUP('BMP P Tracking Table'!$R361,Dropdowns!$Q$3:$R$23,2,FALSE),"")</f>
        <v/>
      </c>
      <c r="T361" s="65"/>
      <c r="U361" s="65"/>
      <c r="V361" s="65"/>
      <c r="W361" s="65"/>
      <c r="X361" s="65"/>
      <c r="Y361" s="65"/>
      <c r="Z361" s="65"/>
      <c r="AA361" s="65"/>
      <c r="AB361" s="65"/>
      <c r="AC361" s="97"/>
      <c r="AD361" s="65"/>
      <c r="AE361" s="104" t="str">
        <f>IFERROR('BMP P Tracking Table'!$V361*VLOOKUP('BMP P Tracking Table'!$R361,'Loading Rates'!$B$1:$L$24,4,FALSE)+IF('BMP P Tracking Table'!$W361="By HSG",'BMP P Tracking Table'!$X361*VLOOKUP('BMP P Tracking Table'!$R361,'Loading Rates'!$B$1:$L$24,6,FALSE)+'BMP P Tracking Table'!$Y361*VLOOKUP('BMP P Tracking Table'!$R361,'Loading Rates'!$B$1:$L$24,7,FALSE)+'BMP P Tracking Table'!$Z361*VLOOKUP('BMP P Tracking Table'!$R361,'Loading Rates'!$B$1:$L$24,8,FALSE)+'BMP P Tracking Table'!$AA361*VLOOKUP('BMP P Tracking Table'!$R361,'Loading Rates'!$B$1:$L$24,9,FALSE),'BMP P Tracking Table'!$AB361*VLOOKUP('BMP P Tracking Table'!$R361,'Loading Rates'!$B$1:$L$24,10,FALSE)),"")</f>
        <v/>
      </c>
      <c r="AF361" s="104" t="str">
        <f>IFERROR(MIN(2,IF('BMP P Tracking Table'!$W361="Total Pervious",(-(3630*'BMP P Tracking Table'!$V361+20.691*'BMP P Tracking Table'!$AB361)+SQRT((3630*'BMP P Tracking Table'!$V361+20.691*'BMP P Tracking Table'!$AB361)^2-(4*(996.798*'BMP P Tracking Table'!$AB361)*-'BMP P Tracking Table'!$AC361)))/(2*(996.798*'BMP P Tracking Table'!$AB361)),IF(SUM('BMP P Tracking Table'!$X361:$AA361)=0,'BMP P Tracking Table'!$AC361/(-3630*'BMP P Tracking Table'!$V361),(-(3630*'BMP P Tracking Table'!$V361+20.691*'BMP P Tracking Table'!$AA361-216.711*'BMP P Tracking Table'!$Z361-83.853*'BMP P Tracking Table'!$Y361-42.834*'BMP P Tracking Table'!$X361)+SQRT((3630*'BMP P Tracking Table'!$V361+20.691*'BMP P Tracking Table'!$AA361-216.711*'BMP P Tracking Table'!$Z361-83.853*'BMP P Tracking Table'!$Y361-42.834*'BMP P Tracking Table'!$X361)^2-(4*(149.919*'BMP P Tracking Table'!$X361+236.676*'BMP P Tracking Table'!$Y361+726*'BMP P Tracking Table'!$Z361+996.798*'BMP P Tracking Table'!$AA361)*-'BMP P Tracking Table'!$AC361)))/(2*(149.919*'BMP P Tracking Table'!$X361+236.676*'BMP P Tracking Table'!$Y361+726*'BMP P Tracking Table'!$Z361+996.798*'BMP P Tracking Table'!$AA361))))),"")</f>
        <v/>
      </c>
      <c r="AG361" s="104" t="str">
        <f>IFERROR((VLOOKUP(CONCATENATE('BMP P Tracking Table'!$U361," ",'BMP P Tracking Table'!$AD361),'Performance Curves'!$C$1:$L$46,_xlfn.SINGLE(MATCH('BMP P Tracking Table'!$AF361,'Performance Curves'!$D$1:$L$1,1))+2,FALSE)-VLOOKUP(CONCATENATE('BMP P Tracking Table'!$U361," ",'BMP P Tracking Table'!$AD361),'Performance Curves'!$C$1:$L$46,_xlfn.SINGLE(MATCH('BMP P Tracking Table'!$AF361,'Performance Curves'!$D$1:$L$1,1))+1,FALSE)),"")</f>
        <v/>
      </c>
      <c r="AH361" s="104" t="str">
        <f>IFERROR(('BMP P Tracking Table'!$AF361-INDEX('Performance Curves'!$D$1:$L$1,1,MATCH('BMP P Tracking Table'!$AF361,'Performance Curves'!$D$1:$L$1,1)))/(INDEX('Performance Curves'!$D$1:$L$1,1,MATCH('BMP P Tracking Table'!$AF361,'Performance Curves'!$D$1:$L$1,1)+1)-INDEX('Performance Curves'!$D$1:$L$1,1,MATCH('BMP P Tracking Table'!$AF361,'Performance Curves'!$D$1:$L$1,1))),"")</f>
        <v/>
      </c>
      <c r="AI361" s="103" t="str">
        <f>IFERROR(IF('BMP P Tracking Table'!$AF361=2,VLOOKUP(CONCATENATE('BMP P Tracking Table'!$U361," ",'BMP P Tracking Table'!$AD361),'Performance Curves'!$C$1:$L$46,_xlfn.SINGLE(MATCH('BMP P Tracking Table'!$AF361,'Performance Curves'!$D$1:$L$1,1))+1,FALSE),'BMP P Tracking Table'!$AG361*'BMP P Tracking Table'!$AH361+VLOOKUP(CONCATENATE('BMP P Tracking Table'!$U361," ",'BMP P Tracking Table'!$AD361),'Performance Curves'!$C$1:$L$46,_xlfn.SINGLE(MATCH('BMP P Tracking Table'!$AF361,'Performance Curves'!$D$1:$L$1,1))+1,FALSE)),"")</f>
        <v/>
      </c>
      <c r="AJ361" s="104" t="str">
        <f>IFERROR('BMP P Tracking Table'!$AI361*'BMP P Tracking Table'!$AE361,"")</f>
        <v/>
      </c>
      <c r="AK361" s="65"/>
      <c r="AL361" s="98"/>
      <c r="AM361" s="98"/>
      <c r="AN361" s="64">
        <v>1</v>
      </c>
      <c r="AO361" s="102" t="str">
        <f t="shared" si="39"/>
        <v/>
      </c>
      <c r="AP361" s="98"/>
      <c r="AQ361" s="98"/>
      <c r="AR361" s="98"/>
      <c r="AS361" s="98"/>
      <c r="AT361" s="98"/>
      <c r="AU361" s="98"/>
      <c r="AV361" s="98"/>
      <c r="AW361" s="65"/>
      <c r="AX361" s="99"/>
      <c r="AY361" s="99"/>
      <c r="AZ361" s="104" t="str">
        <f>IF('BMP P Tracking Table'!$AL361="Yes",IF('BMP P Tracking Table'!$AM361="No",'BMP P Tracking Table'!$V361*VLOOKUP('BMP P Tracking Table'!$R361,'Loading Rates'!$B$1:$L$24,4,FALSE)+IF('BMP P Tracking Table'!$W361="By HSG",'BMP P Tracking Table'!$X361*VLOOKUP('BMP P Tracking Table'!$R361,'Loading Rates'!$B$1:$L$24,6,FALSE)+'BMP P Tracking Table'!$Y361*VLOOKUP('BMP P Tracking Table'!$R361,'Loading Rates'!$B$1:$L$24,7,FALSE)+'BMP P Tracking Table'!$Z361*VLOOKUP('BMP P Tracking Table'!$R361,'Loading Rates'!$B$1:$L$24,8,FALSE)+'BMP P Tracking Table'!$AA361*VLOOKUP('BMP P Tracking Table'!$R361,'Loading Rates'!$B$1:$L$24,9,FALSE),'BMP P Tracking Table'!$AB361*VLOOKUP('BMP P Tracking Table'!$R361,'Loading Rates'!$B$1:$L$24,10,FALSE)),'BMP P Tracking Table'!$AP361*VLOOKUP('BMP P Tracking Table'!$R361,'Loading Rates'!$B$1:$L$24,4,FALSE)+IF('BMP P Tracking Table'!$AQ361="By HSG",'BMP P Tracking Table'!$AR361*VLOOKUP('BMP P Tracking Table'!$R361,'Loading Rates'!$B$1:$L$24,6,FALSE)+'BMP P Tracking Table'!$AS361*VLOOKUP('BMP P Tracking Table'!$R361,'Loading Rates'!$B$1:$L$24,7,FALSE)+'BMP P Tracking Table'!$AT361*VLOOKUP('BMP P Tracking Table'!$R361,'Loading Rates'!$B$1:$L$24,8,FALSE)+'BMP P Tracking Table'!$AU361*VLOOKUP('BMP P Tracking Table'!$R361,'Loading Rates'!$B$1:$L$24,9,FALSE),'BMP P Tracking Table'!$AV361*VLOOKUP('BMP P Tracking Table'!$R361,'Loading Rates'!$B$1:$L$24,10,FALSE))),"")</f>
        <v/>
      </c>
      <c r="BA361" s="104" t="str">
        <f>IFERROR(IF('BMP P Tracking Table'!$AM361="Yes",MIN(2,IF('BMP P Tracking Table'!$AQ361="Total Pervious",(-(3630*'BMP P Tracking Table'!$AP361+20.691*'BMP P Tracking Table'!$AV361)+SQRT((3630*'BMP P Tracking Table'!$AP361+20.691*'BMP P Tracking Table'!$AV361)^2-(4*(996.798*'BMP P Tracking Table'!$AV361)*-'BMP P Tracking Table'!$AX361)))/(2*(996.798*'BMP P Tracking Table'!$AV361)),IF(SUM('BMP P Tracking Table'!$AR361:$AU361)=0,'BMP P Tracking Table'!$AV361/(-3630*'BMP P Tracking Table'!$AP361),(-(3630*'BMP P Tracking Table'!$AP361+20.691*'BMP P Tracking Table'!$AU361-216.711*'BMP P Tracking Table'!$AT361-83.853*'BMP P Tracking Table'!$AS361-42.834*'BMP P Tracking Table'!$AR361)+SQRT((3630*'BMP P Tracking Table'!$AP361+20.691*'BMP P Tracking Table'!$AU361-216.711*'BMP P Tracking Table'!$AT361-83.853*'BMP P Tracking Table'!$AS361-42.834*'BMP P Tracking Table'!$AR361)^2-(4*(149.919*'BMP P Tracking Table'!$AR361+236.676*'BMP P Tracking Table'!$AS361+726*'BMP P Tracking Table'!$AT361+996.798*'BMP P Tracking Table'!$AU361)*-'BMP P Tracking Table'!$AX361)))/(2*(149.919*'BMP P Tracking Table'!$AR361+236.676*'BMP P Tracking Table'!$AS361+726*'BMP P Tracking Table'!$AT361+996.798*'BMP P Tracking Table'!$AU361))))),MIN(2,IF('BMP P Tracking Table'!$AQ361="Total Pervious",(-(3630*'BMP P Tracking Table'!$V361+20.691*'BMP P Tracking Table'!$AB361)+SQRT((3630*'BMP P Tracking Table'!$V361+20.691*'BMP P Tracking Table'!$AB361)^2-(4*(996.798*'BMP P Tracking Table'!$AB361)*-'BMP P Tracking Table'!$AX361)))/(2*(996.798*'BMP P Tracking Table'!$AB361)),IF(SUM('BMP P Tracking Table'!$X361:$AA361)=0,'BMP P Tracking Table'!$AX361/(-3630*'BMP P Tracking Table'!$V361),(-(3630*'BMP P Tracking Table'!$V361+20.691*'BMP P Tracking Table'!$AA361-216.711*'BMP P Tracking Table'!$Z361-83.853*'BMP P Tracking Table'!$Y361-42.834*'BMP P Tracking Table'!$X361)+SQRT((3630*'BMP P Tracking Table'!$V361+20.691*'BMP P Tracking Table'!$AA361-216.711*'BMP P Tracking Table'!$Z361-83.853*'BMP P Tracking Table'!$Y361-42.834*'BMP P Tracking Table'!$X361)^2-(4*(149.919*'BMP P Tracking Table'!$X361+236.676*'BMP P Tracking Table'!$Y361+726*'BMP P Tracking Table'!$Z361+996.798*'BMP P Tracking Table'!$AA361)*-'BMP P Tracking Table'!$AX361)))/(2*(149.919*'BMP P Tracking Table'!$X361+236.676*'BMP P Tracking Table'!$Y361+726*'BMP P Tracking Table'!$Z361+996.798*'BMP P Tracking Table'!$AA361)))))),"")</f>
        <v/>
      </c>
      <c r="BB361" s="102" t="str">
        <f>IFERROR((VLOOKUP(CONCATENATE('BMP P Tracking Table'!$AW361," ",'BMP P Tracking Table'!$AY361),'Performance Curves'!$C$1:$L$46,_xlfn.SINGLE(MATCH('BMP P Tracking Table'!$BA361,'Performance Curves'!$D$1:$L$1,1))+2,FALSE)-VLOOKUP(CONCATENATE('BMP P Tracking Table'!$AW361," ",'BMP P Tracking Table'!$AY361),'Performance Curves'!$C$1:$L$46,_xlfn.SINGLE(MATCH('BMP P Tracking Table'!$BA361,'Performance Curves'!$D$1:$L$1,1))+1,FALSE)),"")</f>
        <v/>
      </c>
      <c r="BC361" s="102" t="str">
        <f>IFERROR(('BMP P Tracking Table'!$BA361-INDEX('Performance Curves'!$D$1:$L$1,1,MATCH('BMP P Tracking Table'!$BA361,'Performance Curves'!$D$1:$L$1,1)))/(INDEX('Performance Curves'!$D$1:$L$1,1,MATCH('BMP P Tracking Table'!$BA361,'Performance Curves'!$D$1:$L$1,1)+1)-INDEX('Performance Curves'!$D$1:$L$1,1,MATCH('BMP P Tracking Table'!$BA361,'Performance Curves'!$D$1:$L$1,1))),"")</f>
        <v/>
      </c>
      <c r="BD361" s="103" t="str" cm="1">
        <f t="array" ref="BD361">IFERROR(IF('BMP P Tracking Table'!$BA361=2,VLOOKUP(CONCATENATE('BMP P Tracking Table'!$AW361," ",'BMP P Tracking Table'!$AY361),'Performance Curves'!$C$1:$L$44,_xlfn.SINGLE(MATCH('BMP P Tracking Table'!$BA361,'Performance Curves'!$D$1:$L$1,1))+1,FALSE),'BMP P Tracking Table'!$BB361*'BMP P Tracking Table'!$BC361+VLOOKUP(CONCATENATE('BMP P Tracking Table'!$AW361," ",'BMP P Tracking Table'!$AY361),'Performance Curves'!$C$1:$L$44,_xlfn.SINGLE(MATCH('BMP P Tracking Table'!$BA361,'Performance Curves'!$D$1:$L$1,1))+1,FALSE)),"")</f>
        <v/>
      </c>
      <c r="BE361" s="104" t="str">
        <f>IFERROR('BMP P Tracking Table'!$BD361*'BMP P Tracking Table'!$AZ361,"")</f>
        <v/>
      </c>
      <c r="BF361" s="98"/>
      <c r="BG361" s="37">
        <f t="shared" si="40"/>
        <v>0</v>
      </c>
    </row>
    <row r="362" spans="2:59" s="36" customFormat="1">
      <c r="B362" s="65"/>
      <c r="C362" s="65"/>
      <c r="D362" s="65"/>
      <c r="E362" s="65"/>
      <c r="F362" s="94"/>
      <c r="G362" s="94"/>
      <c r="H362" s="65"/>
      <c r="I362" s="65"/>
      <c r="J362" s="65"/>
      <c r="K362" s="95"/>
      <c r="L362" s="65"/>
      <c r="M362" s="65"/>
      <c r="N362" s="65"/>
      <c r="O362" s="65"/>
      <c r="P362" s="65"/>
      <c r="Q362" s="65"/>
      <c r="R362" s="65" t="str">
        <f>IFERROR(VLOOKUP('BMP P Tracking Table'!$Q362,Dropdowns!$C$2:$E$15,3,FALSE),"")</f>
        <v/>
      </c>
      <c r="S362" s="65" t="str">
        <f>IFERROR(VLOOKUP('BMP P Tracking Table'!$R362,Dropdowns!$Q$3:$R$23,2,FALSE),"")</f>
        <v/>
      </c>
      <c r="T362" s="65"/>
      <c r="U362" s="65"/>
      <c r="V362" s="65"/>
      <c r="W362" s="65"/>
      <c r="X362" s="65"/>
      <c r="Y362" s="65"/>
      <c r="Z362" s="65"/>
      <c r="AA362" s="65"/>
      <c r="AB362" s="65"/>
      <c r="AC362" s="97"/>
      <c r="AD362" s="65"/>
      <c r="AE362" s="104" t="str">
        <f>IFERROR('BMP P Tracking Table'!$V362*VLOOKUP('BMP P Tracking Table'!$R362,'Loading Rates'!$B$1:$L$24,4,FALSE)+IF('BMP P Tracking Table'!$W362="By HSG",'BMP P Tracking Table'!$X362*VLOOKUP('BMP P Tracking Table'!$R362,'Loading Rates'!$B$1:$L$24,6,FALSE)+'BMP P Tracking Table'!$Y362*VLOOKUP('BMP P Tracking Table'!$R362,'Loading Rates'!$B$1:$L$24,7,FALSE)+'BMP P Tracking Table'!$Z362*VLOOKUP('BMP P Tracking Table'!$R362,'Loading Rates'!$B$1:$L$24,8,FALSE)+'BMP P Tracking Table'!$AA362*VLOOKUP('BMP P Tracking Table'!$R362,'Loading Rates'!$B$1:$L$24,9,FALSE),'BMP P Tracking Table'!$AB362*VLOOKUP('BMP P Tracking Table'!$R362,'Loading Rates'!$B$1:$L$24,10,FALSE)),"")</f>
        <v/>
      </c>
      <c r="AF362" s="104" t="str">
        <f>IFERROR(MIN(2,IF('BMP P Tracking Table'!$W362="Total Pervious",(-(3630*'BMP P Tracking Table'!$V362+20.691*'BMP P Tracking Table'!$AB362)+SQRT((3630*'BMP P Tracking Table'!$V362+20.691*'BMP P Tracking Table'!$AB362)^2-(4*(996.798*'BMP P Tracking Table'!$AB362)*-'BMP P Tracking Table'!$AC362)))/(2*(996.798*'BMP P Tracking Table'!$AB362)),IF(SUM('BMP P Tracking Table'!$X362:$AA362)=0,'BMP P Tracking Table'!$AC362/(-3630*'BMP P Tracking Table'!$V362),(-(3630*'BMP P Tracking Table'!$V362+20.691*'BMP P Tracking Table'!$AA362-216.711*'BMP P Tracking Table'!$Z362-83.853*'BMP P Tracking Table'!$Y362-42.834*'BMP P Tracking Table'!$X362)+SQRT((3630*'BMP P Tracking Table'!$V362+20.691*'BMP P Tracking Table'!$AA362-216.711*'BMP P Tracking Table'!$Z362-83.853*'BMP P Tracking Table'!$Y362-42.834*'BMP P Tracking Table'!$X362)^2-(4*(149.919*'BMP P Tracking Table'!$X362+236.676*'BMP P Tracking Table'!$Y362+726*'BMP P Tracking Table'!$Z362+996.798*'BMP P Tracking Table'!$AA362)*-'BMP P Tracking Table'!$AC362)))/(2*(149.919*'BMP P Tracking Table'!$X362+236.676*'BMP P Tracking Table'!$Y362+726*'BMP P Tracking Table'!$Z362+996.798*'BMP P Tracking Table'!$AA362))))),"")</f>
        <v/>
      </c>
      <c r="AG362" s="104" t="str">
        <f>IFERROR((VLOOKUP(CONCATENATE('BMP P Tracking Table'!$U362," ",'BMP P Tracking Table'!$AD362),'Performance Curves'!$C$1:$L$46,_xlfn.SINGLE(MATCH('BMP P Tracking Table'!$AF362,'Performance Curves'!$D$1:$L$1,1))+2,FALSE)-VLOOKUP(CONCATENATE('BMP P Tracking Table'!$U362," ",'BMP P Tracking Table'!$AD362),'Performance Curves'!$C$1:$L$46,_xlfn.SINGLE(MATCH('BMP P Tracking Table'!$AF362,'Performance Curves'!$D$1:$L$1,1))+1,FALSE)),"")</f>
        <v/>
      </c>
      <c r="AH362" s="104" t="str">
        <f>IFERROR(('BMP P Tracking Table'!$AF362-INDEX('Performance Curves'!$D$1:$L$1,1,MATCH('BMP P Tracking Table'!$AF362,'Performance Curves'!$D$1:$L$1,1)))/(INDEX('Performance Curves'!$D$1:$L$1,1,MATCH('BMP P Tracking Table'!$AF362,'Performance Curves'!$D$1:$L$1,1)+1)-INDEX('Performance Curves'!$D$1:$L$1,1,MATCH('BMP P Tracking Table'!$AF362,'Performance Curves'!$D$1:$L$1,1))),"")</f>
        <v/>
      </c>
      <c r="AI362" s="103" t="str">
        <f>IFERROR(IF('BMP P Tracking Table'!$AF362=2,VLOOKUP(CONCATENATE('BMP P Tracking Table'!$U362," ",'BMP P Tracking Table'!$AD362),'Performance Curves'!$C$1:$L$46,_xlfn.SINGLE(MATCH('BMP P Tracking Table'!$AF362,'Performance Curves'!$D$1:$L$1,1))+1,FALSE),'BMP P Tracking Table'!$AG362*'BMP P Tracking Table'!$AH362+VLOOKUP(CONCATENATE('BMP P Tracking Table'!$U362," ",'BMP P Tracking Table'!$AD362),'Performance Curves'!$C$1:$L$46,_xlfn.SINGLE(MATCH('BMP P Tracking Table'!$AF362,'Performance Curves'!$D$1:$L$1,1))+1,FALSE)),"")</f>
        <v/>
      </c>
      <c r="AJ362" s="104" t="str">
        <f>IFERROR('BMP P Tracking Table'!$AI362*'BMP P Tracking Table'!$AE362,"")</f>
        <v/>
      </c>
      <c r="AK362" s="65"/>
      <c r="AL362" s="98"/>
      <c r="AM362" s="98"/>
      <c r="AN362" s="64">
        <v>1</v>
      </c>
      <c r="AO362" s="102" t="str">
        <f t="shared" si="39"/>
        <v/>
      </c>
      <c r="AP362" s="98"/>
      <c r="AQ362" s="98"/>
      <c r="AR362" s="98"/>
      <c r="AS362" s="98"/>
      <c r="AT362" s="98"/>
      <c r="AU362" s="98"/>
      <c r="AV362" s="98"/>
      <c r="AW362" s="65"/>
      <c r="AX362" s="99"/>
      <c r="AY362" s="99"/>
      <c r="AZ362" s="104" t="str">
        <f>IF('BMP P Tracking Table'!$AL362="Yes",IF('BMP P Tracking Table'!$AM362="No",'BMP P Tracking Table'!$V362*VLOOKUP('BMP P Tracking Table'!$R362,'Loading Rates'!$B$1:$L$24,4,FALSE)+IF('BMP P Tracking Table'!$W362="By HSG",'BMP P Tracking Table'!$X362*VLOOKUP('BMP P Tracking Table'!$R362,'Loading Rates'!$B$1:$L$24,6,FALSE)+'BMP P Tracking Table'!$Y362*VLOOKUP('BMP P Tracking Table'!$R362,'Loading Rates'!$B$1:$L$24,7,FALSE)+'BMP P Tracking Table'!$Z362*VLOOKUP('BMP P Tracking Table'!$R362,'Loading Rates'!$B$1:$L$24,8,FALSE)+'BMP P Tracking Table'!$AA362*VLOOKUP('BMP P Tracking Table'!$R362,'Loading Rates'!$B$1:$L$24,9,FALSE),'BMP P Tracking Table'!$AB362*VLOOKUP('BMP P Tracking Table'!$R362,'Loading Rates'!$B$1:$L$24,10,FALSE)),'BMP P Tracking Table'!$AP362*VLOOKUP('BMP P Tracking Table'!$R362,'Loading Rates'!$B$1:$L$24,4,FALSE)+IF('BMP P Tracking Table'!$AQ362="By HSG",'BMP P Tracking Table'!$AR362*VLOOKUP('BMP P Tracking Table'!$R362,'Loading Rates'!$B$1:$L$24,6,FALSE)+'BMP P Tracking Table'!$AS362*VLOOKUP('BMP P Tracking Table'!$R362,'Loading Rates'!$B$1:$L$24,7,FALSE)+'BMP P Tracking Table'!$AT362*VLOOKUP('BMP P Tracking Table'!$R362,'Loading Rates'!$B$1:$L$24,8,FALSE)+'BMP P Tracking Table'!$AU362*VLOOKUP('BMP P Tracking Table'!$R362,'Loading Rates'!$B$1:$L$24,9,FALSE),'BMP P Tracking Table'!$AV362*VLOOKUP('BMP P Tracking Table'!$R362,'Loading Rates'!$B$1:$L$24,10,FALSE))),"")</f>
        <v/>
      </c>
      <c r="BA362" s="104" t="str">
        <f>IFERROR(IF('BMP P Tracking Table'!$AM362="Yes",MIN(2,IF('BMP P Tracking Table'!$AQ362="Total Pervious",(-(3630*'BMP P Tracking Table'!$AP362+20.691*'BMP P Tracking Table'!$AV362)+SQRT((3630*'BMP P Tracking Table'!$AP362+20.691*'BMP P Tracking Table'!$AV362)^2-(4*(996.798*'BMP P Tracking Table'!$AV362)*-'BMP P Tracking Table'!$AX362)))/(2*(996.798*'BMP P Tracking Table'!$AV362)),IF(SUM('BMP P Tracking Table'!$AR362:$AU362)=0,'BMP P Tracking Table'!$AV362/(-3630*'BMP P Tracking Table'!$AP362),(-(3630*'BMP P Tracking Table'!$AP362+20.691*'BMP P Tracking Table'!$AU362-216.711*'BMP P Tracking Table'!$AT362-83.853*'BMP P Tracking Table'!$AS362-42.834*'BMP P Tracking Table'!$AR362)+SQRT((3630*'BMP P Tracking Table'!$AP362+20.691*'BMP P Tracking Table'!$AU362-216.711*'BMP P Tracking Table'!$AT362-83.853*'BMP P Tracking Table'!$AS362-42.834*'BMP P Tracking Table'!$AR362)^2-(4*(149.919*'BMP P Tracking Table'!$AR362+236.676*'BMP P Tracking Table'!$AS362+726*'BMP P Tracking Table'!$AT362+996.798*'BMP P Tracking Table'!$AU362)*-'BMP P Tracking Table'!$AX362)))/(2*(149.919*'BMP P Tracking Table'!$AR362+236.676*'BMP P Tracking Table'!$AS362+726*'BMP P Tracking Table'!$AT362+996.798*'BMP P Tracking Table'!$AU362))))),MIN(2,IF('BMP P Tracking Table'!$AQ362="Total Pervious",(-(3630*'BMP P Tracking Table'!$V362+20.691*'BMP P Tracking Table'!$AB362)+SQRT((3630*'BMP P Tracking Table'!$V362+20.691*'BMP P Tracking Table'!$AB362)^2-(4*(996.798*'BMP P Tracking Table'!$AB362)*-'BMP P Tracking Table'!$AX362)))/(2*(996.798*'BMP P Tracking Table'!$AB362)),IF(SUM('BMP P Tracking Table'!$X362:$AA362)=0,'BMP P Tracking Table'!$AX362/(-3630*'BMP P Tracking Table'!$V362),(-(3630*'BMP P Tracking Table'!$V362+20.691*'BMP P Tracking Table'!$AA362-216.711*'BMP P Tracking Table'!$Z362-83.853*'BMP P Tracking Table'!$Y362-42.834*'BMP P Tracking Table'!$X362)+SQRT((3630*'BMP P Tracking Table'!$V362+20.691*'BMP P Tracking Table'!$AA362-216.711*'BMP P Tracking Table'!$Z362-83.853*'BMP P Tracking Table'!$Y362-42.834*'BMP P Tracking Table'!$X362)^2-(4*(149.919*'BMP P Tracking Table'!$X362+236.676*'BMP P Tracking Table'!$Y362+726*'BMP P Tracking Table'!$Z362+996.798*'BMP P Tracking Table'!$AA362)*-'BMP P Tracking Table'!$AX362)))/(2*(149.919*'BMP P Tracking Table'!$X362+236.676*'BMP P Tracking Table'!$Y362+726*'BMP P Tracking Table'!$Z362+996.798*'BMP P Tracking Table'!$AA362)))))),"")</f>
        <v/>
      </c>
      <c r="BB362" s="102" t="str">
        <f>IFERROR((VLOOKUP(CONCATENATE('BMP P Tracking Table'!$AW362," ",'BMP P Tracking Table'!$AY362),'Performance Curves'!$C$1:$L$46,_xlfn.SINGLE(MATCH('BMP P Tracking Table'!$BA362,'Performance Curves'!$D$1:$L$1,1))+2,FALSE)-VLOOKUP(CONCATENATE('BMP P Tracking Table'!$AW362," ",'BMP P Tracking Table'!$AY362),'Performance Curves'!$C$1:$L$46,_xlfn.SINGLE(MATCH('BMP P Tracking Table'!$BA362,'Performance Curves'!$D$1:$L$1,1))+1,FALSE)),"")</f>
        <v/>
      </c>
      <c r="BC362" s="102" t="str">
        <f>IFERROR(('BMP P Tracking Table'!$BA362-INDEX('Performance Curves'!$D$1:$L$1,1,MATCH('BMP P Tracking Table'!$BA362,'Performance Curves'!$D$1:$L$1,1)))/(INDEX('Performance Curves'!$D$1:$L$1,1,MATCH('BMP P Tracking Table'!$BA362,'Performance Curves'!$D$1:$L$1,1)+1)-INDEX('Performance Curves'!$D$1:$L$1,1,MATCH('BMP P Tracking Table'!$BA362,'Performance Curves'!$D$1:$L$1,1))),"")</f>
        <v/>
      </c>
      <c r="BD362" s="103" t="str" cm="1">
        <f t="array" ref="BD362">IFERROR(IF('BMP P Tracking Table'!$BA362=2,VLOOKUP(CONCATENATE('BMP P Tracking Table'!$AW362," ",'BMP P Tracking Table'!$AY362),'Performance Curves'!$C$1:$L$44,_xlfn.SINGLE(MATCH('BMP P Tracking Table'!$BA362,'Performance Curves'!$D$1:$L$1,1))+1,FALSE),'BMP P Tracking Table'!$BB362*'BMP P Tracking Table'!$BC362+VLOOKUP(CONCATENATE('BMP P Tracking Table'!$AW362," ",'BMP P Tracking Table'!$AY362),'Performance Curves'!$C$1:$L$44,_xlfn.SINGLE(MATCH('BMP P Tracking Table'!$BA362,'Performance Curves'!$D$1:$L$1,1))+1,FALSE)),"")</f>
        <v/>
      </c>
      <c r="BE362" s="104" t="str">
        <f>IFERROR('BMP P Tracking Table'!$BD362*'BMP P Tracking Table'!$AZ362,"")</f>
        <v/>
      </c>
      <c r="BF362" s="98"/>
      <c r="BG362" s="37">
        <f t="shared" si="40"/>
        <v>0</v>
      </c>
    </row>
    <row r="363" spans="2:59" s="36" customFormat="1">
      <c r="B363" s="65"/>
      <c r="C363" s="65"/>
      <c r="D363" s="65"/>
      <c r="E363" s="65"/>
      <c r="F363" s="94"/>
      <c r="G363" s="94"/>
      <c r="H363" s="65"/>
      <c r="I363" s="65"/>
      <c r="J363" s="65"/>
      <c r="K363" s="95"/>
      <c r="L363" s="65"/>
      <c r="M363" s="65"/>
      <c r="N363" s="65"/>
      <c r="O363" s="65"/>
      <c r="P363" s="65"/>
      <c r="Q363" s="65"/>
      <c r="R363" s="65" t="str">
        <f>IFERROR(VLOOKUP('BMP P Tracking Table'!$Q363,Dropdowns!$C$2:$E$15,3,FALSE),"")</f>
        <v/>
      </c>
      <c r="S363" s="65" t="str">
        <f>IFERROR(VLOOKUP('BMP P Tracking Table'!$R363,Dropdowns!$Q$3:$R$23,2,FALSE),"")</f>
        <v/>
      </c>
      <c r="T363" s="65"/>
      <c r="U363" s="65"/>
      <c r="V363" s="65"/>
      <c r="W363" s="65"/>
      <c r="X363" s="65"/>
      <c r="Y363" s="65"/>
      <c r="Z363" s="65"/>
      <c r="AA363" s="65"/>
      <c r="AB363" s="65"/>
      <c r="AC363" s="97"/>
      <c r="AD363" s="65"/>
      <c r="AE363" s="104" t="str">
        <f>IFERROR('BMP P Tracking Table'!$V363*VLOOKUP('BMP P Tracking Table'!$R363,'Loading Rates'!$B$1:$L$24,4,FALSE)+IF('BMP P Tracking Table'!$W363="By HSG",'BMP P Tracking Table'!$X363*VLOOKUP('BMP P Tracking Table'!$R363,'Loading Rates'!$B$1:$L$24,6,FALSE)+'BMP P Tracking Table'!$Y363*VLOOKUP('BMP P Tracking Table'!$R363,'Loading Rates'!$B$1:$L$24,7,FALSE)+'BMP P Tracking Table'!$Z363*VLOOKUP('BMP P Tracking Table'!$R363,'Loading Rates'!$B$1:$L$24,8,FALSE)+'BMP P Tracking Table'!$AA363*VLOOKUP('BMP P Tracking Table'!$R363,'Loading Rates'!$B$1:$L$24,9,FALSE),'BMP P Tracking Table'!$AB363*VLOOKUP('BMP P Tracking Table'!$R363,'Loading Rates'!$B$1:$L$24,10,FALSE)),"")</f>
        <v/>
      </c>
      <c r="AF363" s="104" t="str">
        <f>IFERROR(MIN(2,IF('BMP P Tracking Table'!$W363="Total Pervious",(-(3630*'BMP P Tracking Table'!$V363+20.691*'BMP P Tracking Table'!$AB363)+SQRT((3630*'BMP P Tracking Table'!$V363+20.691*'BMP P Tracking Table'!$AB363)^2-(4*(996.798*'BMP P Tracking Table'!$AB363)*-'BMP P Tracking Table'!$AC363)))/(2*(996.798*'BMP P Tracking Table'!$AB363)),IF(SUM('BMP P Tracking Table'!$X363:$AA363)=0,'BMP P Tracking Table'!$AC363/(-3630*'BMP P Tracking Table'!$V363),(-(3630*'BMP P Tracking Table'!$V363+20.691*'BMP P Tracking Table'!$AA363-216.711*'BMP P Tracking Table'!$Z363-83.853*'BMP P Tracking Table'!$Y363-42.834*'BMP P Tracking Table'!$X363)+SQRT((3630*'BMP P Tracking Table'!$V363+20.691*'BMP P Tracking Table'!$AA363-216.711*'BMP P Tracking Table'!$Z363-83.853*'BMP P Tracking Table'!$Y363-42.834*'BMP P Tracking Table'!$X363)^2-(4*(149.919*'BMP P Tracking Table'!$X363+236.676*'BMP P Tracking Table'!$Y363+726*'BMP P Tracking Table'!$Z363+996.798*'BMP P Tracking Table'!$AA363)*-'BMP P Tracking Table'!$AC363)))/(2*(149.919*'BMP P Tracking Table'!$X363+236.676*'BMP P Tracking Table'!$Y363+726*'BMP P Tracking Table'!$Z363+996.798*'BMP P Tracking Table'!$AA363))))),"")</f>
        <v/>
      </c>
      <c r="AG363" s="104" t="str">
        <f>IFERROR((VLOOKUP(CONCATENATE('BMP P Tracking Table'!$U363," ",'BMP P Tracking Table'!$AD363),'Performance Curves'!$C$1:$L$46,_xlfn.SINGLE(MATCH('BMP P Tracking Table'!$AF363,'Performance Curves'!$D$1:$L$1,1))+2,FALSE)-VLOOKUP(CONCATENATE('BMP P Tracking Table'!$U363," ",'BMP P Tracking Table'!$AD363),'Performance Curves'!$C$1:$L$46,_xlfn.SINGLE(MATCH('BMP P Tracking Table'!$AF363,'Performance Curves'!$D$1:$L$1,1))+1,FALSE)),"")</f>
        <v/>
      </c>
      <c r="AH363" s="104" t="str">
        <f>IFERROR(('BMP P Tracking Table'!$AF363-INDEX('Performance Curves'!$D$1:$L$1,1,MATCH('BMP P Tracking Table'!$AF363,'Performance Curves'!$D$1:$L$1,1)))/(INDEX('Performance Curves'!$D$1:$L$1,1,MATCH('BMP P Tracking Table'!$AF363,'Performance Curves'!$D$1:$L$1,1)+1)-INDEX('Performance Curves'!$D$1:$L$1,1,MATCH('BMP P Tracking Table'!$AF363,'Performance Curves'!$D$1:$L$1,1))),"")</f>
        <v/>
      </c>
      <c r="AI363" s="103" t="str">
        <f>IFERROR(IF('BMP P Tracking Table'!$AF363=2,VLOOKUP(CONCATENATE('BMP P Tracking Table'!$U363," ",'BMP P Tracking Table'!$AD363),'Performance Curves'!$C$1:$L$46,_xlfn.SINGLE(MATCH('BMP P Tracking Table'!$AF363,'Performance Curves'!$D$1:$L$1,1))+1,FALSE),'BMP P Tracking Table'!$AG363*'BMP P Tracking Table'!$AH363+VLOOKUP(CONCATENATE('BMP P Tracking Table'!$U363," ",'BMP P Tracking Table'!$AD363),'Performance Curves'!$C$1:$L$46,_xlfn.SINGLE(MATCH('BMP P Tracking Table'!$AF363,'Performance Curves'!$D$1:$L$1,1))+1,FALSE)),"")</f>
        <v/>
      </c>
      <c r="AJ363" s="104" t="str">
        <f>IFERROR('BMP P Tracking Table'!$AI363*'BMP P Tracking Table'!$AE363,"")</f>
        <v/>
      </c>
      <c r="AK363" s="65"/>
      <c r="AL363" s="98"/>
      <c r="AM363" s="98"/>
      <c r="AN363" s="64">
        <v>1</v>
      </c>
      <c r="AO363" s="102" t="str">
        <f t="shared" si="39"/>
        <v/>
      </c>
      <c r="AP363" s="98"/>
      <c r="AQ363" s="98"/>
      <c r="AR363" s="98"/>
      <c r="AS363" s="98"/>
      <c r="AT363" s="98"/>
      <c r="AU363" s="98"/>
      <c r="AV363" s="98"/>
      <c r="AW363" s="65"/>
      <c r="AX363" s="99"/>
      <c r="AY363" s="99"/>
      <c r="AZ363" s="104" t="str">
        <f>IF('BMP P Tracking Table'!$AL363="Yes",IF('BMP P Tracking Table'!$AM363="No",'BMP P Tracking Table'!$V363*VLOOKUP('BMP P Tracking Table'!$R363,'Loading Rates'!$B$1:$L$24,4,FALSE)+IF('BMP P Tracking Table'!$W363="By HSG",'BMP P Tracking Table'!$X363*VLOOKUP('BMP P Tracking Table'!$R363,'Loading Rates'!$B$1:$L$24,6,FALSE)+'BMP P Tracking Table'!$Y363*VLOOKUP('BMP P Tracking Table'!$R363,'Loading Rates'!$B$1:$L$24,7,FALSE)+'BMP P Tracking Table'!$Z363*VLOOKUP('BMP P Tracking Table'!$R363,'Loading Rates'!$B$1:$L$24,8,FALSE)+'BMP P Tracking Table'!$AA363*VLOOKUP('BMP P Tracking Table'!$R363,'Loading Rates'!$B$1:$L$24,9,FALSE),'BMP P Tracking Table'!$AB363*VLOOKUP('BMP P Tracking Table'!$R363,'Loading Rates'!$B$1:$L$24,10,FALSE)),'BMP P Tracking Table'!$AP363*VLOOKUP('BMP P Tracking Table'!$R363,'Loading Rates'!$B$1:$L$24,4,FALSE)+IF('BMP P Tracking Table'!$AQ363="By HSG",'BMP P Tracking Table'!$AR363*VLOOKUP('BMP P Tracking Table'!$R363,'Loading Rates'!$B$1:$L$24,6,FALSE)+'BMP P Tracking Table'!$AS363*VLOOKUP('BMP P Tracking Table'!$R363,'Loading Rates'!$B$1:$L$24,7,FALSE)+'BMP P Tracking Table'!$AT363*VLOOKUP('BMP P Tracking Table'!$R363,'Loading Rates'!$B$1:$L$24,8,FALSE)+'BMP P Tracking Table'!$AU363*VLOOKUP('BMP P Tracking Table'!$R363,'Loading Rates'!$B$1:$L$24,9,FALSE),'BMP P Tracking Table'!$AV363*VLOOKUP('BMP P Tracking Table'!$R363,'Loading Rates'!$B$1:$L$24,10,FALSE))),"")</f>
        <v/>
      </c>
      <c r="BA363" s="104" t="str">
        <f>IFERROR(IF('BMP P Tracking Table'!$AM363="Yes",MIN(2,IF('BMP P Tracking Table'!$AQ363="Total Pervious",(-(3630*'BMP P Tracking Table'!$AP363+20.691*'BMP P Tracking Table'!$AV363)+SQRT((3630*'BMP P Tracking Table'!$AP363+20.691*'BMP P Tracking Table'!$AV363)^2-(4*(996.798*'BMP P Tracking Table'!$AV363)*-'BMP P Tracking Table'!$AX363)))/(2*(996.798*'BMP P Tracking Table'!$AV363)),IF(SUM('BMP P Tracking Table'!$AR363:$AU363)=0,'BMP P Tracking Table'!$AV363/(-3630*'BMP P Tracking Table'!$AP363),(-(3630*'BMP P Tracking Table'!$AP363+20.691*'BMP P Tracking Table'!$AU363-216.711*'BMP P Tracking Table'!$AT363-83.853*'BMP P Tracking Table'!$AS363-42.834*'BMP P Tracking Table'!$AR363)+SQRT((3630*'BMP P Tracking Table'!$AP363+20.691*'BMP P Tracking Table'!$AU363-216.711*'BMP P Tracking Table'!$AT363-83.853*'BMP P Tracking Table'!$AS363-42.834*'BMP P Tracking Table'!$AR363)^2-(4*(149.919*'BMP P Tracking Table'!$AR363+236.676*'BMP P Tracking Table'!$AS363+726*'BMP P Tracking Table'!$AT363+996.798*'BMP P Tracking Table'!$AU363)*-'BMP P Tracking Table'!$AX363)))/(2*(149.919*'BMP P Tracking Table'!$AR363+236.676*'BMP P Tracking Table'!$AS363+726*'BMP P Tracking Table'!$AT363+996.798*'BMP P Tracking Table'!$AU363))))),MIN(2,IF('BMP P Tracking Table'!$AQ363="Total Pervious",(-(3630*'BMP P Tracking Table'!$V363+20.691*'BMP P Tracking Table'!$AB363)+SQRT((3630*'BMP P Tracking Table'!$V363+20.691*'BMP P Tracking Table'!$AB363)^2-(4*(996.798*'BMP P Tracking Table'!$AB363)*-'BMP P Tracking Table'!$AX363)))/(2*(996.798*'BMP P Tracking Table'!$AB363)),IF(SUM('BMP P Tracking Table'!$X363:$AA363)=0,'BMP P Tracking Table'!$AX363/(-3630*'BMP P Tracking Table'!$V363),(-(3630*'BMP P Tracking Table'!$V363+20.691*'BMP P Tracking Table'!$AA363-216.711*'BMP P Tracking Table'!$Z363-83.853*'BMP P Tracking Table'!$Y363-42.834*'BMP P Tracking Table'!$X363)+SQRT((3630*'BMP P Tracking Table'!$V363+20.691*'BMP P Tracking Table'!$AA363-216.711*'BMP P Tracking Table'!$Z363-83.853*'BMP P Tracking Table'!$Y363-42.834*'BMP P Tracking Table'!$X363)^2-(4*(149.919*'BMP P Tracking Table'!$X363+236.676*'BMP P Tracking Table'!$Y363+726*'BMP P Tracking Table'!$Z363+996.798*'BMP P Tracking Table'!$AA363)*-'BMP P Tracking Table'!$AX363)))/(2*(149.919*'BMP P Tracking Table'!$X363+236.676*'BMP P Tracking Table'!$Y363+726*'BMP P Tracking Table'!$Z363+996.798*'BMP P Tracking Table'!$AA363)))))),"")</f>
        <v/>
      </c>
      <c r="BB363" s="102" t="str">
        <f>IFERROR((VLOOKUP(CONCATENATE('BMP P Tracking Table'!$AW363," ",'BMP P Tracking Table'!$AY363),'Performance Curves'!$C$1:$L$46,_xlfn.SINGLE(MATCH('BMP P Tracking Table'!$BA363,'Performance Curves'!$D$1:$L$1,1))+2,FALSE)-VLOOKUP(CONCATENATE('BMP P Tracking Table'!$AW363," ",'BMP P Tracking Table'!$AY363),'Performance Curves'!$C$1:$L$46,_xlfn.SINGLE(MATCH('BMP P Tracking Table'!$BA363,'Performance Curves'!$D$1:$L$1,1))+1,FALSE)),"")</f>
        <v/>
      </c>
      <c r="BC363" s="102" t="str">
        <f>IFERROR(('BMP P Tracking Table'!$BA363-INDEX('Performance Curves'!$D$1:$L$1,1,MATCH('BMP P Tracking Table'!$BA363,'Performance Curves'!$D$1:$L$1,1)))/(INDEX('Performance Curves'!$D$1:$L$1,1,MATCH('BMP P Tracking Table'!$BA363,'Performance Curves'!$D$1:$L$1,1)+1)-INDEX('Performance Curves'!$D$1:$L$1,1,MATCH('BMP P Tracking Table'!$BA363,'Performance Curves'!$D$1:$L$1,1))),"")</f>
        <v/>
      </c>
      <c r="BD363" s="103" t="str" cm="1">
        <f t="array" ref="BD363">IFERROR(IF('BMP P Tracking Table'!$BA363=2,VLOOKUP(CONCATENATE('BMP P Tracking Table'!$AW363," ",'BMP P Tracking Table'!$AY363),'Performance Curves'!$C$1:$L$44,_xlfn.SINGLE(MATCH('BMP P Tracking Table'!$BA363,'Performance Curves'!$D$1:$L$1,1))+1,FALSE),'BMP P Tracking Table'!$BB363*'BMP P Tracking Table'!$BC363+VLOOKUP(CONCATENATE('BMP P Tracking Table'!$AW363," ",'BMP P Tracking Table'!$AY363),'Performance Curves'!$C$1:$L$44,_xlfn.SINGLE(MATCH('BMP P Tracking Table'!$BA363,'Performance Curves'!$D$1:$L$1,1))+1,FALSE)),"")</f>
        <v/>
      </c>
      <c r="BE363" s="104" t="str">
        <f>IFERROR('BMP P Tracking Table'!$BD363*'BMP P Tracking Table'!$AZ363,"")</f>
        <v/>
      </c>
      <c r="BF363" s="98"/>
      <c r="BG363" s="37">
        <f t="shared" si="40"/>
        <v>0</v>
      </c>
    </row>
    <row r="364" spans="2:59" s="36" customFormat="1">
      <c r="B364" s="65"/>
      <c r="C364" s="65"/>
      <c r="D364" s="65"/>
      <c r="E364" s="65"/>
      <c r="F364" s="94"/>
      <c r="G364" s="94"/>
      <c r="H364" s="65"/>
      <c r="I364" s="65"/>
      <c r="J364" s="65"/>
      <c r="K364" s="95"/>
      <c r="L364" s="65"/>
      <c r="M364" s="65"/>
      <c r="N364" s="65"/>
      <c r="O364" s="65"/>
      <c r="P364" s="65"/>
      <c r="Q364" s="65"/>
      <c r="R364" s="65" t="str">
        <f>IFERROR(VLOOKUP('BMP P Tracking Table'!$Q364,Dropdowns!$C$2:$E$15,3,FALSE),"")</f>
        <v/>
      </c>
      <c r="S364" s="65" t="str">
        <f>IFERROR(VLOOKUP('BMP P Tracking Table'!$R364,Dropdowns!$Q$3:$R$23,2,FALSE),"")</f>
        <v/>
      </c>
      <c r="T364" s="65"/>
      <c r="U364" s="65"/>
      <c r="V364" s="65"/>
      <c r="W364" s="65"/>
      <c r="X364" s="65"/>
      <c r="Y364" s="65"/>
      <c r="Z364" s="65"/>
      <c r="AA364" s="65"/>
      <c r="AB364" s="65"/>
      <c r="AC364" s="97"/>
      <c r="AD364" s="65"/>
      <c r="AE364" s="104" t="str">
        <f>IFERROR('BMP P Tracking Table'!$V364*VLOOKUP('BMP P Tracking Table'!$R364,'Loading Rates'!$B$1:$L$24,4,FALSE)+IF('BMP P Tracking Table'!$W364="By HSG",'BMP P Tracking Table'!$X364*VLOOKUP('BMP P Tracking Table'!$R364,'Loading Rates'!$B$1:$L$24,6,FALSE)+'BMP P Tracking Table'!$Y364*VLOOKUP('BMP P Tracking Table'!$R364,'Loading Rates'!$B$1:$L$24,7,FALSE)+'BMP P Tracking Table'!$Z364*VLOOKUP('BMP P Tracking Table'!$R364,'Loading Rates'!$B$1:$L$24,8,FALSE)+'BMP P Tracking Table'!$AA364*VLOOKUP('BMP P Tracking Table'!$R364,'Loading Rates'!$B$1:$L$24,9,FALSE),'BMP P Tracking Table'!$AB364*VLOOKUP('BMP P Tracking Table'!$R364,'Loading Rates'!$B$1:$L$24,10,FALSE)),"")</f>
        <v/>
      </c>
      <c r="AF364" s="104" t="str">
        <f>IFERROR(MIN(2,IF('BMP P Tracking Table'!$W364="Total Pervious",(-(3630*'BMP P Tracking Table'!$V364+20.691*'BMP P Tracking Table'!$AB364)+SQRT((3630*'BMP P Tracking Table'!$V364+20.691*'BMP P Tracking Table'!$AB364)^2-(4*(996.798*'BMP P Tracking Table'!$AB364)*-'BMP P Tracking Table'!$AC364)))/(2*(996.798*'BMP P Tracking Table'!$AB364)),IF(SUM('BMP P Tracking Table'!$X364:$AA364)=0,'BMP P Tracking Table'!$AC364/(-3630*'BMP P Tracking Table'!$V364),(-(3630*'BMP P Tracking Table'!$V364+20.691*'BMP P Tracking Table'!$AA364-216.711*'BMP P Tracking Table'!$Z364-83.853*'BMP P Tracking Table'!$Y364-42.834*'BMP P Tracking Table'!$X364)+SQRT((3630*'BMP P Tracking Table'!$V364+20.691*'BMP P Tracking Table'!$AA364-216.711*'BMP P Tracking Table'!$Z364-83.853*'BMP P Tracking Table'!$Y364-42.834*'BMP P Tracking Table'!$X364)^2-(4*(149.919*'BMP P Tracking Table'!$X364+236.676*'BMP P Tracking Table'!$Y364+726*'BMP P Tracking Table'!$Z364+996.798*'BMP P Tracking Table'!$AA364)*-'BMP P Tracking Table'!$AC364)))/(2*(149.919*'BMP P Tracking Table'!$X364+236.676*'BMP P Tracking Table'!$Y364+726*'BMP P Tracking Table'!$Z364+996.798*'BMP P Tracking Table'!$AA364))))),"")</f>
        <v/>
      </c>
      <c r="AG364" s="104" t="str">
        <f>IFERROR((VLOOKUP(CONCATENATE('BMP P Tracking Table'!$U364," ",'BMP P Tracking Table'!$AD364),'Performance Curves'!$C$1:$L$46,_xlfn.SINGLE(MATCH('BMP P Tracking Table'!$AF364,'Performance Curves'!$D$1:$L$1,1))+2,FALSE)-VLOOKUP(CONCATENATE('BMP P Tracking Table'!$U364," ",'BMP P Tracking Table'!$AD364),'Performance Curves'!$C$1:$L$46,_xlfn.SINGLE(MATCH('BMP P Tracking Table'!$AF364,'Performance Curves'!$D$1:$L$1,1))+1,FALSE)),"")</f>
        <v/>
      </c>
      <c r="AH364" s="104" t="str">
        <f>IFERROR(('BMP P Tracking Table'!$AF364-INDEX('Performance Curves'!$D$1:$L$1,1,MATCH('BMP P Tracking Table'!$AF364,'Performance Curves'!$D$1:$L$1,1)))/(INDEX('Performance Curves'!$D$1:$L$1,1,MATCH('BMP P Tracking Table'!$AF364,'Performance Curves'!$D$1:$L$1,1)+1)-INDEX('Performance Curves'!$D$1:$L$1,1,MATCH('BMP P Tracking Table'!$AF364,'Performance Curves'!$D$1:$L$1,1))),"")</f>
        <v/>
      </c>
      <c r="AI364" s="103" t="str">
        <f>IFERROR(IF('BMP P Tracking Table'!$AF364=2,VLOOKUP(CONCATENATE('BMP P Tracking Table'!$U364," ",'BMP P Tracking Table'!$AD364),'Performance Curves'!$C$1:$L$46,_xlfn.SINGLE(MATCH('BMP P Tracking Table'!$AF364,'Performance Curves'!$D$1:$L$1,1))+1,FALSE),'BMP P Tracking Table'!$AG364*'BMP P Tracking Table'!$AH364+VLOOKUP(CONCATENATE('BMP P Tracking Table'!$U364," ",'BMP P Tracking Table'!$AD364),'Performance Curves'!$C$1:$L$46,_xlfn.SINGLE(MATCH('BMP P Tracking Table'!$AF364,'Performance Curves'!$D$1:$L$1,1))+1,FALSE)),"")</f>
        <v/>
      </c>
      <c r="AJ364" s="104" t="str">
        <f>IFERROR('BMP P Tracking Table'!$AI364*'BMP P Tracking Table'!$AE364,"")</f>
        <v/>
      </c>
      <c r="AK364" s="65"/>
      <c r="AL364" s="98"/>
      <c r="AM364" s="98"/>
      <c r="AN364" s="64">
        <v>1</v>
      </c>
      <c r="AO364" s="102" t="str">
        <f t="shared" si="39"/>
        <v/>
      </c>
      <c r="AP364" s="98"/>
      <c r="AQ364" s="98"/>
      <c r="AR364" s="98"/>
      <c r="AS364" s="98"/>
      <c r="AT364" s="98"/>
      <c r="AU364" s="98"/>
      <c r="AV364" s="98"/>
      <c r="AW364" s="65"/>
      <c r="AX364" s="99"/>
      <c r="AY364" s="99"/>
      <c r="AZ364" s="104" t="str">
        <f>IF('BMP P Tracking Table'!$AL364="Yes",IF('BMP P Tracking Table'!$AM364="No",'BMP P Tracking Table'!$V364*VLOOKUP('BMP P Tracking Table'!$R364,'Loading Rates'!$B$1:$L$24,4,FALSE)+IF('BMP P Tracking Table'!$W364="By HSG",'BMP P Tracking Table'!$X364*VLOOKUP('BMP P Tracking Table'!$R364,'Loading Rates'!$B$1:$L$24,6,FALSE)+'BMP P Tracking Table'!$Y364*VLOOKUP('BMP P Tracking Table'!$R364,'Loading Rates'!$B$1:$L$24,7,FALSE)+'BMP P Tracking Table'!$Z364*VLOOKUP('BMP P Tracking Table'!$R364,'Loading Rates'!$B$1:$L$24,8,FALSE)+'BMP P Tracking Table'!$AA364*VLOOKUP('BMP P Tracking Table'!$R364,'Loading Rates'!$B$1:$L$24,9,FALSE),'BMP P Tracking Table'!$AB364*VLOOKUP('BMP P Tracking Table'!$R364,'Loading Rates'!$B$1:$L$24,10,FALSE)),'BMP P Tracking Table'!$AP364*VLOOKUP('BMP P Tracking Table'!$R364,'Loading Rates'!$B$1:$L$24,4,FALSE)+IF('BMP P Tracking Table'!$AQ364="By HSG",'BMP P Tracking Table'!$AR364*VLOOKUP('BMP P Tracking Table'!$R364,'Loading Rates'!$B$1:$L$24,6,FALSE)+'BMP P Tracking Table'!$AS364*VLOOKUP('BMP P Tracking Table'!$R364,'Loading Rates'!$B$1:$L$24,7,FALSE)+'BMP P Tracking Table'!$AT364*VLOOKUP('BMP P Tracking Table'!$R364,'Loading Rates'!$B$1:$L$24,8,FALSE)+'BMP P Tracking Table'!$AU364*VLOOKUP('BMP P Tracking Table'!$R364,'Loading Rates'!$B$1:$L$24,9,FALSE),'BMP P Tracking Table'!$AV364*VLOOKUP('BMP P Tracking Table'!$R364,'Loading Rates'!$B$1:$L$24,10,FALSE))),"")</f>
        <v/>
      </c>
      <c r="BA364" s="104" t="str">
        <f>IFERROR(IF('BMP P Tracking Table'!$AM364="Yes",MIN(2,IF('BMP P Tracking Table'!$AQ364="Total Pervious",(-(3630*'BMP P Tracking Table'!$AP364+20.691*'BMP P Tracking Table'!$AV364)+SQRT((3630*'BMP P Tracking Table'!$AP364+20.691*'BMP P Tracking Table'!$AV364)^2-(4*(996.798*'BMP P Tracking Table'!$AV364)*-'BMP P Tracking Table'!$AX364)))/(2*(996.798*'BMP P Tracking Table'!$AV364)),IF(SUM('BMP P Tracking Table'!$AR364:$AU364)=0,'BMP P Tracking Table'!$AV364/(-3630*'BMP P Tracking Table'!$AP364),(-(3630*'BMP P Tracking Table'!$AP364+20.691*'BMP P Tracking Table'!$AU364-216.711*'BMP P Tracking Table'!$AT364-83.853*'BMP P Tracking Table'!$AS364-42.834*'BMP P Tracking Table'!$AR364)+SQRT((3630*'BMP P Tracking Table'!$AP364+20.691*'BMP P Tracking Table'!$AU364-216.711*'BMP P Tracking Table'!$AT364-83.853*'BMP P Tracking Table'!$AS364-42.834*'BMP P Tracking Table'!$AR364)^2-(4*(149.919*'BMP P Tracking Table'!$AR364+236.676*'BMP P Tracking Table'!$AS364+726*'BMP P Tracking Table'!$AT364+996.798*'BMP P Tracking Table'!$AU364)*-'BMP P Tracking Table'!$AX364)))/(2*(149.919*'BMP P Tracking Table'!$AR364+236.676*'BMP P Tracking Table'!$AS364+726*'BMP P Tracking Table'!$AT364+996.798*'BMP P Tracking Table'!$AU364))))),MIN(2,IF('BMP P Tracking Table'!$AQ364="Total Pervious",(-(3630*'BMP P Tracking Table'!$V364+20.691*'BMP P Tracking Table'!$AB364)+SQRT((3630*'BMP P Tracking Table'!$V364+20.691*'BMP P Tracking Table'!$AB364)^2-(4*(996.798*'BMP P Tracking Table'!$AB364)*-'BMP P Tracking Table'!$AX364)))/(2*(996.798*'BMP P Tracking Table'!$AB364)),IF(SUM('BMP P Tracking Table'!$X364:$AA364)=0,'BMP P Tracking Table'!$AX364/(-3630*'BMP P Tracking Table'!$V364),(-(3630*'BMP P Tracking Table'!$V364+20.691*'BMP P Tracking Table'!$AA364-216.711*'BMP P Tracking Table'!$Z364-83.853*'BMP P Tracking Table'!$Y364-42.834*'BMP P Tracking Table'!$X364)+SQRT((3630*'BMP P Tracking Table'!$V364+20.691*'BMP P Tracking Table'!$AA364-216.711*'BMP P Tracking Table'!$Z364-83.853*'BMP P Tracking Table'!$Y364-42.834*'BMP P Tracking Table'!$X364)^2-(4*(149.919*'BMP P Tracking Table'!$X364+236.676*'BMP P Tracking Table'!$Y364+726*'BMP P Tracking Table'!$Z364+996.798*'BMP P Tracking Table'!$AA364)*-'BMP P Tracking Table'!$AX364)))/(2*(149.919*'BMP P Tracking Table'!$X364+236.676*'BMP P Tracking Table'!$Y364+726*'BMP P Tracking Table'!$Z364+996.798*'BMP P Tracking Table'!$AA364)))))),"")</f>
        <v/>
      </c>
      <c r="BB364" s="102" t="str">
        <f>IFERROR((VLOOKUP(CONCATENATE('BMP P Tracking Table'!$AW364," ",'BMP P Tracking Table'!$AY364),'Performance Curves'!$C$1:$L$46,_xlfn.SINGLE(MATCH('BMP P Tracking Table'!$BA364,'Performance Curves'!$D$1:$L$1,1))+2,FALSE)-VLOOKUP(CONCATENATE('BMP P Tracking Table'!$AW364," ",'BMP P Tracking Table'!$AY364),'Performance Curves'!$C$1:$L$46,_xlfn.SINGLE(MATCH('BMP P Tracking Table'!$BA364,'Performance Curves'!$D$1:$L$1,1))+1,FALSE)),"")</f>
        <v/>
      </c>
      <c r="BC364" s="102" t="str">
        <f>IFERROR(('BMP P Tracking Table'!$BA364-INDEX('Performance Curves'!$D$1:$L$1,1,MATCH('BMP P Tracking Table'!$BA364,'Performance Curves'!$D$1:$L$1,1)))/(INDEX('Performance Curves'!$D$1:$L$1,1,MATCH('BMP P Tracking Table'!$BA364,'Performance Curves'!$D$1:$L$1,1)+1)-INDEX('Performance Curves'!$D$1:$L$1,1,MATCH('BMP P Tracking Table'!$BA364,'Performance Curves'!$D$1:$L$1,1))),"")</f>
        <v/>
      </c>
      <c r="BD364" s="103" t="str" cm="1">
        <f t="array" ref="BD364">IFERROR(IF('BMP P Tracking Table'!$BA364=2,VLOOKUP(CONCATENATE('BMP P Tracking Table'!$AW364," ",'BMP P Tracking Table'!$AY364),'Performance Curves'!$C$1:$L$44,_xlfn.SINGLE(MATCH('BMP P Tracking Table'!$BA364,'Performance Curves'!$D$1:$L$1,1))+1,FALSE),'BMP P Tracking Table'!$BB364*'BMP P Tracking Table'!$BC364+VLOOKUP(CONCATENATE('BMP P Tracking Table'!$AW364," ",'BMP P Tracking Table'!$AY364),'Performance Curves'!$C$1:$L$44,_xlfn.SINGLE(MATCH('BMP P Tracking Table'!$BA364,'Performance Curves'!$D$1:$L$1,1))+1,FALSE)),"")</f>
        <v/>
      </c>
      <c r="BE364" s="104" t="str">
        <f>IFERROR('BMP P Tracking Table'!$BD364*'BMP P Tracking Table'!$AZ364,"")</f>
        <v/>
      </c>
      <c r="BF364" s="98"/>
      <c r="BG364" s="37">
        <f t="shared" si="40"/>
        <v>0</v>
      </c>
    </row>
    <row r="365" spans="2:59" s="36" customFormat="1">
      <c r="B365" s="65"/>
      <c r="C365" s="65"/>
      <c r="D365" s="65"/>
      <c r="E365" s="65"/>
      <c r="F365" s="94"/>
      <c r="G365" s="94"/>
      <c r="H365" s="65"/>
      <c r="I365" s="65"/>
      <c r="J365" s="65"/>
      <c r="K365" s="95"/>
      <c r="L365" s="65"/>
      <c r="M365" s="65"/>
      <c r="N365" s="65"/>
      <c r="O365" s="65"/>
      <c r="P365" s="65"/>
      <c r="Q365" s="65"/>
      <c r="R365" s="65" t="str">
        <f>IFERROR(VLOOKUP('BMP P Tracking Table'!$Q365,Dropdowns!$C$2:$E$15,3,FALSE),"")</f>
        <v/>
      </c>
      <c r="S365" s="65" t="str">
        <f>IFERROR(VLOOKUP('BMP P Tracking Table'!$R365,Dropdowns!$Q$3:$R$23,2,FALSE),"")</f>
        <v/>
      </c>
      <c r="T365" s="65"/>
      <c r="U365" s="65"/>
      <c r="V365" s="65"/>
      <c r="W365" s="65"/>
      <c r="X365" s="65"/>
      <c r="Y365" s="65"/>
      <c r="Z365" s="65"/>
      <c r="AA365" s="65"/>
      <c r="AB365" s="65"/>
      <c r="AC365" s="97"/>
      <c r="AD365" s="65"/>
      <c r="AE365" s="104" t="str">
        <f>IFERROR('BMP P Tracking Table'!$V365*VLOOKUP('BMP P Tracking Table'!$R365,'Loading Rates'!$B$1:$L$24,4,FALSE)+IF('BMP P Tracking Table'!$W365="By HSG",'BMP P Tracking Table'!$X365*VLOOKUP('BMP P Tracking Table'!$R365,'Loading Rates'!$B$1:$L$24,6,FALSE)+'BMP P Tracking Table'!$Y365*VLOOKUP('BMP P Tracking Table'!$R365,'Loading Rates'!$B$1:$L$24,7,FALSE)+'BMP P Tracking Table'!$Z365*VLOOKUP('BMP P Tracking Table'!$R365,'Loading Rates'!$B$1:$L$24,8,FALSE)+'BMP P Tracking Table'!$AA365*VLOOKUP('BMP P Tracking Table'!$R365,'Loading Rates'!$B$1:$L$24,9,FALSE),'BMP P Tracking Table'!$AB365*VLOOKUP('BMP P Tracking Table'!$R365,'Loading Rates'!$B$1:$L$24,10,FALSE)),"")</f>
        <v/>
      </c>
      <c r="AF365" s="104" t="str">
        <f>IFERROR(MIN(2,IF('BMP P Tracking Table'!$W365="Total Pervious",(-(3630*'BMP P Tracking Table'!$V365+20.691*'BMP P Tracking Table'!$AB365)+SQRT((3630*'BMP P Tracking Table'!$V365+20.691*'BMP P Tracking Table'!$AB365)^2-(4*(996.798*'BMP P Tracking Table'!$AB365)*-'BMP P Tracking Table'!$AC365)))/(2*(996.798*'BMP P Tracking Table'!$AB365)),IF(SUM('BMP P Tracking Table'!$X365:$AA365)=0,'BMP P Tracking Table'!$AC365/(-3630*'BMP P Tracking Table'!$V365),(-(3630*'BMP P Tracking Table'!$V365+20.691*'BMP P Tracking Table'!$AA365-216.711*'BMP P Tracking Table'!$Z365-83.853*'BMP P Tracking Table'!$Y365-42.834*'BMP P Tracking Table'!$X365)+SQRT((3630*'BMP P Tracking Table'!$V365+20.691*'BMP P Tracking Table'!$AA365-216.711*'BMP P Tracking Table'!$Z365-83.853*'BMP P Tracking Table'!$Y365-42.834*'BMP P Tracking Table'!$X365)^2-(4*(149.919*'BMP P Tracking Table'!$X365+236.676*'BMP P Tracking Table'!$Y365+726*'BMP P Tracking Table'!$Z365+996.798*'BMP P Tracking Table'!$AA365)*-'BMP P Tracking Table'!$AC365)))/(2*(149.919*'BMP P Tracking Table'!$X365+236.676*'BMP P Tracking Table'!$Y365+726*'BMP P Tracking Table'!$Z365+996.798*'BMP P Tracking Table'!$AA365))))),"")</f>
        <v/>
      </c>
      <c r="AG365" s="104" t="str">
        <f>IFERROR((VLOOKUP(CONCATENATE('BMP P Tracking Table'!$U365," ",'BMP P Tracking Table'!$AD365),'Performance Curves'!$C$1:$L$46,_xlfn.SINGLE(MATCH('BMP P Tracking Table'!$AF365,'Performance Curves'!$D$1:$L$1,1))+2,FALSE)-VLOOKUP(CONCATENATE('BMP P Tracking Table'!$U365," ",'BMP P Tracking Table'!$AD365),'Performance Curves'!$C$1:$L$46,_xlfn.SINGLE(MATCH('BMP P Tracking Table'!$AF365,'Performance Curves'!$D$1:$L$1,1))+1,FALSE)),"")</f>
        <v/>
      </c>
      <c r="AH365" s="104" t="str">
        <f>IFERROR(('BMP P Tracking Table'!$AF365-INDEX('Performance Curves'!$D$1:$L$1,1,MATCH('BMP P Tracking Table'!$AF365,'Performance Curves'!$D$1:$L$1,1)))/(INDEX('Performance Curves'!$D$1:$L$1,1,MATCH('BMP P Tracking Table'!$AF365,'Performance Curves'!$D$1:$L$1,1)+1)-INDEX('Performance Curves'!$D$1:$L$1,1,MATCH('BMP P Tracking Table'!$AF365,'Performance Curves'!$D$1:$L$1,1))),"")</f>
        <v/>
      </c>
      <c r="AI365" s="103" t="str">
        <f>IFERROR(IF('BMP P Tracking Table'!$AF365=2,VLOOKUP(CONCATENATE('BMP P Tracking Table'!$U365," ",'BMP P Tracking Table'!$AD365),'Performance Curves'!$C$1:$L$46,_xlfn.SINGLE(MATCH('BMP P Tracking Table'!$AF365,'Performance Curves'!$D$1:$L$1,1))+1,FALSE),'BMP P Tracking Table'!$AG365*'BMP P Tracking Table'!$AH365+VLOOKUP(CONCATENATE('BMP P Tracking Table'!$U365," ",'BMP P Tracking Table'!$AD365),'Performance Curves'!$C$1:$L$46,_xlfn.SINGLE(MATCH('BMP P Tracking Table'!$AF365,'Performance Curves'!$D$1:$L$1,1))+1,FALSE)),"")</f>
        <v/>
      </c>
      <c r="AJ365" s="104" t="str">
        <f>IFERROR('BMP P Tracking Table'!$AI365*'BMP P Tracking Table'!$AE365,"")</f>
        <v/>
      </c>
      <c r="AK365" s="65"/>
      <c r="AL365" s="98"/>
      <c r="AM365" s="98"/>
      <c r="AN365" s="64">
        <v>1</v>
      </c>
      <c r="AO365" s="102" t="str">
        <f t="shared" si="39"/>
        <v/>
      </c>
      <c r="AP365" s="98"/>
      <c r="AQ365" s="98"/>
      <c r="AR365" s="98"/>
      <c r="AS365" s="98"/>
      <c r="AT365" s="98"/>
      <c r="AU365" s="98"/>
      <c r="AV365" s="98"/>
      <c r="AW365" s="65"/>
      <c r="AX365" s="99"/>
      <c r="AY365" s="99"/>
      <c r="AZ365" s="104" t="str">
        <f>IF('BMP P Tracking Table'!$AL365="Yes",IF('BMP P Tracking Table'!$AM365="No",'BMP P Tracking Table'!$V365*VLOOKUP('BMP P Tracking Table'!$R365,'Loading Rates'!$B$1:$L$24,4,FALSE)+IF('BMP P Tracking Table'!$W365="By HSG",'BMP P Tracking Table'!$X365*VLOOKUP('BMP P Tracking Table'!$R365,'Loading Rates'!$B$1:$L$24,6,FALSE)+'BMP P Tracking Table'!$Y365*VLOOKUP('BMP P Tracking Table'!$R365,'Loading Rates'!$B$1:$L$24,7,FALSE)+'BMP P Tracking Table'!$Z365*VLOOKUP('BMP P Tracking Table'!$R365,'Loading Rates'!$B$1:$L$24,8,FALSE)+'BMP P Tracking Table'!$AA365*VLOOKUP('BMP P Tracking Table'!$R365,'Loading Rates'!$B$1:$L$24,9,FALSE),'BMP P Tracking Table'!$AB365*VLOOKUP('BMP P Tracking Table'!$R365,'Loading Rates'!$B$1:$L$24,10,FALSE)),'BMP P Tracking Table'!$AP365*VLOOKUP('BMP P Tracking Table'!$R365,'Loading Rates'!$B$1:$L$24,4,FALSE)+IF('BMP P Tracking Table'!$AQ365="By HSG",'BMP P Tracking Table'!$AR365*VLOOKUP('BMP P Tracking Table'!$R365,'Loading Rates'!$B$1:$L$24,6,FALSE)+'BMP P Tracking Table'!$AS365*VLOOKUP('BMP P Tracking Table'!$R365,'Loading Rates'!$B$1:$L$24,7,FALSE)+'BMP P Tracking Table'!$AT365*VLOOKUP('BMP P Tracking Table'!$R365,'Loading Rates'!$B$1:$L$24,8,FALSE)+'BMP P Tracking Table'!$AU365*VLOOKUP('BMP P Tracking Table'!$R365,'Loading Rates'!$B$1:$L$24,9,FALSE),'BMP P Tracking Table'!$AV365*VLOOKUP('BMP P Tracking Table'!$R365,'Loading Rates'!$B$1:$L$24,10,FALSE))),"")</f>
        <v/>
      </c>
      <c r="BA365" s="104" t="str">
        <f>IFERROR(IF('BMP P Tracking Table'!$AM365="Yes",MIN(2,IF('BMP P Tracking Table'!$AQ365="Total Pervious",(-(3630*'BMP P Tracking Table'!$AP365+20.691*'BMP P Tracking Table'!$AV365)+SQRT((3630*'BMP P Tracking Table'!$AP365+20.691*'BMP P Tracking Table'!$AV365)^2-(4*(996.798*'BMP P Tracking Table'!$AV365)*-'BMP P Tracking Table'!$AX365)))/(2*(996.798*'BMP P Tracking Table'!$AV365)),IF(SUM('BMP P Tracking Table'!$AR365:$AU365)=0,'BMP P Tracking Table'!$AV365/(-3630*'BMP P Tracking Table'!$AP365),(-(3630*'BMP P Tracking Table'!$AP365+20.691*'BMP P Tracking Table'!$AU365-216.711*'BMP P Tracking Table'!$AT365-83.853*'BMP P Tracking Table'!$AS365-42.834*'BMP P Tracking Table'!$AR365)+SQRT((3630*'BMP P Tracking Table'!$AP365+20.691*'BMP P Tracking Table'!$AU365-216.711*'BMP P Tracking Table'!$AT365-83.853*'BMP P Tracking Table'!$AS365-42.834*'BMP P Tracking Table'!$AR365)^2-(4*(149.919*'BMP P Tracking Table'!$AR365+236.676*'BMP P Tracking Table'!$AS365+726*'BMP P Tracking Table'!$AT365+996.798*'BMP P Tracking Table'!$AU365)*-'BMP P Tracking Table'!$AX365)))/(2*(149.919*'BMP P Tracking Table'!$AR365+236.676*'BMP P Tracking Table'!$AS365+726*'BMP P Tracking Table'!$AT365+996.798*'BMP P Tracking Table'!$AU365))))),MIN(2,IF('BMP P Tracking Table'!$AQ365="Total Pervious",(-(3630*'BMP P Tracking Table'!$V365+20.691*'BMP P Tracking Table'!$AB365)+SQRT((3630*'BMP P Tracking Table'!$V365+20.691*'BMP P Tracking Table'!$AB365)^2-(4*(996.798*'BMP P Tracking Table'!$AB365)*-'BMP P Tracking Table'!$AX365)))/(2*(996.798*'BMP P Tracking Table'!$AB365)),IF(SUM('BMP P Tracking Table'!$X365:$AA365)=0,'BMP P Tracking Table'!$AX365/(-3630*'BMP P Tracking Table'!$V365),(-(3630*'BMP P Tracking Table'!$V365+20.691*'BMP P Tracking Table'!$AA365-216.711*'BMP P Tracking Table'!$Z365-83.853*'BMP P Tracking Table'!$Y365-42.834*'BMP P Tracking Table'!$X365)+SQRT((3630*'BMP P Tracking Table'!$V365+20.691*'BMP P Tracking Table'!$AA365-216.711*'BMP P Tracking Table'!$Z365-83.853*'BMP P Tracking Table'!$Y365-42.834*'BMP P Tracking Table'!$X365)^2-(4*(149.919*'BMP P Tracking Table'!$X365+236.676*'BMP P Tracking Table'!$Y365+726*'BMP P Tracking Table'!$Z365+996.798*'BMP P Tracking Table'!$AA365)*-'BMP P Tracking Table'!$AX365)))/(2*(149.919*'BMP P Tracking Table'!$X365+236.676*'BMP P Tracking Table'!$Y365+726*'BMP P Tracking Table'!$Z365+996.798*'BMP P Tracking Table'!$AA365)))))),"")</f>
        <v/>
      </c>
      <c r="BB365" s="102" t="str">
        <f>IFERROR((VLOOKUP(CONCATENATE('BMP P Tracking Table'!$AW365," ",'BMP P Tracking Table'!$AY365),'Performance Curves'!$C$1:$L$46,_xlfn.SINGLE(MATCH('BMP P Tracking Table'!$BA365,'Performance Curves'!$D$1:$L$1,1))+2,FALSE)-VLOOKUP(CONCATENATE('BMP P Tracking Table'!$AW365," ",'BMP P Tracking Table'!$AY365),'Performance Curves'!$C$1:$L$46,_xlfn.SINGLE(MATCH('BMP P Tracking Table'!$BA365,'Performance Curves'!$D$1:$L$1,1))+1,FALSE)),"")</f>
        <v/>
      </c>
      <c r="BC365" s="102" t="str">
        <f>IFERROR(('BMP P Tracking Table'!$BA365-INDEX('Performance Curves'!$D$1:$L$1,1,MATCH('BMP P Tracking Table'!$BA365,'Performance Curves'!$D$1:$L$1,1)))/(INDEX('Performance Curves'!$D$1:$L$1,1,MATCH('BMP P Tracking Table'!$BA365,'Performance Curves'!$D$1:$L$1,1)+1)-INDEX('Performance Curves'!$D$1:$L$1,1,MATCH('BMP P Tracking Table'!$BA365,'Performance Curves'!$D$1:$L$1,1))),"")</f>
        <v/>
      </c>
      <c r="BD365" s="103" t="str" cm="1">
        <f t="array" ref="BD365">IFERROR(IF('BMP P Tracking Table'!$BA365=2,VLOOKUP(CONCATENATE('BMP P Tracking Table'!$AW365," ",'BMP P Tracking Table'!$AY365),'Performance Curves'!$C$1:$L$44,_xlfn.SINGLE(MATCH('BMP P Tracking Table'!$BA365,'Performance Curves'!$D$1:$L$1,1))+1,FALSE),'BMP P Tracking Table'!$BB365*'BMP P Tracking Table'!$BC365+VLOOKUP(CONCATENATE('BMP P Tracking Table'!$AW365," ",'BMP P Tracking Table'!$AY365),'Performance Curves'!$C$1:$L$44,_xlfn.SINGLE(MATCH('BMP P Tracking Table'!$BA365,'Performance Curves'!$D$1:$L$1,1))+1,FALSE)),"")</f>
        <v/>
      </c>
      <c r="BE365" s="104" t="str">
        <f>IFERROR('BMP P Tracking Table'!$BD365*'BMP P Tracking Table'!$AZ365,"")</f>
        <v/>
      </c>
      <c r="BF365" s="98"/>
      <c r="BG365" s="37">
        <f t="shared" si="40"/>
        <v>0</v>
      </c>
    </row>
    <row r="366" spans="2:59" s="36" customFormat="1">
      <c r="B366" s="65"/>
      <c r="C366" s="65"/>
      <c r="D366" s="65"/>
      <c r="E366" s="65"/>
      <c r="F366" s="94"/>
      <c r="G366" s="94"/>
      <c r="H366" s="65"/>
      <c r="I366" s="65"/>
      <c r="J366" s="65"/>
      <c r="K366" s="95"/>
      <c r="L366" s="65"/>
      <c r="M366" s="65"/>
      <c r="N366" s="65"/>
      <c r="O366" s="65"/>
      <c r="P366" s="65"/>
      <c r="Q366" s="65"/>
      <c r="R366" s="65" t="str">
        <f>IFERROR(VLOOKUP('BMP P Tracking Table'!$Q366,Dropdowns!$C$2:$E$15,3,FALSE),"")</f>
        <v/>
      </c>
      <c r="S366" s="65" t="str">
        <f>IFERROR(VLOOKUP('BMP P Tracking Table'!$R366,Dropdowns!$Q$3:$R$23,2,FALSE),"")</f>
        <v/>
      </c>
      <c r="T366" s="65"/>
      <c r="U366" s="65"/>
      <c r="V366" s="65"/>
      <c r="W366" s="65"/>
      <c r="X366" s="65"/>
      <c r="Y366" s="65"/>
      <c r="Z366" s="65"/>
      <c r="AA366" s="65"/>
      <c r="AB366" s="65"/>
      <c r="AC366" s="97"/>
      <c r="AD366" s="65"/>
      <c r="AE366" s="104" t="str">
        <f>IFERROR('BMP P Tracking Table'!$V366*VLOOKUP('BMP P Tracking Table'!$R366,'Loading Rates'!$B$1:$L$24,4,FALSE)+IF('BMP P Tracking Table'!$W366="By HSG",'BMP P Tracking Table'!$X366*VLOOKUP('BMP P Tracking Table'!$R366,'Loading Rates'!$B$1:$L$24,6,FALSE)+'BMP P Tracking Table'!$Y366*VLOOKUP('BMP P Tracking Table'!$R366,'Loading Rates'!$B$1:$L$24,7,FALSE)+'BMP P Tracking Table'!$Z366*VLOOKUP('BMP P Tracking Table'!$R366,'Loading Rates'!$B$1:$L$24,8,FALSE)+'BMP P Tracking Table'!$AA366*VLOOKUP('BMP P Tracking Table'!$R366,'Loading Rates'!$B$1:$L$24,9,FALSE),'BMP P Tracking Table'!$AB366*VLOOKUP('BMP P Tracking Table'!$R366,'Loading Rates'!$B$1:$L$24,10,FALSE)),"")</f>
        <v/>
      </c>
      <c r="AF366" s="104" t="str">
        <f>IFERROR(MIN(2,IF('BMP P Tracking Table'!$W366="Total Pervious",(-(3630*'BMP P Tracking Table'!$V366+20.691*'BMP P Tracking Table'!$AB366)+SQRT((3630*'BMP P Tracking Table'!$V366+20.691*'BMP P Tracking Table'!$AB366)^2-(4*(996.798*'BMP P Tracking Table'!$AB366)*-'BMP P Tracking Table'!$AC366)))/(2*(996.798*'BMP P Tracking Table'!$AB366)),IF(SUM('BMP P Tracking Table'!$X366:$AA366)=0,'BMP P Tracking Table'!$AC366/(-3630*'BMP P Tracking Table'!$V366),(-(3630*'BMP P Tracking Table'!$V366+20.691*'BMP P Tracking Table'!$AA366-216.711*'BMP P Tracking Table'!$Z366-83.853*'BMP P Tracking Table'!$Y366-42.834*'BMP P Tracking Table'!$X366)+SQRT((3630*'BMP P Tracking Table'!$V366+20.691*'BMP P Tracking Table'!$AA366-216.711*'BMP P Tracking Table'!$Z366-83.853*'BMP P Tracking Table'!$Y366-42.834*'BMP P Tracking Table'!$X366)^2-(4*(149.919*'BMP P Tracking Table'!$X366+236.676*'BMP P Tracking Table'!$Y366+726*'BMP P Tracking Table'!$Z366+996.798*'BMP P Tracking Table'!$AA366)*-'BMP P Tracking Table'!$AC366)))/(2*(149.919*'BMP P Tracking Table'!$X366+236.676*'BMP P Tracking Table'!$Y366+726*'BMP P Tracking Table'!$Z366+996.798*'BMP P Tracking Table'!$AA366))))),"")</f>
        <v/>
      </c>
      <c r="AG366" s="104" t="str">
        <f>IFERROR((VLOOKUP(CONCATENATE('BMP P Tracking Table'!$U366," ",'BMP P Tracking Table'!$AD366),'Performance Curves'!$C$1:$L$46,_xlfn.SINGLE(MATCH('BMP P Tracking Table'!$AF366,'Performance Curves'!$D$1:$L$1,1))+2,FALSE)-VLOOKUP(CONCATENATE('BMP P Tracking Table'!$U366," ",'BMP P Tracking Table'!$AD366),'Performance Curves'!$C$1:$L$46,_xlfn.SINGLE(MATCH('BMP P Tracking Table'!$AF366,'Performance Curves'!$D$1:$L$1,1))+1,FALSE)),"")</f>
        <v/>
      </c>
      <c r="AH366" s="104" t="str">
        <f>IFERROR(('BMP P Tracking Table'!$AF366-INDEX('Performance Curves'!$D$1:$L$1,1,MATCH('BMP P Tracking Table'!$AF366,'Performance Curves'!$D$1:$L$1,1)))/(INDEX('Performance Curves'!$D$1:$L$1,1,MATCH('BMP P Tracking Table'!$AF366,'Performance Curves'!$D$1:$L$1,1)+1)-INDEX('Performance Curves'!$D$1:$L$1,1,MATCH('BMP P Tracking Table'!$AF366,'Performance Curves'!$D$1:$L$1,1))),"")</f>
        <v/>
      </c>
      <c r="AI366" s="103" t="str">
        <f>IFERROR(IF('BMP P Tracking Table'!$AF366=2,VLOOKUP(CONCATENATE('BMP P Tracking Table'!$U366," ",'BMP P Tracking Table'!$AD366),'Performance Curves'!$C$1:$L$46,_xlfn.SINGLE(MATCH('BMP P Tracking Table'!$AF366,'Performance Curves'!$D$1:$L$1,1))+1,FALSE),'BMP P Tracking Table'!$AG366*'BMP P Tracking Table'!$AH366+VLOOKUP(CONCATENATE('BMP P Tracking Table'!$U366," ",'BMP P Tracking Table'!$AD366),'Performance Curves'!$C$1:$L$46,_xlfn.SINGLE(MATCH('BMP P Tracking Table'!$AF366,'Performance Curves'!$D$1:$L$1,1))+1,FALSE)),"")</f>
        <v/>
      </c>
      <c r="AJ366" s="104" t="str">
        <f>IFERROR('BMP P Tracking Table'!$AI366*'BMP P Tracking Table'!$AE366,"")</f>
        <v/>
      </c>
      <c r="AK366" s="65"/>
      <c r="AL366" s="98"/>
      <c r="AM366" s="98"/>
      <c r="AN366" s="64">
        <v>1</v>
      </c>
      <c r="AO366" s="102" t="str">
        <f t="shared" si="39"/>
        <v/>
      </c>
      <c r="AP366" s="98"/>
      <c r="AQ366" s="98"/>
      <c r="AR366" s="98"/>
      <c r="AS366" s="98"/>
      <c r="AT366" s="98"/>
      <c r="AU366" s="98"/>
      <c r="AV366" s="98"/>
      <c r="AW366" s="65"/>
      <c r="AX366" s="99"/>
      <c r="AY366" s="99"/>
      <c r="AZ366" s="104" t="str">
        <f>IF('BMP P Tracking Table'!$AL366="Yes",IF('BMP P Tracking Table'!$AM366="No",'BMP P Tracking Table'!$V366*VLOOKUP('BMP P Tracking Table'!$R366,'Loading Rates'!$B$1:$L$24,4,FALSE)+IF('BMP P Tracking Table'!$W366="By HSG",'BMP P Tracking Table'!$X366*VLOOKUP('BMP P Tracking Table'!$R366,'Loading Rates'!$B$1:$L$24,6,FALSE)+'BMP P Tracking Table'!$Y366*VLOOKUP('BMP P Tracking Table'!$R366,'Loading Rates'!$B$1:$L$24,7,FALSE)+'BMP P Tracking Table'!$Z366*VLOOKUP('BMP P Tracking Table'!$R366,'Loading Rates'!$B$1:$L$24,8,FALSE)+'BMP P Tracking Table'!$AA366*VLOOKUP('BMP P Tracking Table'!$R366,'Loading Rates'!$B$1:$L$24,9,FALSE),'BMP P Tracking Table'!$AB366*VLOOKUP('BMP P Tracking Table'!$R366,'Loading Rates'!$B$1:$L$24,10,FALSE)),'BMP P Tracking Table'!$AP366*VLOOKUP('BMP P Tracking Table'!$R366,'Loading Rates'!$B$1:$L$24,4,FALSE)+IF('BMP P Tracking Table'!$AQ366="By HSG",'BMP P Tracking Table'!$AR366*VLOOKUP('BMP P Tracking Table'!$R366,'Loading Rates'!$B$1:$L$24,6,FALSE)+'BMP P Tracking Table'!$AS366*VLOOKUP('BMP P Tracking Table'!$R366,'Loading Rates'!$B$1:$L$24,7,FALSE)+'BMP P Tracking Table'!$AT366*VLOOKUP('BMP P Tracking Table'!$R366,'Loading Rates'!$B$1:$L$24,8,FALSE)+'BMP P Tracking Table'!$AU366*VLOOKUP('BMP P Tracking Table'!$R366,'Loading Rates'!$B$1:$L$24,9,FALSE),'BMP P Tracking Table'!$AV366*VLOOKUP('BMP P Tracking Table'!$R366,'Loading Rates'!$B$1:$L$24,10,FALSE))),"")</f>
        <v/>
      </c>
      <c r="BA366" s="104" t="str">
        <f>IFERROR(IF('BMP P Tracking Table'!$AM366="Yes",MIN(2,IF('BMP P Tracking Table'!$AQ366="Total Pervious",(-(3630*'BMP P Tracking Table'!$AP366+20.691*'BMP P Tracking Table'!$AV366)+SQRT((3630*'BMP P Tracking Table'!$AP366+20.691*'BMP P Tracking Table'!$AV366)^2-(4*(996.798*'BMP P Tracking Table'!$AV366)*-'BMP P Tracking Table'!$AX366)))/(2*(996.798*'BMP P Tracking Table'!$AV366)),IF(SUM('BMP P Tracking Table'!$AR366:$AU366)=0,'BMP P Tracking Table'!$AV366/(-3630*'BMP P Tracking Table'!$AP366),(-(3630*'BMP P Tracking Table'!$AP366+20.691*'BMP P Tracking Table'!$AU366-216.711*'BMP P Tracking Table'!$AT366-83.853*'BMP P Tracking Table'!$AS366-42.834*'BMP P Tracking Table'!$AR366)+SQRT((3630*'BMP P Tracking Table'!$AP366+20.691*'BMP P Tracking Table'!$AU366-216.711*'BMP P Tracking Table'!$AT366-83.853*'BMP P Tracking Table'!$AS366-42.834*'BMP P Tracking Table'!$AR366)^2-(4*(149.919*'BMP P Tracking Table'!$AR366+236.676*'BMP P Tracking Table'!$AS366+726*'BMP P Tracking Table'!$AT366+996.798*'BMP P Tracking Table'!$AU366)*-'BMP P Tracking Table'!$AX366)))/(2*(149.919*'BMP P Tracking Table'!$AR366+236.676*'BMP P Tracking Table'!$AS366+726*'BMP P Tracking Table'!$AT366+996.798*'BMP P Tracking Table'!$AU366))))),MIN(2,IF('BMP P Tracking Table'!$AQ366="Total Pervious",(-(3630*'BMP P Tracking Table'!$V366+20.691*'BMP P Tracking Table'!$AB366)+SQRT((3630*'BMP P Tracking Table'!$V366+20.691*'BMP P Tracking Table'!$AB366)^2-(4*(996.798*'BMP P Tracking Table'!$AB366)*-'BMP P Tracking Table'!$AX366)))/(2*(996.798*'BMP P Tracking Table'!$AB366)),IF(SUM('BMP P Tracking Table'!$X366:$AA366)=0,'BMP P Tracking Table'!$AX366/(-3630*'BMP P Tracking Table'!$V366),(-(3630*'BMP P Tracking Table'!$V366+20.691*'BMP P Tracking Table'!$AA366-216.711*'BMP P Tracking Table'!$Z366-83.853*'BMP P Tracking Table'!$Y366-42.834*'BMP P Tracking Table'!$X366)+SQRT((3630*'BMP P Tracking Table'!$V366+20.691*'BMP P Tracking Table'!$AA366-216.711*'BMP P Tracking Table'!$Z366-83.853*'BMP P Tracking Table'!$Y366-42.834*'BMP P Tracking Table'!$X366)^2-(4*(149.919*'BMP P Tracking Table'!$X366+236.676*'BMP P Tracking Table'!$Y366+726*'BMP P Tracking Table'!$Z366+996.798*'BMP P Tracking Table'!$AA366)*-'BMP P Tracking Table'!$AX366)))/(2*(149.919*'BMP P Tracking Table'!$X366+236.676*'BMP P Tracking Table'!$Y366+726*'BMP P Tracking Table'!$Z366+996.798*'BMP P Tracking Table'!$AA366)))))),"")</f>
        <v/>
      </c>
      <c r="BB366" s="102" t="str">
        <f>IFERROR((VLOOKUP(CONCATENATE('BMP P Tracking Table'!$AW366," ",'BMP P Tracking Table'!$AY366),'Performance Curves'!$C$1:$L$46,_xlfn.SINGLE(MATCH('BMP P Tracking Table'!$BA366,'Performance Curves'!$D$1:$L$1,1))+2,FALSE)-VLOOKUP(CONCATENATE('BMP P Tracking Table'!$AW366," ",'BMP P Tracking Table'!$AY366),'Performance Curves'!$C$1:$L$46,_xlfn.SINGLE(MATCH('BMP P Tracking Table'!$BA366,'Performance Curves'!$D$1:$L$1,1))+1,FALSE)),"")</f>
        <v/>
      </c>
      <c r="BC366" s="102" t="str">
        <f>IFERROR(('BMP P Tracking Table'!$BA366-INDEX('Performance Curves'!$D$1:$L$1,1,MATCH('BMP P Tracking Table'!$BA366,'Performance Curves'!$D$1:$L$1,1)))/(INDEX('Performance Curves'!$D$1:$L$1,1,MATCH('BMP P Tracking Table'!$BA366,'Performance Curves'!$D$1:$L$1,1)+1)-INDEX('Performance Curves'!$D$1:$L$1,1,MATCH('BMP P Tracking Table'!$BA366,'Performance Curves'!$D$1:$L$1,1))),"")</f>
        <v/>
      </c>
      <c r="BD366" s="103" t="str" cm="1">
        <f t="array" ref="BD366">IFERROR(IF('BMP P Tracking Table'!$BA366=2,VLOOKUP(CONCATENATE('BMP P Tracking Table'!$AW366," ",'BMP P Tracking Table'!$AY366),'Performance Curves'!$C$1:$L$44,_xlfn.SINGLE(MATCH('BMP P Tracking Table'!$BA366,'Performance Curves'!$D$1:$L$1,1))+1,FALSE),'BMP P Tracking Table'!$BB366*'BMP P Tracking Table'!$BC366+VLOOKUP(CONCATENATE('BMP P Tracking Table'!$AW366," ",'BMP P Tracking Table'!$AY366),'Performance Curves'!$C$1:$L$44,_xlfn.SINGLE(MATCH('BMP P Tracking Table'!$BA366,'Performance Curves'!$D$1:$L$1,1))+1,FALSE)),"")</f>
        <v/>
      </c>
      <c r="BE366" s="104" t="str">
        <f>IFERROR('BMP P Tracking Table'!$BD366*'BMP P Tracking Table'!$AZ366,"")</f>
        <v/>
      </c>
      <c r="BF366" s="98"/>
      <c r="BG366" s="37">
        <f t="shared" si="40"/>
        <v>0</v>
      </c>
    </row>
    <row r="367" spans="2:59" s="36" customFormat="1">
      <c r="B367" s="65"/>
      <c r="C367" s="65"/>
      <c r="D367" s="65"/>
      <c r="E367" s="65"/>
      <c r="F367" s="94"/>
      <c r="G367" s="94"/>
      <c r="H367" s="65"/>
      <c r="I367" s="65"/>
      <c r="J367" s="65"/>
      <c r="K367" s="95"/>
      <c r="L367" s="65"/>
      <c r="M367" s="65"/>
      <c r="N367" s="65"/>
      <c r="O367" s="65"/>
      <c r="P367" s="65"/>
      <c r="Q367" s="65"/>
      <c r="R367" s="65" t="str">
        <f>IFERROR(VLOOKUP('BMP P Tracking Table'!$Q367,Dropdowns!$C$2:$E$15,3,FALSE),"")</f>
        <v/>
      </c>
      <c r="S367" s="65" t="str">
        <f>IFERROR(VLOOKUP('BMP P Tracking Table'!$R367,Dropdowns!$Q$3:$R$23,2,FALSE),"")</f>
        <v/>
      </c>
      <c r="T367" s="65"/>
      <c r="U367" s="65"/>
      <c r="V367" s="65"/>
      <c r="W367" s="65"/>
      <c r="X367" s="65"/>
      <c r="Y367" s="65"/>
      <c r="Z367" s="65"/>
      <c r="AA367" s="65"/>
      <c r="AB367" s="65"/>
      <c r="AC367" s="97"/>
      <c r="AD367" s="65"/>
      <c r="AE367" s="104" t="str">
        <f>IFERROR('BMP P Tracking Table'!$V367*VLOOKUP('BMP P Tracking Table'!$R367,'Loading Rates'!$B$1:$L$24,4,FALSE)+IF('BMP P Tracking Table'!$W367="By HSG",'BMP P Tracking Table'!$X367*VLOOKUP('BMP P Tracking Table'!$R367,'Loading Rates'!$B$1:$L$24,6,FALSE)+'BMP P Tracking Table'!$Y367*VLOOKUP('BMP P Tracking Table'!$R367,'Loading Rates'!$B$1:$L$24,7,FALSE)+'BMP P Tracking Table'!$Z367*VLOOKUP('BMP P Tracking Table'!$R367,'Loading Rates'!$B$1:$L$24,8,FALSE)+'BMP P Tracking Table'!$AA367*VLOOKUP('BMP P Tracking Table'!$R367,'Loading Rates'!$B$1:$L$24,9,FALSE),'BMP P Tracking Table'!$AB367*VLOOKUP('BMP P Tracking Table'!$R367,'Loading Rates'!$B$1:$L$24,10,FALSE)),"")</f>
        <v/>
      </c>
      <c r="AF367" s="104" t="str">
        <f>IFERROR(MIN(2,IF('BMP P Tracking Table'!$W367="Total Pervious",(-(3630*'BMP P Tracking Table'!$V367+20.691*'BMP P Tracking Table'!$AB367)+SQRT((3630*'BMP P Tracking Table'!$V367+20.691*'BMP P Tracking Table'!$AB367)^2-(4*(996.798*'BMP P Tracking Table'!$AB367)*-'BMP P Tracking Table'!$AC367)))/(2*(996.798*'BMP P Tracking Table'!$AB367)),IF(SUM('BMP P Tracking Table'!$X367:$AA367)=0,'BMP P Tracking Table'!$AC367/(-3630*'BMP P Tracking Table'!$V367),(-(3630*'BMP P Tracking Table'!$V367+20.691*'BMP P Tracking Table'!$AA367-216.711*'BMP P Tracking Table'!$Z367-83.853*'BMP P Tracking Table'!$Y367-42.834*'BMP P Tracking Table'!$X367)+SQRT((3630*'BMP P Tracking Table'!$V367+20.691*'BMP P Tracking Table'!$AA367-216.711*'BMP P Tracking Table'!$Z367-83.853*'BMP P Tracking Table'!$Y367-42.834*'BMP P Tracking Table'!$X367)^2-(4*(149.919*'BMP P Tracking Table'!$X367+236.676*'BMP P Tracking Table'!$Y367+726*'BMP P Tracking Table'!$Z367+996.798*'BMP P Tracking Table'!$AA367)*-'BMP P Tracking Table'!$AC367)))/(2*(149.919*'BMP P Tracking Table'!$X367+236.676*'BMP P Tracking Table'!$Y367+726*'BMP P Tracking Table'!$Z367+996.798*'BMP P Tracking Table'!$AA367))))),"")</f>
        <v/>
      </c>
      <c r="AG367" s="104" t="str">
        <f>IFERROR((VLOOKUP(CONCATENATE('BMP P Tracking Table'!$U367," ",'BMP P Tracking Table'!$AD367),'Performance Curves'!$C$1:$L$46,_xlfn.SINGLE(MATCH('BMP P Tracking Table'!$AF367,'Performance Curves'!$D$1:$L$1,1))+2,FALSE)-VLOOKUP(CONCATENATE('BMP P Tracking Table'!$U367," ",'BMP P Tracking Table'!$AD367),'Performance Curves'!$C$1:$L$46,_xlfn.SINGLE(MATCH('BMP P Tracking Table'!$AF367,'Performance Curves'!$D$1:$L$1,1))+1,FALSE)),"")</f>
        <v/>
      </c>
      <c r="AH367" s="104" t="str">
        <f>IFERROR(('BMP P Tracking Table'!$AF367-INDEX('Performance Curves'!$D$1:$L$1,1,MATCH('BMP P Tracking Table'!$AF367,'Performance Curves'!$D$1:$L$1,1)))/(INDEX('Performance Curves'!$D$1:$L$1,1,MATCH('BMP P Tracking Table'!$AF367,'Performance Curves'!$D$1:$L$1,1)+1)-INDEX('Performance Curves'!$D$1:$L$1,1,MATCH('BMP P Tracking Table'!$AF367,'Performance Curves'!$D$1:$L$1,1))),"")</f>
        <v/>
      </c>
      <c r="AI367" s="103" t="str">
        <f>IFERROR(IF('BMP P Tracking Table'!$AF367=2,VLOOKUP(CONCATENATE('BMP P Tracking Table'!$U367," ",'BMP P Tracking Table'!$AD367),'Performance Curves'!$C$1:$L$46,_xlfn.SINGLE(MATCH('BMP P Tracking Table'!$AF367,'Performance Curves'!$D$1:$L$1,1))+1,FALSE),'BMP P Tracking Table'!$AG367*'BMP P Tracking Table'!$AH367+VLOOKUP(CONCATENATE('BMP P Tracking Table'!$U367," ",'BMP P Tracking Table'!$AD367),'Performance Curves'!$C$1:$L$46,_xlfn.SINGLE(MATCH('BMP P Tracking Table'!$AF367,'Performance Curves'!$D$1:$L$1,1))+1,FALSE)),"")</f>
        <v/>
      </c>
      <c r="AJ367" s="104" t="str">
        <f>IFERROR('BMP P Tracking Table'!$AI367*'BMP P Tracking Table'!$AE367,"")</f>
        <v/>
      </c>
      <c r="AK367" s="65"/>
      <c r="AL367" s="98"/>
      <c r="AM367" s="98"/>
      <c r="AN367" s="64">
        <v>1</v>
      </c>
      <c r="AO367" s="102" t="str">
        <f t="shared" si="39"/>
        <v/>
      </c>
      <c r="AP367" s="98"/>
      <c r="AQ367" s="98"/>
      <c r="AR367" s="98"/>
      <c r="AS367" s="98"/>
      <c r="AT367" s="98"/>
      <c r="AU367" s="98"/>
      <c r="AV367" s="98"/>
      <c r="AW367" s="65"/>
      <c r="AX367" s="99"/>
      <c r="AY367" s="99"/>
      <c r="AZ367" s="104" t="str">
        <f>IF('BMP P Tracking Table'!$AL367="Yes",IF('BMP P Tracking Table'!$AM367="No",'BMP P Tracking Table'!$V367*VLOOKUP('BMP P Tracking Table'!$R367,'Loading Rates'!$B$1:$L$24,4,FALSE)+IF('BMP P Tracking Table'!$W367="By HSG",'BMP P Tracking Table'!$X367*VLOOKUP('BMP P Tracking Table'!$R367,'Loading Rates'!$B$1:$L$24,6,FALSE)+'BMP P Tracking Table'!$Y367*VLOOKUP('BMP P Tracking Table'!$R367,'Loading Rates'!$B$1:$L$24,7,FALSE)+'BMP P Tracking Table'!$Z367*VLOOKUP('BMP P Tracking Table'!$R367,'Loading Rates'!$B$1:$L$24,8,FALSE)+'BMP P Tracking Table'!$AA367*VLOOKUP('BMP P Tracking Table'!$R367,'Loading Rates'!$B$1:$L$24,9,FALSE),'BMP P Tracking Table'!$AB367*VLOOKUP('BMP P Tracking Table'!$R367,'Loading Rates'!$B$1:$L$24,10,FALSE)),'BMP P Tracking Table'!$AP367*VLOOKUP('BMP P Tracking Table'!$R367,'Loading Rates'!$B$1:$L$24,4,FALSE)+IF('BMP P Tracking Table'!$AQ367="By HSG",'BMP P Tracking Table'!$AR367*VLOOKUP('BMP P Tracking Table'!$R367,'Loading Rates'!$B$1:$L$24,6,FALSE)+'BMP P Tracking Table'!$AS367*VLOOKUP('BMP P Tracking Table'!$R367,'Loading Rates'!$B$1:$L$24,7,FALSE)+'BMP P Tracking Table'!$AT367*VLOOKUP('BMP P Tracking Table'!$R367,'Loading Rates'!$B$1:$L$24,8,FALSE)+'BMP P Tracking Table'!$AU367*VLOOKUP('BMP P Tracking Table'!$R367,'Loading Rates'!$B$1:$L$24,9,FALSE),'BMP P Tracking Table'!$AV367*VLOOKUP('BMP P Tracking Table'!$R367,'Loading Rates'!$B$1:$L$24,10,FALSE))),"")</f>
        <v/>
      </c>
      <c r="BA367" s="104" t="str">
        <f>IFERROR(IF('BMP P Tracking Table'!$AM367="Yes",MIN(2,IF('BMP P Tracking Table'!$AQ367="Total Pervious",(-(3630*'BMP P Tracking Table'!$AP367+20.691*'BMP P Tracking Table'!$AV367)+SQRT((3630*'BMP P Tracking Table'!$AP367+20.691*'BMP P Tracking Table'!$AV367)^2-(4*(996.798*'BMP P Tracking Table'!$AV367)*-'BMP P Tracking Table'!$AX367)))/(2*(996.798*'BMP P Tracking Table'!$AV367)),IF(SUM('BMP P Tracking Table'!$AR367:$AU367)=0,'BMP P Tracking Table'!$AV367/(-3630*'BMP P Tracking Table'!$AP367),(-(3630*'BMP P Tracking Table'!$AP367+20.691*'BMP P Tracking Table'!$AU367-216.711*'BMP P Tracking Table'!$AT367-83.853*'BMP P Tracking Table'!$AS367-42.834*'BMP P Tracking Table'!$AR367)+SQRT((3630*'BMP P Tracking Table'!$AP367+20.691*'BMP P Tracking Table'!$AU367-216.711*'BMP P Tracking Table'!$AT367-83.853*'BMP P Tracking Table'!$AS367-42.834*'BMP P Tracking Table'!$AR367)^2-(4*(149.919*'BMP P Tracking Table'!$AR367+236.676*'BMP P Tracking Table'!$AS367+726*'BMP P Tracking Table'!$AT367+996.798*'BMP P Tracking Table'!$AU367)*-'BMP P Tracking Table'!$AX367)))/(2*(149.919*'BMP P Tracking Table'!$AR367+236.676*'BMP P Tracking Table'!$AS367+726*'BMP P Tracking Table'!$AT367+996.798*'BMP P Tracking Table'!$AU367))))),MIN(2,IF('BMP P Tracking Table'!$AQ367="Total Pervious",(-(3630*'BMP P Tracking Table'!$V367+20.691*'BMP P Tracking Table'!$AB367)+SQRT((3630*'BMP P Tracking Table'!$V367+20.691*'BMP P Tracking Table'!$AB367)^2-(4*(996.798*'BMP P Tracking Table'!$AB367)*-'BMP P Tracking Table'!$AX367)))/(2*(996.798*'BMP P Tracking Table'!$AB367)),IF(SUM('BMP P Tracking Table'!$X367:$AA367)=0,'BMP P Tracking Table'!$AX367/(-3630*'BMP P Tracking Table'!$V367),(-(3630*'BMP P Tracking Table'!$V367+20.691*'BMP P Tracking Table'!$AA367-216.711*'BMP P Tracking Table'!$Z367-83.853*'BMP P Tracking Table'!$Y367-42.834*'BMP P Tracking Table'!$X367)+SQRT((3630*'BMP P Tracking Table'!$V367+20.691*'BMP P Tracking Table'!$AA367-216.711*'BMP P Tracking Table'!$Z367-83.853*'BMP P Tracking Table'!$Y367-42.834*'BMP P Tracking Table'!$X367)^2-(4*(149.919*'BMP P Tracking Table'!$X367+236.676*'BMP P Tracking Table'!$Y367+726*'BMP P Tracking Table'!$Z367+996.798*'BMP P Tracking Table'!$AA367)*-'BMP P Tracking Table'!$AX367)))/(2*(149.919*'BMP P Tracking Table'!$X367+236.676*'BMP P Tracking Table'!$Y367+726*'BMP P Tracking Table'!$Z367+996.798*'BMP P Tracking Table'!$AA367)))))),"")</f>
        <v/>
      </c>
      <c r="BB367" s="102" t="str">
        <f>IFERROR((VLOOKUP(CONCATENATE('BMP P Tracking Table'!$AW367," ",'BMP P Tracking Table'!$AY367),'Performance Curves'!$C$1:$L$46,_xlfn.SINGLE(MATCH('BMP P Tracking Table'!$BA367,'Performance Curves'!$D$1:$L$1,1))+2,FALSE)-VLOOKUP(CONCATENATE('BMP P Tracking Table'!$AW367," ",'BMP P Tracking Table'!$AY367),'Performance Curves'!$C$1:$L$46,_xlfn.SINGLE(MATCH('BMP P Tracking Table'!$BA367,'Performance Curves'!$D$1:$L$1,1))+1,FALSE)),"")</f>
        <v/>
      </c>
      <c r="BC367" s="102" t="str">
        <f>IFERROR(('BMP P Tracking Table'!$BA367-INDEX('Performance Curves'!$D$1:$L$1,1,MATCH('BMP P Tracking Table'!$BA367,'Performance Curves'!$D$1:$L$1,1)))/(INDEX('Performance Curves'!$D$1:$L$1,1,MATCH('BMP P Tracking Table'!$BA367,'Performance Curves'!$D$1:$L$1,1)+1)-INDEX('Performance Curves'!$D$1:$L$1,1,MATCH('BMP P Tracking Table'!$BA367,'Performance Curves'!$D$1:$L$1,1))),"")</f>
        <v/>
      </c>
      <c r="BD367" s="103" t="str" cm="1">
        <f t="array" ref="BD367">IFERROR(IF('BMP P Tracking Table'!$BA367=2,VLOOKUP(CONCATENATE('BMP P Tracking Table'!$AW367," ",'BMP P Tracking Table'!$AY367),'Performance Curves'!$C$1:$L$44,_xlfn.SINGLE(MATCH('BMP P Tracking Table'!$BA367,'Performance Curves'!$D$1:$L$1,1))+1,FALSE),'BMP P Tracking Table'!$BB367*'BMP P Tracking Table'!$BC367+VLOOKUP(CONCATENATE('BMP P Tracking Table'!$AW367," ",'BMP P Tracking Table'!$AY367),'Performance Curves'!$C$1:$L$44,_xlfn.SINGLE(MATCH('BMP P Tracking Table'!$BA367,'Performance Curves'!$D$1:$L$1,1))+1,FALSE)),"")</f>
        <v/>
      </c>
      <c r="BE367" s="104" t="str">
        <f>IFERROR('BMP P Tracking Table'!$BD367*'BMP P Tracking Table'!$AZ367,"")</f>
        <v/>
      </c>
      <c r="BF367" s="98"/>
      <c r="BG367" s="37">
        <f t="shared" si="40"/>
        <v>0</v>
      </c>
    </row>
    <row r="368" spans="2:59" s="36" customFormat="1">
      <c r="B368" s="65"/>
      <c r="C368" s="65"/>
      <c r="D368" s="65"/>
      <c r="E368" s="65"/>
      <c r="F368" s="94"/>
      <c r="G368" s="94"/>
      <c r="H368" s="65"/>
      <c r="I368" s="65"/>
      <c r="J368" s="65"/>
      <c r="K368" s="95"/>
      <c r="L368" s="65"/>
      <c r="M368" s="65"/>
      <c r="N368" s="65"/>
      <c r="O368" s="65"/>
      <c r="P368" s="65"/>
      <c r="Q368" s="65"/>
      <c r="R368" s="65" t="str">
        <f>IFERROR(VLOOKUP('BMP P Tracking Table'!$Q368,Dropdowns!$C$2:$E$15,3,FALSE),"")</f>
        <v/>
      </c>
      <c r="S368" s="65" t="str">
        <f>IFERROR(VLOOKUP('BMP P Tracking Table'!$R368,Dropdowns!$Q$3:$R$23,2,FALSE),"")</f>
        <v/>
      </c>
      <c r="T368" s="65"/>
      <c r="U368" s="65"/>
      <c r="V368" s="65"/>
      <c r="W368" s="65"/>
      <c r="X368" s="65"/>
      <c r="Y368" s="65"/>
      <c r="Z368" s="65"/>
      <c r="AA368" s="65"/>
      <c r="AB368" s="65"/>
      <c r="AC368" s="97"/>
      <c r="AD368" s="65"/>
      <c r="AE368" s="104" t="str">
        <f>IFERROR('BMP P Tracking Table'!$V368*VLOOKUP('BMP P Tracking Table'!$R368,'Loading Rates'!$B$1:$L$24,4,FALSE)+IF('BMP P Tracking Table'!$W368="By HSG",'BMP P Tracking Table'!$X368*VLOOKUP('BMP P Tracking Table'!$R368,'Loading Rates'!$B$1:$L$24,6,FALSE)+'BMP P Tracking Table'!$Y368*VLOOKUP('BMP P Tracking Table'!$R368,'Loading Rates'!$B$1:$L$24,7,FALSE)+'BMP P Tracking Table'!$Z368*VLOOKUP('BMP P Tracking Table'!$R368,'Loading Rates'!$B$1:$L$24,8,FALSE)+'BMP P Tracking Table'!$AA368*VLOOKUP('BMP P Tracking Table'!$R368,'Loading Rates'!$B$1:$L$24,9,FALSE),'BMP P Tracking Table'!$AB368*VLOOKUP('BMP P Tracking Table'!$R368,'Loading Rates'!$B$1:$L$24,10,FALSE)),"")</f>
        <v/>
      </c>
      <c r="AF368" s="104" t="str">
        <f>IFERROR(MIN(2,IF('BMP P Tracking Table'!$W368="Total Pervious",(-(3630*'BMP P Tracking Table'!$V368+20.691*'BMP P Tracking Table'!$AB368)+SQRT((3630*'BMP P Tracking Table'!$V368+20.691*'BMP P Tracking Table'!$AB368)^2-(4*(996.798*'BMP P Tracking Table'!$AB368)*-'BMP P Tracking Table'!$AC368)))/(2*(996.798*'BMP P Tracking Table'!$AB368)),IF(SUM('BMP P Tracking Table'!$X368:$AA368)=0,'BMP P Tracking Table'!$AC368/(-3630*'BMP P Tracking Table'!$V368),(-(3630*'BMP P Tracking Table'!$V368+20.691*'BMP P Tracking Table'!$AA368-216.711*'BMP P Tracking Table'!$Z368-83.853*'BMP P Tracking Table'!$Y368-42.834*'BMP P Tracking Table'!$X368)+SQRT((3630*'BMP P Tracking Table'!$V368+20.691*'BMP P Tracking Table'!$AA368-216.711*'BMP P Tracking Table'!$Z368-83.853*'BMP P Tracking Table'!$Y368-42.834*'BMP P Tracking Table'!$X368)^2-(4*(149.919*'BMP P Tracking Table'!$X368+236.676*'BMP P Tracking Table'!$Y368+726*'BMP P Tracking Table'!$Z368+996.798*'BMP P Tracking Table'!$AA368)*-'BMP P Tracking Table'!$AC368)))/(2*(149.919*'BMP P Tracking Table'!$X368+236.676*'BMP P Tracking Table'!$Y368+726*'BMP P Tracking Table'!$Z368+996.798*'BMP P Tracking Table'!$AA368))))),"")</f>
        <v/>
      </c>
      <c r="AG368" s="104" t="str">
        <f>IFERROR((VLOOKUP(CONCATENATE('BMP P Tracking Table'!$U368," ",'BMP P Tracking Table'!$AD368),'Performance Curves'!$C$1:$L$46,_xlfn.SINGLE(MATCH('BMP P Tracking Table'!$AF368,'Performance Curves'!$D$1:$L$1,1))+2,FALSE)-VLOOKUP(CONCATENATE('BMP P Tracking Table'!$U368," ",'BMP P Tracking Table'!$AD368),'Performance Curves'!$C$1:$L$46,_xlfn.SINGLE(MATCH('BMP P Tracking Table'!$AF368,'Performance Curves'!$D$1:$L$1,1))+1,FALSE)),"")</f>
        <v/>
      </c>
      <c r="AH368" s="104" t="str">
        <f>IFERROR(('BMP P Tracking Table'!$AF368-INDEX('Performance Curves'!$D$1:$L$1,1,MATCH('BMP P Tracking Table'!$AF368,'Performance Curves'!$D$1:$L$1,1)))/(INDEX('Performance Curves'!$D$1:$L$1,1,MATCH('BMP P Tracking Table'!$AF368,'Performance Curves'!$D$1:$L$1,1)+1)-INDEX('Performance Curves'!$D$1:$L$1,1,MATCH('BMP P Tracking Table'!$AF368,'Performance Curves'!$D$1:$L$1,1))),"")</f>
        <v/>
      </c>
      <c r="AI368" s="103" t="str">
        <f>IFERROR(IF('BMP P Tracking Table'!$AF368=2,VLOOKUP(CONCATENATE('BMP P Tracking Table'!$U368," ",'BMP P Tracking Table'!$AD368),'Performance Curves'!$C$1:$L$46,_xlfn.SINGLE(MATCH('BMP P Tracking Table'!$AF368,'Performance Curves'!$D$1:$L$1,1))+1,FALSE),'BMP P Tracking Table'!$AG368*'BMP P Tracking Table'!$AH368+VLOOKUP(CONCATENATE('BMP P Tracking Table'!$U368," ",'BMP P Tracking Table'!$AD368),'Performance Curves'!$C$1:$L$46,_xlfn.SINGLE(MATCH('BMP P Tracking Table'!$AF368,'Performance Curves'!$D$1:$L$1,1))+1,FALSE)),"")</f>
        <v/>
      </c>
      <c r="AJ368" s="104" t="str">
        <f>IFERROR('BMP P Tracking Table'!$AI368*'BMP P Tracking Table'!$AE368,"")</f>
        <v/>
      </c>
      <c r="AK368" s="65"/>
      <c r="AL368" s="98"/>
      <c r="AM368" s="98"/>
      <c r="AN368" s="64">
        <v>1</v>
      </c>
      <c r="AO368" s="102" t="str">
        <f t="shared" si="39"/>
        <v/>
      </c>
      <c r="AP368" s="98"/>
      <c r="AQ368" s="98"/>
      <c r="AR368" s="98"/>
      <c r="AS368" s="98"/>
      <c r="AT368" s="98"/>
      <c r="AU368" s="98"/>
      <c r="AV368" s="98"/>
      <c r="AW368" s="65"/>
      <c r="AX368" s="99"/>
      <c r="AY368" s="99"/>
      <c r="AZ368" s="104" t="str">
        <f>IF('BMP P Tracking Table'!$AL368="Yes",IF('BMP P Tracking Table'!$AM368="No",'BMP P Tracking Table'!$V368*VLOOKUP('BMP P Tracking Table'!$R368,'Loading Rates'!$B$1:$L$24,4,FALSE)+IF('BMP P Tracking Table'!$W368="By HSG",'BMP P Tracking Table'!$X368*VLOOKUP('BMP P Tracking Table'!$R368,'Loading Rates'!$B$1:$L$24,6,FALSE)+'BMP P Tracking Table'!$Y368*VLOOKUP('BMP P Tracking Table'!$R368,'Loading Rates'!$B$1:$L$24,7,FALSE)+'BMP P Tracking Table'!$Z368*VLOOKUP('BMP P Tracking Table'!$R368,'Loading Rates'!$B$1:$L$24,8,FALSE)+'BMP P Tracking Table'!$AA368*VLOOKUP('BMP P Tracking Table'!$R368,'Loading Rates'!$B$1:$L$24,9,FALSE),'BMP P Tracking Table'!$AB368*VLOOKUP('BMP P Tracking Table'!$R368,'Loading Rates'!$B$1:$L$24,10,FALSE)),'BMP P Tracking Table'!$AP368*VLOOKUP('BMP P Tracking Table'!$R368,'Loading Rates'!$B$1:$L$24,4,FALSE)+IF('BMP P Tracking Table'!$AQ368="By HSG",'BMP P Tracking Table'!$AR368*VLOOKUP('BMP P Tracking Table'!$R368,'Loading Rates'!$B$1:$L$24,6,FALSE)+'BMP P Tracking Table'!$AS368*VLOOKUP('BMP P Tracking Table'!$R368,'Loading Rates'!$B$1:$L$24,7,FALSE)+'BMP P Tracking Table'!$AT368*VLOOKUP('BMP P Tracking Table'!$R368,'Loading Rates'!$B$1:$L$24,8,FALSE)+'BMP P Tracking Table'!$AU368*VLOOKUP('BMP P Tracking Table'!$R368,'Loading Rates'!$B$1:$L$24,9,FALSE),'BMP P Tracking Table'!$AV368*VLOOKUP('BMP P Tracking Table'!$R368,'Loading Rates'!$B$1:$L$24,10,FALSE))),"")</f>
        <v/>
      </c>
      <c r="BA368" s="104" t="str">
        <f>IFERROR(IF('BMP P Tracking Table'!$AM368="Yes",MIN(2,IF('BMP P Tracking Table'!$AQ368="Total Pervious",(-(3630*'BMP P Tracking Table'!$AP368+20.691*'BMP P Tracking Table'!$AV368)+SQRT((3630*'BMP P Tracking Table'!$AP368+20.691*'BMP P Tracking Table'!$AV368)^2-(4*(996.798*'BMP P Tracking Table'!$AV368)*-'BMP P Tracking Table'!$AX368)))/(2*(996.798*'BMP P Tracking Table'!$AV368)),IF(SUM('BMP P Tracking Table'!$AR368:$AU368)=0,'BMP P Tracking Table'!$AV368/(-3630*'BMP P Tracking Table'!$AP368),(-(3630*'BMP P Tracking Table'!$AP368+20.691*'BMP P Tracking Table'!$AU368-216.711*'BMP P Tracking Table'!$AT368-83.853*'BMP P Tracking Table'!$AS368-42.834*'BMP P Tracking Table'!$AR368)+SQRT((3630*'BMP P Tracking Table'!$AP368+20.691*'BMP P Tracking Table'!$AU368-216.711*'BMP P Tracking Table'!$AT368-83.853*'BMP P Tracking Table'!$AS368-42.834*'BMP P Tracking Table'!$AR368)^2-(4*(149.919*'BMP P Tracking Table'!$AR368+236.676*'BMP P Tracking Table'!$AS368+726*'BMP P Tracking Table'!$AT368+996.798*'BMP P Tracking Table'!$AU368)*-'BMP P Tracking Table'!$AX368)))/(2*(149.919*'BMP P Tracking Table'!$AR368+236.676*'BMP P Tracking Table'!$AS368+726*'BMP P Tracking Table'!$AT368+996.798*'BMP P Tracking Table'!$AU368))))),MIN(2,IF('BMP P Tracking Table'!$AQ368="Total Pervious",(-(3630*'BMP P Tracking Table'!$V368+20.691*'BMP P Tracking Table'!$AB368)+SQRT((3630*'BMP P Tracking Table'!$V368+20.691*'BMP P Tracking Table'!$AB368)^2-(4*(996.798*'BMP P Tracking Table'!$AB368)*-'BMP P Tracking Table'!$AX368)))/(2*(996.798*'BMP P Tracking Table'!$AB368)),IF(SUM('BMP P Tracking Table'!$X368:$AA368)=0,'BMP P Tracking Table'!$AX368/(-3630*'BMP P Tracking Table'!$V368),(-(3630*'BMP P Tracking Table'!$V368+20.691*'BMP P Tracking Table'!$AA368-216.711*'BMP P Tracking Table'!$Z368-83.853*'BMP P Tracking Table'!$Y368-42.834*'BMP P Tracking Table'!$X368)+SQRT((3630*'BMP P Tracking Table'!$V368+20.691*'BMP P Tracking Table'!$AA368-216.711*'BMP P Tracking Table'!$Z368-83.853*'BMP P Tracking Table'!$Y368-42.834*'BMP P Tracking Table'!$X368)^2-(4*(149.919*'BMP P Tracking Table'!$X368+236.676*'BMP P Tracking Table'!$Y368+726*'BMP P Tracking Table'!$Z368+996.798*'BMP P Tracking Table'!$AA368)*-'BMP P Tracking Table'!$AX368)))/(2*(149.919*'BMP P Tracking Table'!$X368+236.676*'BMP P Tracking Table'!$Y368+726*'BMP P Tracking Table'!$Z368+996.798*'BMP P Tracking Table'!$AA368)))))),"")</f>
        <v/>
      </c>
      <c r="BB368" s="102" t="str">
        <f>IFERROR((VLOOKUP(CONCATENATE('BMP P Tracking Table'!$AW368," ",'BMP P Tracking Table'!$AY368),'Performance Curves'!$C$1:$L$46,_xlfn.SINGLE(MATCH('BMP P Tracking Table'!$BA368,'Performance Curves'!$D$1:$L$1,1))+2,FALSE)-VLOOKUP(CONCATENATE('BMP P Tracking Table'!$AW368," ",'BMP P Tracking Table'!$AY368),'Performance Curves'!$C$1:$L$46,_xlfn.SINGLE(MATCH('BMP P Tracking Table'!$BA368,'Performance Curves'!$D$1:$L$1,1))+1,FALSE)),"")</f>
        <v/>
      </c>
      <c r="BC368" s="102" t="str">
        <f>IFERROR(('BMP P Tracking Table'!$BA368-INDEX('Performance Curves'!$D$1:$L$1,1,MATCH('BMP P Tracking Table'!$BA368,'Performance Curves'!$D$1:$L$1,1)))/(INDEX('Performance Curves'!$D$1:$L$1,1,MATCH('BMP P Tracking Table'!$BA368,'Performance Curves'!$D$1:$L$1,1)+1)-INDEX('Performance Curves'!$D$1:$L$1,1,MATCH('BMP P Tracking Table'!$BA368,'Performance Curves'!$D$1:$L$1,1))),"")</f>
        <v/>
      </c>
      <c r="BD368" s="103" t="str" cm="1">
        <f t="array" ref="BD368">IFERROR(IF('BMP P Tracking Table'!$BA368=2,VLOOKUP(CONCATENATE('BMP P Tracking Table'!$AW368," ",'BMP P Tracking Table'!$AY368),'Performance Curves'!$C$1:$L$44,_xlfn.SINGLE(MATCH('BMP P Tracking Table'!$BA368,'Performance Curves'!$D$1:$L$1,1))+1,FALSE),'BMP P Tracking Table'!$BB368*'BMP P Tracking Table'!$BC368+VLOOKUP(CONCATENATE('BMP P Tracking Table'!$AW368," ",'BMP P Tracking Table'!$AY368),'Performance Curves'!$C$1:$L$44,_xlfn.SINGLE(MATCH('BMP P Tracking Table'!$BA368,'Performance Curves'!$D$1:$L$1,1))+1,FALSE)),"")</f>
        <v/>
      </c>
      <c r="BE368" s="104" t="str">
        <f>IFERROR('BMP P Tracking Table'!$BD368*'BMP P Tracking Table'!$AZ368,"")</f>
        <v/>
      </c>
      <c r="BF368" s="92"/>
      <c r="BG368" s="37">
        <f t="shared" si="40"/>
        <v>0</v>
      </c>
    </row>
    <row r="369" spans="2:59" s="36" customFormat="1">
      <c r="B369" s="65"/>
      <c r="C369" s="65"/>
      <c r="D369" s="65"/>
      <c r="E369" s="65"/>
      <c r="F369" s="94"/>
      <c r="G369" s="94"/>
      <c r="H369" s="65"/>
      <c r="I369" s="65"/>
      <c r="J369" s="65"/>
      <c r="K369" s="95"/>
      <c r="L369" s="65"/>
      <c r="M369" s="65"/>
      <c r="N369" s="65"/>
      <c r="O369" s="65"/>
      <c r="P369" s="65"/>
      <c r="Q369" s="65"/>
      <c r="R369" s="65" t="str">
        <f>IFERROR(VLOOKUP('BMP P Tracking Table'!$Q369,Dropdowns!$C$2:$E$15,3,FALSE),"")</f>
        <v/>
      </c>
      <c r="S369" s="65" t="str">
        <f>IFERROR(VLOOKUP('BMP P Tracking Table'!$R369,Dropdowns!$Q$3:$R$23,2,FALSE),"")</f>
        <v/>
      </c>
      <c r="T369" s="65"/>
      <c r="U369" s="65"/>
      <c r="V369" s="65"/>
      <c r="W369" s="65"/>
      <c r="X369" s="65"/>
      <c r="Y369" s="65"/>
      <c r="Z369" s="65"/>
      <c r="AA369" s="65"/>
      <c r="AB369" s="65"/>
      <c r="AC369" s="97"/>
      <c r="AD369" s="65"/>
      <c r="AE369" s="104" t="str">
        <f>IFERROR('BMP P Tracking Table'!$V369*VLOOKUP('BMP P Tracking Table'!$R369,'Loading Rates'!$B$1:$L$24,4,FALSE)+IF('BMP P Tracking Table'!$W369="By HSG",'BMP P Tracking Table'!$X369*VLOOKUP('BMP P Tracking Table'!$R369,'Loading Rates'!$B$1:$L$24,6,FALSE)+'BMP P Tracking Table'!$Y369*VLOOKUP('BMP P Tracking Table'!$R369,'Loading Rates'!$B$1:$L$24,7,FALSE)+'BMP P Tracking Table'!$Z369*VLOOKUP('BMP P Tracking Table'!$R369,'Loading Rates'!$B$1:$L$24,8,FALSE)+'BMP P Tracking Table'!$AA369*VLOOKUP('BMP P Tracking Table'!$R369,'Loading Rates'!$B$1:$L$24,9,FALSE),'BMP P Tracking Table'!$AB369*VLOOKUP('BMP P Tracking Table'!$R369,'Loading Rates'!$B$1:$L$24,10,FALSE)),"")</f>
        <v/>
      </c>
      <c r="AF369" s="104" t="str">
        <f>IFERROR(MIN(2,IF('BMP P Tracking Table'!$W369="Total Pervious",(-(3630*'BMP P Tracking Table'!$V369+20.691*'BMP P Tracking Table'!$AB369)+SQRT((3630*'BMP P Tracking Table'!$V369+20.691*'BMP P Tracking Table'!$AB369)^2-(4*(996.798*'BMP P Tracking Table'!$AB369)*-'BMP P Tracking Table'!$AC369)))/(2*(996.798*'BMP P Tracking Table'!$AB369)),IF(SUM('BMP P Tracking Table'!$X369:$AA369)=0,'BMP P Tracking Table'!$AC369/(-3630*'BMP P Tracking Table'!$V369),(-(3630*'BMP P Tracking Table'!$V369+20.691*'BMP P Tracking Table'!$AA369-216.711*'BMP P Tracking Table'!$Z369-83.853*'BMP P Tracking Table'!$Y369-42.834*'BMP P Tracking Table'!$X369)+SQRT((3630*'BMP P Tracking Table'!$V369+20.691*'BMP P Tracking Table'!$AA369-216.711*'BMP P Tracking Table'!$Z369-83.853*'BMP P Tracking Table'!$Y369-42.834*'BMP P Tracking Table'!$X369)^2-(4*(149.919*'BMP P Tracking Table'!$X369+236.676*'BMP P Tracking Table'!$Y369+726*'BMP P Tracking Table'!$Z369+996.798*'BMP P Tracking Table'!$AA369)*-'BMP P Tracking Table'!$AC369)))/(2*(149.919*'BMP P Tracking Table'!$X369+236.676*'BMP P Tracking Table'!$Y369+726*'BMP P Tracking Table'!$Z369+996.798*'BMP P Tracking Table'!$AA369))))),"")</f>
        <v/>
      </c>
      <c r="AG369" s="104" t="str">
        <f>IFERROR((VLOOKUP(CONCATENATE('BMP P Tracking Table'!$U369," ",'BMP P Tracking Table'!$AD369),'Performance Curves'!$C$1:$L$46,_xlfn.SINGLE(MATCH('BMP P Tracking Table'!$AF369,'Performance Curves'!$D$1:$L$1,1))+2,FALSE)-VLOOKUP(CONCATENATE('BMP P Tracking Table'!$U369," ",'BMP P Tracking Table'!$AD369),'Performance Curves'!$C$1:$L$46,_xlfn.SINGLE(MATCH('BMP P Tracking Table'!$AF369,'Performance Curves'!$D$1:$L$1,1))+1,FALSE)),"")</f>
        <v/>
      </c>
      <c r="AH369" s="104" t="str">
        <f>IFERROR(('BMP P Tracking Table'!$AF369-INDEX('Performance Curves'!$D$1:$L$1,1,MATCH('BMP P Tracking Table'!$AF369,'Performance Curves'!$D$1:$L$1,1)))/(INDEX('Performance Curves'!$D$1:$L$1,1,MATCH('BMP P Tracking Table'!$AF369,'Performance Curves'!$D$1:$L$1,1)+1)-INDEX('Performance Curves'!$D$1:$L$1,1,MATCH('BMP P Tracking Table'!$AF369,'Performance Curves'!$D$1:$L$1,1))),"")</f>
        <v/>
      </c>
      <c r="AI369" s="103" t="str">
        <f>IFERROR(IF('BMP P Tracking Table'!$AF369=2,VLOOKUP(CONCATENATE('BMP P Tracking Table'!$U369," ",'BMP P Tracking Table'!$AD369),'Performance Curves'!$C$1:$L$46,_xlfn.SINGLE(MATCH('BMP P Tracking Table'!$AF369,'Performance Curves'!$D$1:$L$1,1))+1,FALSE),'BMP P Tracking Table'!$AG369*'BMP P Tracking Table'!$AH369+VLOOKUP(CONCATENATE('BMP P Tracking Table'!$U369," ",'BMP P Tracking Table'!$AD369),'Performance Curves'!$C$1:$L$46,_xlfn.SINGLE(MATCH('BMP P Tracking Table'!$AF369,'Performance Curves'!$D$1:$L$1,1))+1,FALSE)),"")</f>
        <v/>
      </c>
      <c r="AJ369" s="104" t="str">
        <f>IFERROR('BMP P Tracking Table'!$AI369*'BMP P Tracking Table'!$AE369,"")</f>
        <v/>
      </c>
      <c r="AK369" s="65"/>
      <c r="AL369" s="98"/>
      <c r="AM369" s="98"/>
      <c r="AN369" s="64">
        <v>1</v>
      </c>
      <c r="AO369" s="102" t="str">
        <f t="shared" si="39"/>
        <v/>
      </c>
      <c r="AP369" s="98"/>
      <c r="AQ369" s="98"/>
      <c r="AR369" s="98"/>
      <c r="AS369" s="98"/>
      <c r="AT369" s="98"/>
      <c r="AU369" s="98"/>
      <c r="AV369" s="98"/>
      <c r="AW369" s="65"/>
      <c r="AX369" s="99"/>
      <c r="AY369" s="99"/>
      <c r="AZ369" s="104" t="str">
        <f>IF('BMP P Tracking Table'!$AL369="Yes",IF('BMP P Tracking Table'!$AM369="No",'BMP P Tracking Table'!$V369*VLOOKUP('BMP P Tracking Table'!$R369,'Loading Rates'!$B$1:$L$24,4,FALSE)+IF('BMP P Tracking Table'!$W369="By HSG",'BMP P Tracking Table'!$X369*VLOOKUP('BMP P Tracking Table'!$R369,'Loading Rates'!$B$1:$L$24,6,FALSE)+'BMP P Tracking Table'!$Y369*VLOOKUP('BMP P Tracking Table'!$R369,'Loading Rates'!$B$1:$L$24,7,FALSE)+'BMP P Tracking Table'!$Z369*VLOOKUP('BMP P Tracking Table'!$R369,'Loading Rates'!$B$1:$L$24,8,FALSE)+'BMP P Tracking Table'!$AA369*VLOOKUP('BMP P Tracking Table'!$R369,'Loading Rates'!$B$1:$L$24,9,FALSE),'BMP P Tracking Table'!$AB369*VLOOKUP('BMP P Tracking Table'!$R369,'Loading Rates'!$B$1:$L$24,10,FALSE)),'BMP P Tracking Table'!$AP369*VLOOKUP('BMP P Tracking Table'!$R369,'Loading Rates'!$B$1:$L$24,4,FALSE)+IF('BMP P Tracking Table'!$AQ369="By HSG",'BMP P Tracking Table'!$AR369*VLOOKUP('BMP P Tracking Table'!$R369,'Loading Rates'!$B$1:$L$24,6,FALSE)+'BMP P Tracking Table'!$AS369*VLOOKUP('BMP P Tracking Table'!$R369,'Loading Rates'!$B$1:$L$24,7,FALSE)+'BMP P Tracking Table'!$AT369*VLOOKUP('BMP P Tracking Table'!$R369,'Loading Rates'!$B$1:$L$24,8,FALSE)+'BMP P Tracking Table'!$AU369*VLOOKUP('BMP P Tracking Table'!$R369,'Loading Rates'!$B$1:$L$24,9,FALSE),'BMP P Tracking Table'!$AV369*VLOOKUP('BMP P Tracking Table'!$R369,'Loading Rates'!$B$1:$L$24,10,FALSE))),"")</f>
        <v/>
      </c>
      <c r="BA369" s="104" t="str">
        <f>IFERROR(IF('BMP P Tracking Table'!$AM369="Yes",MIN(2,IF('BMP P Tracking Table'!$AQ369="Total Pervious",(-(3630*'BMP P Tracking Table'!$AP369+20.691*'BMP P Tracking Table'!$AV369)+SQRT((3630*'BMP P Tracking Table'!$AP369+20.691*'BMP P Tracking Table'!$AV369)^2-(4*(996.798*'BMP P Tracking Table'!$AV369)*-'BMP P Tracking Table'!$AX369)))/(2*(996.798*'BMP P Tracking Table'!$AV369)),IF(SUM('BMP P Tracking Table'!$AR369:$AU369)=0,'BMP P Tracking Table'!$AV369/(-3630*'BMP P Tracking Table'!$AP369),(-(3630*'BMP P Tracking Table'!$AP369+20.691*'BMP P Tracking Table'!$AU369-216.711*'BMP P Tracking Table'!$AT369-83.853*'BMP P Tracking Table'!$AS369-42.834*'BMP P Tracking Table'!$AR369)+SQRT((3630*'BMP P Tracking Table'!$AP369+20.691*'BMP P Tracking Table'!$AU369-216.711*'BMP P Tracking Table'!$AT369-83.853*'BMP P Tracking Table'!$AS369-42.834*'BMP P Tracking Table'!$AR369)^2-(4*(149.919*'BMP P Tracking Table'!$AR369+236.676*'BMP P Tracking Table'!$AS369+726*'BMP P Tracking Table'!$AT369+996.798*'BMP P Tracking Table'!$AU369)*-'BMP P Tracking Table'!$AX369)))/(2*(149.919*'BMP P Tracking Table'!$AR369+236.676*'BMP P Tracking Table'!$AS369+726*'BMP P Tracking Table'!$AT369+996.798*'BMP P Tracking Table'!$AU369))))),MIN(2,IF('BMP P Tracking Table'!$AQ369="Total Pervious",(-(3630*'BMP P Tracking Table'!$V369+20.691*'BMP P Tracking Table'!$AB369)+SQRT((3630*'BMP P Tracking Table'!$V369+20.691*'BMP P Tracking Table'!$AB369)^2-(4*(996.798*'BMP P Tracking Table'!$AB369)*-'BMP P Tracking Table'!$AX369)))/(2*(996.798*'BMP P Tracking Table'!$AB369)),IF(SUM('BMP P Tracking Table'!$X369:$AA369)=0,'BMP P Tracking Table'!$AX369/(-3630*'BMP P Tracking Table'!$V369),(-(3630*'BMP P Tracking Table'!$V369+20.691*'BMP P Tracking Table'!$AA369-216.711*'BMP P Tracking Table'!$Z369-83.853*'BMP P Tracking Table'!$Y369-42.834*'BMP P Tracking Table'!$X369)+SQRT((3630*'BMP P Tracking Table'!$V369+20.691*'BMP P Tracking Table'!$AA369-216.711*'BMP P Tracking Table'!$Z369-83.853*'BMP P Tracking Table'!$Y369-42.834*'BMP P Tracking Table'!$X369)^2-(4*(149.919*'BMP P Tracking Table'!$X369+236.676*'BMP P Tracking Table'!$Y369+726*'BMP P Tracking Table'!$Z369+996.798*'BMP P Tracking Table'!$AA369)*-'BMP P Tracking Table'!$AX369)))/(2*(149.919*'BMP P Tracking Table'!$X369+236.676*'BMP P Tracking Table'!$Y369+726*'BMP P Tracking Table'!$Z369+996.798*'BMP P Tracking Table'!$AA369)))))),"")</f>
        <v/>
      </c>
      <c r="BB369" s="102" t="str">
        <f>IFERROR((VLOOKUP(CONCATENATE('BMP P Tracking Table'!$AW369," ",'BMP P Tracking Table'!$AY369),'Performance Curves'!$C$1:$L$46,_xlfn.SINGLE(MATCH('BMP P Tracking Table'!$BA369,'Performance Curves'!$D$1:$L$1,1))+2,FALSE)-VLOOKUP(CONCATENATE('BMP P Tracking Table'!$AW369," ",'BMP P Tracking Table'!$AY369),'Performance Curves'!$C$1:$L$46,_xlfn.SINGLE(MATCH('BMP P Tracking Table'!$BA369,'Performance Curves'!$D$1:$L$1,1))+1,FALSE)),"")</f>
        <v/>
      </c>
      <c r="BC369" s="102" t="str">
        <f>IFERROR(('BMP P Tracking Table'!$BA369-INDEX('Performance Curves'!$D$1:$L$1,1,MATCH('BMP P Tracking Table'!$BA369,'Performance Curves'!$D$1:$L$1,1)))/(INDEX('Performance Curves'!$D$1:$L$1,1,MATCH('BMP P Tracking Table'!$BA369,'Performance Curves'!$D$1:$L$1,1)+1)-INDEX('Performance Curves'!$D$1:$L$1,1,MATCH('BMP P Tracking Table'!$BA369,'Performance Curves'!$D$1:$L$1,1))),"")</f>
        <v/>
      </c>
      <c r="BD369" s="103" t="str" cm="1">
        <f t="array" ref="BD369">IFERROR(IF('BMP P Tracking Table'!$BA369=2,VLOOKUP(CONCATENATE('BMP P Tracking Table'!$AW369," ",'BMP P Tracking Table'!$AY369),'Performance Curves'!$C$1:$L$44,_xlfn.SINGLE(MATCH('BMP P Tracking Table'!$BA369,'Performance Curves'!$D$1:$L$1,1))+1,FALSE),'BMP P Tracking Table'!$BB369*'BMP P Tracking Table'!$BC369+VLOOKUP(CONCATENATE('BMP P Tracking Table'!$AW369," ",'BMP P Tracking Table'!$AY369),'Performance Curves'!$C$1:$L$44,_xlfn.SINGLE(MATCH('BMP P Tracking Table'!$BA369,'Performance Curves'!$D$1:$L$1,1))+1,FALSE)),"")</f>
        <v/>
      </c>
      <c r="BE369" s="104" t="str">
        <f>IFERROR('BMP P Tracking Table'!$BD369*'BMP P Tracking Table'!$AZ369,"")</f>
        <v/>
      </c>
      <c r="BF369" s="98"/>
      <c r="BG369" s="37">
        <f t="shared" si="40"/>
        <v>0</v>
      </c>
    </row>
    <row r="370" spans="2:59" s="36" customFormat="1">
      <c r="B370" s="65"/>
      <c r="C370" s="65"/>
      <c r="D370" s="65"/>
      <c r="E370" s="65"/>
      <c r="F370" s="94"/>
      <c r="G370" s="94"/>
      <c r="H370" s="65"/>
      <c r="I370" s="65"/>
      <c r="J370" s="65"/>
      <c r="K370" s="95"/>
      <c r="L370" s="65"/>
      <c r="M370" s="65"/>
      <c r="N370" s="65"/>
      <c r="O370" s="65"/>
      <c r="P370" s="65"/>
      <c r="Q370" s="65"/>
      <c r="R370" s="65" t="str">
        <f>IFERROR(VLOOKUP('BMP P Tracking Table'!$Q370,Dropdowns!$C$2:$E$15,3,FALSE),"")</f>
        <v/>
      </c>
      <c r="S370" s="65" t="str">
        <f>IFERROR(VLOOKUP('BMP P Tracking Table'!$R370,Dropdowns!$Q$3:$R$23,2,FALSE),"")</f>
        <v/>
      </c>
      <c r="T370" s="65"/>
      <c r="U370" s="65"/>
      <c r="V370" s="65"/>
      <c r="W370" s="65"/>
      <c r="X370" s="65"/>
      <c r="Y370" s="65"/>
      <c r="Z370" s="65"/>
      <c r="AA370" s="65"/>
      <c r="AB370" s="65"/>
      <c r="AC370" s="97"/>
      <c r="AD370" s="65"/>
      <c r="AE370" s="104" t="str">
        <f>IFERROR('BMP P Tracking Table'!$V370*VLOOKUP('BMP P Tracking Table'!$R370,'Loading Rates'!$B$1:$L$24,4,FALSE)+IF('BMP P Tracking Table'!$W370="By HSG",'BMP P Tracking Table'!$X370*VLOOKUP('BMP P Tracking Table'!$R370,'Loading Rates'!$B$1:$L$24,6,FALSE)+'BMP P Tracking Table'!$Y370*VLOOKUP('BMP P Tracking Table'!$R370,'Loading Rates'!$B$1:$L$24,7,FALSE)+'BMP P Tracking Table'!$Z370*VLOOKUP('BMP P Tracking Table'!$R370,'Loading Rates'!$B$1:$L$24,8,FALSE)+'BMP P Tracking Table'!$AA370*VLOOKUP('BMP P Tracking Table'!$R370,'Loading Rates'!$B$1:$L$24,9,FALSE),'BMP P Tracking Table'!$AB370*VLOOKUP('BMP P Tracking Table'!$R370,'Loading Rates'!$B$1:$L$24,10,FALSE)),"")</f>
        <v/>
      </c>
      <c r="AF370" s="104" t="str">
        <f>IFERROR(MIN(2,IF('BMP P Tracking Table'!$W370="Total Pervious",(-(3630*'BMP P Tracking Table'!$V370+20.691*'BMP P Tracking Table'!$AB370)+SQRT((3630*'BMP P Tracking Table'!$V370+20.691*'BMP P Tracking Table'!$AB370)^2-(4*(996.798*'BMP P Tracking Table'!$AB370)*-'BMP P Tracking Table'!$AC370)))/(2*(996.798*'BMP P Tracking Table'!$AB370)),IF(SUM('BMP P Tracking Table'!$X370:$AA370)=0,'BMP P Tracking Table'!$AC370/(-3630*'BMP P Tracking Table'!$V370),(-(3630*'BMP P Tracking Table'!$V370+20.691*'BMP P Tracking Table'!$AA370-216.711*'BMP P Tracking Table'!$Z370-83.853*'BMP P Tracking Table'!$Y370-42.834*'BMP P Tracking Table'!$X370)+SQRT((3630*'BMP P Tracking Table'!$V370+20.691*'BMP P Tracking Table'!$AA370-216.711*'BMP P Tracking Table'!$Z370-83.853*'BMP P Tracking Table'!$Y370-42.834*'BMP P Tracking Table'!$X370)^2-(4*(149.919*'BMP P Tracking Table'!$X370+236.676*'BMP P Tracking Table'!$Y370+726*'BMP P Tracking Table'!$Z370+996.798*'BMP P Tracking Table'!$AA370)*-'BMP P Tracking Table'!$AC370)))/(2*(149.919*'BMP P Tracking Table'!$X370+236.676*'BMP P Tracking Table'!$Y370+726*'BMP P Tracking Table'!$Z370+996.798*'BMP P Tracking Table'!$AA370))))),"")</f>
        <v/>
      </c>
      <c r="AG370" s="104" t="str">
        <f>IFERROR((VLOOKUP(CONCATENATE('BMP P Tracking Table'!$U370," ",'BMP P Tracking Table'!$AD370),'Performance Curves'!$C$1:$L$46,_xlfn.SINGLE(MATCH('BMP P Tracking Table'!$AF370,'Performance Curves'!$D$1:$L$1,1))+2,FALSE)-VLOOKUP(CONCATENATE('BMP P Tracking Table'!$U370," ",'BMP P Tracking Table'!$AD370),'Performance Curves'!$C$1:$L$46,_xlfn.SINGLE(MATCH('BMP P Tracking Table'!$AF370,'Performance Curves'!$D$1:$L$1,1))+1,FALSE)),"")</f>
        <v/>
      </c>
      <c r="AH370" s="104" t="str">
        <f>IFERROR(('BMP P Tracking Table'!$AF370-INDEX('Performance Curves'!$D$1:$L$1,1,MATCH('BMP P Tracking Table'!$AF370,'Performance Curves'!$D$1:$L$1,1)))/(INDEX('Performance Curves'!$D$1:$L$1,1,MATCH('BMP P Tracking Table'!$AF370,'Performance Curves'!$D$1:$L$1,1)+1)-INDEX('Performance Curves'!$D$1:$L$1,1,MATCH('BMP P Tracking Table'!$AF370,'Performance Curves'!$D$1:$L$1,1))),"")</f>
        <v/>
      </c>
      <c r="AI370" s="103" t="str">
        <f>IFERROR(IF('BMP P Tracking Table'!$AF370=2,VLOOKUP(CONCATENATE('BMP P Tracking Table'!$U370," ",'BMP P Tracking Table'!$AD370),'Performance Curves'!$C$1:$L$46,_xlfn.SINGLE(MATCH('BMP P Tracking Table'!$AF370,'Performance Curves'!$D$1:$L$1,1))+1,FALSE),'BMP P Tracking Table'!$AG370*'BMP P Tracking Table'!$AH370+VLOOKUP(CONCATENATE('BMP P Tracking Table'!$U370," ",'BMP P Tracking Table'!$AD370),'Performance Curves'!$C$1:$L$46,_xlfn.SINGLE(MATCH('BMP P Tracking Table'!$AF370,'Performance Curves'!$D$1:$L$1,1))+1,FALSE)),"")</f>
        <v/>
      </c>
      <c r="AJ370" s="104" t="str">
        <f>IFERROR('BMP P Tracking Table'!$AI370*'BMP P Tracking Table'!$AE370,"")</f>
        <v/>
      </c>
      <c r="AK370" s="65"/>
      <c r="AL370" s="98"/>
      <c r="AM370" s="98"/>
      <c r="AN370" s="64">
        <v>1</v>
      </c>
      <c r="AO370" s="102" t="str">
        <f t="shared" si="39"/>
        <v/>
      </c>
      <c r="AP370" s="98"/>
      <c r="AQ370" s="98"/>
      <c r="AR370" s="98"/>
      <c r="AS370" s="98"/>
      <c r="AT370" s="98"/>
      <c r="AU370" s="98"/>
      <c r="AV370" s="98"/>
      <c r="AW370" s="65"/>
      <c r="AX370" s="99"/>
      <c r="AY370" s="99"/>
      <c r="AZ370" s="104" t="str">
        <f>IF('BMP P Tracking Table'!$AL370="Yes",IF('BMP P Tracking Table'!$AM370="No",'BMP P Tracking Table'!$V370*VLOOKUP('BMP P Tracking Table'!$R370,'Loading Rates'!$B$1:$L$24,4,FALSE)+IF('BMP P Tracking Table'!$W370="By HSG",'BMP P Tracking Table'!$X370*VLOOKUP('BMP P Tracking Table'!$R370,'Loading Rates'!$B$1:$L$24,6,FALSE)+'BMP P Tracking Table'!$Y370*VLOOKUP('BMP P Tracking Table'!$R370,'Loading Rates'!$B$1:$L$24,7,FALSE)+'BMP P Tracking Table'!$Z370*VLOOKUP('BMP P Tracking Table'!$R370,'Loading Rates'!$B$1:$L$24,8,FALSE)+'BMP P Tracking Table'!$AA370*VLOOKUP('BMP P Tracking Table'!$R370,'Loading Rates'!$B$1:$L$24,9,FALSE),'BMP P Tracking Table'!$AB370*VLOOKUP('BMP P Tracking Table'!$R370,'Loading Rates'!$B$1:$L$24,10,FALSE)),'BMP P Tracking Table'!$AP370*VLOOKUP('BMP P Tracking Table'!$R370,'Loading Rates'!$B$1:$L$24,4,FALSE)+IF('BMP P Tracking Table'!$AQ370="By HSG",'BMP P Tracking Table'!$AR370*VLOOKUP('BMP P Tracking Table'!$R370,'Loading Rates'!$B$1:$L$24,6,FALSE)+'BMP P Tracking Table'!$AS370*VLOOKUP('BMP P Tracking Table'!$R370,'Loading Rates'!$B$1:$L$24,7,FALSE)+'BMP P Tracking Table'!$AT370*VLOOKUP('BMP P Tracking Table'!$R370,'Loading Rates'!$B$1:$L$24,8,FALSE)+'BMP P Tracking Table'!$AU370*VLOOKUP('BMP P Tracking Table'!$R370,'Loading Rates'!$B$1:$L$24,9,FALSE),'BMP P Tracking Table'!$AV370*VLOOKUP('BMP P Tracking Table'!$R370,'Loading Rates'!$B$1:$L$24,10,FALSE))),"")</f>
        <v/>
      </c>
      <c r="BA370" s="104" t="str">
        <f>IFERROR(IF('BMP P Tracking Table'!$AM370="Yes",MIN(2,IF('BMP P Tracking Table'!$AQ370="Total Pervious",(-(3630*'BMP P Tracking Table'!$AP370+20.691*'BMP P Tracking Table'!$AV370)+SQRT((3630*'BMP P Tracking Table'!$AP370+20.691*'BMP P Tracking Table'!$AV370)^2-(4*(996.798*'BMP P Tracking Table'!$AV370)*-'BMP P Tracking Table'!$AX370)))/(2*(996.798*'BMP P Tracking Table'!$AV370)),IF(SUM('BMP P Tracking Table'!$AR370:$AU370)=0,'BMP P Tracking Table'!$AV370/(-3630*'BMP P Tracking Table'!$AP370),(-(3630*'BMP P Tracking Table'!$AP370+20.691*'BMP P Tracking Table'!$AU370-216.711*'BMP P Tracking Table'!$AT370-83.853*'BMP P Tracking Table'!$AS370-42.834*'BMP P Tracking Table'!$AR370)+SQRT((3630*'BMP P Tracking Table'!$AP370+20.691*'BMP P Tracking Table'!$AU370-216.711*'BMP P Tracking Table'!$AT370-83.853*'BMP P Tracking Table'!$AS370-42.834*'BMP P Tracking Table'!$AR370)^2-(4*(149.919*'BMP P Tracking Table'!$AR370+236.676*'BMP P Tracking Table'!$AS370+726*'BMP P Tracking Table'!$AT370+996.798*'BMP P Tracking Table'!$AU370)*-'BMP P Tracking Table'!$AX370)))/(2*(149.919*'BMP P Tracking Table'!$AR370+236.676*'BMP P Tracking Table'!$AS370+726*'BMP P Tracking Table'!$AT370+996.798*'BMP P Tracking Table'!$AU370))))),MIN(2,IF('BMP P Tracking Table'!$AQ370="Total Pervious",(-(3630*'BMP P Tracking Table'!$V370+20.691*'BMP P Tracking Table'!$AB370)+SQRT((3630*'BMP P Tracking Table'!$V370+20.691*'BMP P Tracking Table'!$AB370)^2-(4*(996.798*'BMP P Tracking Table'!$AB370)*-'BMP P Tracking Table'!$AX370)))/(2*(996.798*'BMP P Tracking Table'!$AB370)),IF(SUM('BMP P Tracking Table'!$X370:$AA370)=0,'BMP P Tracking Table'!$AX370/(-3630*'BMP P Tracking Table'!$V370),(-(3630*'BMP P Tracking Table'!$V370+20.691*'BMP P Tracking Table'!$AA370-216.711*'BMP P Tracking Table'!$Z370-83.853*'BMP P Tracking Table'!$Y370-42.834*'BMP P Tracking Table'!$X370)+SQRT((3630*'BMP P Tracking Table'!$V370+20.691*'BMP P Tracking Table'!$AA370-216.711*'BMP P Tracking Table'!$Z370-83.853*'BMP P Tracking Table'!$Y370-42.834*'BMP P Tracking Table'!$X370)^2-(4*(149.919*'BMP P Tracking Table'!$X370+236.676*'BMP P Tracking Table'!$Y370+726*'BMP P Tracking Table'!$Z370+996.798*'BMP P Tracking Table'!$AA370)*-'BMP P Tracking Table'!$AX370)))/(2*(149.919*'BMP P Tracking Table'!$X370+236.676*'BMP P Tracking Table'!$Y370+726*'BMP P Tracking Table'!$Z370+996.798*'BMP P Tracking Table'!$AA370)))))),"")</f>
        <v/>
      </c>
      <c r="BB370" s="102" t="str">
        <f>IFERROR((VLOOKUP(CONCATENATE('BMP P Tracking Table'!$AW370," ",'BMP P Tracking Table'!$AY370),'Performance Curves'!$C$1:$L$46,_xlfn.SINGLE(MATCH('BMP P Tracking Table'!$BA370,'Performance Curves'!$D$1:$L$1,1))+2,FALSE)-VLOOKUP(CONCATENATE('BMP P Tracking Table'!$AW370," ",'BMP P Tracking Table'!$AY370),'Performance Curves'!$C$1:$L$46,_xlfn.SINGLE(MATCH('BMP P Tracking Table'!$BA370,'Performance Curves'!$D$1:$L$1,1))+1,FALSE)),"")</f>
        <v/>
      </c>
      <c r="BC370" s="102" t="str">
        <f>IFERROR(('BMP P Tracking Table'!$BA370-INDEX('Performance Curves'!$D$1:$L$1,1,MATCH('BMP P Tracking Table'!$BA370,'Performance Curves'!$D$1:$L$1,1)))/(INDEX('Performance Curves'!$D$1:$L$1,1,MATCH('BMP P Tracking Table'!$BA370,'Performance Curves'!$D$1:$L$1,1)+1)-INDEX('Performance Curves'!$D$1:$L$1,1,MATCH('BMP P Tracking Table'!$BA370,'Performance Curves'!$D$1:$L$1,1))),"")</f>
        <v/>
      </c>
      <c r="BD370" s="103" t="str" cm="1">
        <f t="array" ref="BD370">IFERROR(IF('BMP P Tracking Table'!$BA370=2,VLOOKUP(CONCATENATE('BMP P Tracking Table'!$AW370," ",'BMP P Tracking Table'!$AY370),'Performance Curves'!$C$1:$L$44,_xlfn.SINGLE(MATCH('BMP P Tracking Table'!$BA370,'Performance Curves'!$D$1:$L$1,1))+1,FALSE),'BMP P Tracking Table'!$BB370*'BMP P Tracking Table'!$BC370+VLOOKUP(CONCATENATE('BMP P Tracking Table'!$AW370," ",'BMP P Tracking Table'!$AY370),'Performance Curves'!$C$1:$L$44,_xlfn.SINGLE(MATCH('BMP P Tracking Table'!$BA370,'Performance Curves'!$D$1:$L$1,1))+1,FALSE)),"")</f>
        <v/>
      </c>
      <c r="BE370" s="104" t="str">
        <f>IFERROR('BMP P Tracking Table'!$BD370*'BMP P Tracking Table'!$AZ370,"")</f>
        <v/>
      </c>
      <c r="BF370" s="98"/>
      <c r="BG370" s="37">
        <f t="shared" si="40"/>
        <v>0</v>
      </c>
    </row>
    <row r="371" spans="2:59" s="36" customFormat="1">
      <c r="B371" s="65"/>
      <c r="C371" s="65"/>
      <c r="D371" s="65"/>
      <c r="E371" s="65"/>
      <c r="F371" s="94"/>
      <c r="G371" s="94"/>
      <c r="H371" s="65"/>
      <c r="I371" s="65"/>
      <c r="J371" s="65"/>
      <c r="K371" s="95"/>
      <c r="L371" s="65"/>
      <c r="M371" s="65"/>
      <c r="N371" s="65"/>
      <c r="O371" s="65"/>
      <c r="P371" s="65"/>
      <c r="Q371" s="65"/>
      <c r="R371" s="65" t="str">
        <f>IFERROR(VLOOKUP('BMP P Tracking Table'!$Q371,Dropdowns!$C$2:$E$15,3,FALSE),"")</f>
        <v/>
      </c>
      <c r="S371" s="65" t="str">
        <f>IFERROR(VLOOKUP('BMP P Tracking Table'!$R371,Dropdowns!$Q$3:$R$23,2,FALSE),"")</f>
        <v/>
      </c>
      <c r="T371" s="65"/>
      <c r="U371" s="65"/>
      <c r="V371" s="65"/>
      <c r="W371" s="65"/>
      <c r="X371" s="65"/>
      <c r="Y371" s="65"/>
      <c r="Z371" s="65"/>
      <c r="AA371" s="65"/>
      <c r="AB371" s="65"/>
      <c r="AC371" s="97"/>
      <c r="AD371" s="65"/>
      <c r="AE371" s="104" t="str">
        <f>IFERROR('BMP P Tracking Table'!$V371*VLOOKUP('BMP P Tracking Table'!$R371,'Loading Rates'!$B$1:$L$24,4,FALSE)+IF('BMP P Tracking Table'!$W371="By HSG",'BMP P Tracking Table'!$X371*VLOOKUP('BMP P Tracking Table'!$R371,'Loading Rates'!$B$1:$L$24,6,FALSE)+'BMP P Tracking Table'!$Y371*VLOOKUP('BMP P Tracking Table'!$R371,'Loading Rates'!$B$1:$L$24,7,FALSE)+'BMP P Tracking Table'!$Z371*VLOOKUP('BMP P Tracking Table'!$R371,'Loading Rates'!$B$1:$L$24,8,FALSE)+'BMP P Tracking Table'!$AA371*VLOOKUP('BMP P Tracking Table'!$R371,'Loading Rates'!$B$1:$L$24,9,FALSE),'BMP P Tracking Table'!$AB371*VLOOKUP('BMP P Tracking Table'!$R371,'Loading Rates'!$B$1:$L$24,10,FALSE)),"")</f>
        <v/>
      </c>
      <c r="AF371" s="104" t="str">
        <f>IFERROR(MIN(2,IF('BMP P Tracking Table'!$W371="Total Pervious",(-(3630*'BMP P Tracking Table'!$V371+20.691*'BMP P Tracking Table'!$AB371)+SQRT((3630*'BMP P Tracking Table'!$V371+20.691*'BMP P Tracking Table'!$AB371)^2-(4*(996.798*'BMP P Tracking Table'!$AB371)*-'BMP P Tracking Table'!$AC371)))/(2*(996.798*'BMP P Tracking Table'!$AB371)),IF(SUM('BMP P Tracking Table'!$X371:$AA371)=0,'BMP P Tracking Table'!$AC371/(-3630*'BMP P Tracking Table'!$V371),(-(3630*'BMP P Tracking Table'!$V371+20.691*'BMP P Tracking Table'!$AA371-216.711*'BMP P Tracking Table'!$Z371-83.853*'BMP P Tracking Table'!$Y371-42.834*'BMP P Tracking Table'!$X371)+SQRT((3630*'BMP P Tracking Table'!$V371+20.691*'BMP P Tracking Table'!$AA371-216.711*'BMP P Tracking Table'!$Z371-83.853*'BMP P Tracking Table'!$Y371-42.834*'BMP P Tracking Table'!$X371)^2-(4*(149.919*'BMP P Tracking Table'!$X371+236.676*'BMP P Tracking Table'!$Y371+726*'BMP P Tracking Table'!$Z371+996.798*'BMP P Tracking Table'!$AA371)*-'BMP P Tracking Table'!$AC371)))/(2*(149.919*'BMP P Tracking Table'!$X371+236.676*'BMP P Tracking Table'!$Y371+726*'BMP P Tracking Table'!$Z371+996.798*'BMP P Tracking Table'!$AA371))))),"")</f>
        <v/>
      </c>
      <c r="AG371" s="104" t="str">
        <f>IFERROR((VLOOKUP(CONCATENATE('BMP P Tracking Table'!$U371," ",'BMP P Tracking Table'!$AD371),'Performance Curves'!$C$1:$L$46,_xlfn.SINGLE(MATCH('BMP P Tracking Table'!$AF371,'Performance Curves'!$D$1:$L$1,1))+2,FALSE)-VLOOKUP(CONCATENATE('BMP P Tracking Table'!$U371," ",'BMP P Tracking Table'!$AD371),'Performance Curves'!$C$1:$L$46,_xlfn.SINGLE(MATCH('BMP P Tracking Table'!$AF371,'Performance Curves'!$D$1:$L$1,1))+1,FALSE)),"")</f>
        <v/>
      </c>
      <c r="AH371" s="104" t="str">
        <f>IFERROR(('BMP P Tracking Table'!$AF371-INDEX('Performance Curves'!$D$1:$L$1,1,MATCH('BMP P Tracking Table'!$AF371,'Performance Curves'!$D$1:$L$1,1)))/(INDEX('Performance Curves'!$D$1:$L$1,1,MATCH('BMP P Tracking Table'!$AF371,'Performance Curves'!$D$1:$L$1,1)+1)-INDEX('Performance Curves'!$D$1:$L$1,1,MATCH('BMP P Tracking Table'!$AF371,'Performance Curves'!$D$1:$L$1,1))),"")</f>
        <v/>
      </c>
      <c r="AI371" s="103" t="str">
        <f>IFERROR(IF('BMP P Tracking Table'!$AF371=2,VLOOKUP(CONCATENATE('BMP P Tracking Table'!$U371," ",'BMP P Tracking Table'!$AD371),'Performance Curves'!$C$1:$L$46,_xlfn.SINGLE(MATCH('BMP P Tracking Table'!$AF371,'Performance Curves'!$D$1:$L$1,1))+1,FALSE),'BMP P Tracking Table'!$AG371*'BMP P Tracking Table'!$AH371+VLOOKUP(CONCATENATE('BMP P Tracking Table'!$U371," ",'BMP P Tracking Table'!$AD371),'Performance Curves'!$C$1:$L$46,_xlfn.SINGLE(MATCH('BMP P Tracking Table'!$AF371,'Performance Curves'!$D$1:$L$1,1))+1,FALSE)),"")</f>
        <v/>
      </c>
      <c r="AJ371" s="104" t="str">
        <f>IFERROR('BMP P Tracking Table'!$AI371*'BMP P Tracking Table'!$AE371,"")</f>
        <v/>
      </c>
      <c r="AK371" s="65"/>
      <c r="AL371" s="98"/>
      <c r="AM371" s="98"/>
      <c r="AN371" s="64">
        <v>1</v>
      </c>
      <c r="AO371" s="102" t="str">
        <f t="shared" si="39"/>
        <v/>
      </c>
      <c r="AP371" s="98"/>
      <c r="AQ371" s="98"/>
      <c r="AR371" s="98"/>
      <c r="AS371" s="98"/>
      <c r="AT371" s="98"/>
      <c r="AU371" s="98"/>
      <c r="AV371" s="98"/>
      <c r="AW371" s="65"/>
      <c r="AX371" s="99"/>
      <c r="AY371" s="99"/>
      <c r="AZ371" s="104" t="str">
        <f>IF('BMP P Tracking Table'!$AL371="Yes",IF('BMP P Tracking Table'!$AM371="No",'BMP P Tracking Table'!$V371*VLOOKUP('BMP P Tracking Table'!$R371,'Loading Rates'!$B$1:$L$24,4,FALSE)+IF('BMP P Tracking Table'!$W371="By HSG",'BMP P Tracking Table'!$X371*VLOOKUP('BMP P Tracking Table'!$R371,'Loading Rates'!$B$1:$L$24,6,FALSE)+'BMP P Tracking Table'!$Y371*VLOOKUP('BMP P Tracking Table'!$R371,'Loading Rates'!$B$1:$L$24,7,FALSE)+'BMP P Tracking Table'!$Z371*VLOOKUP('BMP P Tracking Table'!$R371,'Loading Rates'!$B$1:$L$24,8,FALSE)+'BMP P Tracking Table'!$AA371*VLOOKUP('BMP P Tracking Table'!$R371,'Loading Rates'!$B$1:$L$24,9,FALSE),'BMP P Tracking Table'!$AB371*VLOOKUP('BMP P Tracking Table'!$R371,'Loading Rates'!$B$1:$L$24,10,FALSE)),'BMP P Tracking Table'!$AP371*VLOOKUP('BMP P Tracking Table'!$R371,'Loading Rates'!$B$1:$L$24,4,FALSE)+IF('BMP P Tracking Table'!$AQ371="By HSG",'BMP P Tracking Table'!$AR371*VLOOKUP('BMP P Tracking Table'!$R371,'Loading Rates'!$B$1:$L$24,6,FALSE)+'BMP P Tracking Table'!$AS371*VLOOKUP('BMP P Tracking Table'!$R371,'Loading Rates'!$B$1:$L$24,7,FALSE)+'BMP P Tracking Table'!$AT371*VLOOKUP('BMP P Tracking Table'!$R371,'Loading Rates'!$B$1:$L$24,8,FALSE)+'BMP P Tracking Table'!$AU371*VLOOKUP('BMP P Tracking Table'!$R371,'Loading Rates'!$B$1:$L$24,9,FALSE),'BMP P Tracking Table'!$AV371*VLOOKUP('BMP P Tracking Table'!$R371,'Loading Rates'!$B$1:$L$24,10,FALSE))),"")</f>
        <v/>
      </c>
      <c r="BA371" s="104" t="str">
        <f>IFERROR(IF('BMP P Tracking Table'!$AM371="Yes",MIN(2,IF('BMP P Tracking Table'!$AQ371="Total Pervious",(-(3630*'BMP P Tracking Table'!$AP371+20.691*'BMP P Tracking Table'!$AV371)+SQRT((3630*'BMP P Tracking Table'!$AP371+20.691*'BMP P Tracking Table'!$AV371)^2-(4*(996.798*'BMP P Tracking Table'!$AV371)*-'BMP P Tracking Table'!$AX371)))/(2*(996.798*'BMP P Tracking Table'!$AV371)),IF(SUM('BMP P Tracking Table'!$AR371:$AU371)=0,'BMP P Tracking Table'!$AV371/(-3630*'BMP P Tracking Table'!$AP371),(-(3630*'BMP P Tracking Table'!$AP371+20.691*'BMP P Tracking Table'!$AU371-216.711*'BMP P Tracking Table'!$AT371-83.853*'BMP P Tracking Table'!$AS371-42.834*'BMP P Tracking Table'!$AR371)+SQRT((3630*'BMP P Tracking Table'!$AP371+20.691*'BMP P Tracking Table'!$AU371-216.711*'BMP P Tracking Table'!$AT371-83.853*'BMP P Tracking Table'!$AS371-42.834*'BMP P Tracking Table'!$AR371)^2-(4*(149.919*'BMP P Tracking Table'!$AR371+236.676*'BMP P Tracking Table'!$AS371+726*'BMP P Tracking Table'!$AT371+996.798*'BMP P Tracking Table'!$AU371)*-'BMP P Tracking Table'!$AX371)))/(2*(149.919*'BMP P Tracking Table'!$AR371+236.676*'BMP P Tracking Table'!$AS371+726*'BMP P Tracking Table'!$AT371+996.798*'BMP P Tracking Table'!$AU371))))),MIN(2,IF('BMP P Tracking Table'!$AQ371="Total Pervious",(-(3630*'BMP P Tracking Table'!$V371+20.691*'BMP P Tracking Table'!$AB371)+SQRT((3630*'BMP P Tracking Table'!$V371+20.691*'BMP P Tracking Table'!$AB371)^2-(4*(996.798*'BMP P Tracking Table'!$AB371)*-'BMP P Tracking Table'!$AX371)))/(2*(996.798*'BMP P Tracking Table'!$AB371)),IF(SUM('BMP P Tracking Table'!$X371:$AA371)=0,'BMP P Tracking Table'!$AX371/(-3630*'BMP P Tracking Table'!$V371),(-(3630*'BMP P Tracking Table'!$V371+20.691*'BMP P Tracking Table'!$AA371-216.711*'BMP P Tracking Table'!$Z371-83.853*'BMP P Tracking Table'!$Y371-42.834*'BMP P Tracking Table'!$X371)+SQRT((3630*'BMP P Tracking Table'!$V371+20.691*'BMP P Tracking Table'!$AA371-216.711*'BMP P Tracking Table'!$Z371-83.853*'BMP P Tracking Table'!$Y371-42.834*'BMP P Tracking Table'!$X371)^2-(4*(149.919*'BMP P Tracking Table'!$X371+236.676*'BMP P Tracking Table'!$Y371+726*'BMP P Tracking Table'!$Z371+996.798*'BMP P Tracking Table'!$AA371)*-'BMP P Tracking Table'!$AX371)))/(2*(149.919*'BMP P Tracking Table'!$X371+236.676*'BMP P Tracking Table'!$Y371+726*'BMP P Tracking Table'!$Z371+996.798*'BMP P Tracking Table'!$AA371)))))),"")</f>
        <v/>
      </c>
      <c r="BB371" s="102" t="str">
        <f>IFERROR((VLOOKUP(CONCATENATE('BMP P Tracking Table'!$AW371," ",'BMP P Tracking Table'!$AY371),'Performance Curves'!$C$1:$L$46,_xlfn.SINGLE(MATCH('BMP P Tracking Table'!$BA371,'Performance Curves'!$D$1:$L$1,1))+2,FALSE)-VLOOKUP(CONCATENATE('BMP P Tracking Table'!$AW371," ",'BMP P Tracking Table'!$AY371),'Performance Curves'!$C$1:$L$46,_xlfn.SINGLE(MATCH('BMP P Tracking Table'!$BA371,'Performance Curves'!$D$1:$L$1,1))+1,FALSE)),"")</f>
        <v/>
      </c>
      <c r="BC371" s="102" t="str">
        <f>IFERROR(('BMP P Tracking Table'!$BA371-INDEX('Performance Curves'!$D$1:$L$1,1,MATCH('BMP P Tracking Table'!$BA371,'Performance Curves'!$D$1:$L$1,1)))/(INDEX('Performance Curves'!$D$1:$L$1,1,MATCH('BMP P Tracking Table'!$BA371,'Performance Curves'!$D$1:$L$1,1)+1)-INDEX('Performance Curves'!$D$1:$L$1,1,MATCH('BMP P Tracking Table'!$BA371,'Performance Curves'!$D$1:$L$1,1))),"")</f>
        <v/>
      </c>
      <c r="BD371" s="103" t="str" cm="1">
        <f t="array" ref="BD371">IFERROR(IF('BMP P Tracking Table'!$BA371=2,VLOOKUP(CONCATENATE('BMP P Tracking Table'!$AW371," ",'BMP P Tracking Table'!$AY371),'Performance Curves'!$C$1:$L$44,_xlfn.SINGLE(MATCH('BMP P Tracking Table'!$BA371,'Performance Curves'!$D$1:$L$1,1))+1,FALSE),'BMP P Tracking Table'!$BB371*'BMP P Tracking Table'!$BC371+VLOOKUP(CONCATENATE('BMP P Tracking Table'!$AW371," ",'BMP P Tracking Table'!$AY371),'Performance Curves'!$C$1:$L$44,_xlfn.SINGLE(MATCH('BMP P Tracking Table'!$BA371,'Performance Curves'!$D$1:$L$1,1))+1,FALSE)),"")</f>
        <v/>
      </c>
      <c r="BE371" s="104" t="str">
        <f>IFERROR('BMP P Tracking Table'!$BD371*'BMP P Tracking Table'!$AZ371,"")</f>
        <v/>
      </c>
      <c r="BF371" s="98"/>
      <c r="BG371" s="37">
        <f t="shared" si="40"/>
        <v>0</v>
      </c>
    </row>
    <row r="372" spans="2:59" s="36" customFormat="1">
      <c r="B372" s="65"/>
      <c r="C372" s="65"/>
      <c r="D372" s="65"/>
      <c r="E372" s="65"/>
      <c r="F372" s="94"/>
      <c r="G372" s="94"/>
      <c r="H372" s="65"/>
      <c r="I372" s="65"/>
      <c r="J372" s="65"/>
      <c r="K372" s="95"/>
      <c r="L372" s="65"/>
      <c r="M372" s="65"/>
      <c r="N372" s="65"/>
      <c r="O372" s="65"/>
      <c r="P372" s="65"/>
      <c r="Q372" s="65"/>
      <c r="R372" s="65" t="str">
        <f>IFERROR(VLOOKUP('BMP P Tracking Table'!$Q372,Dropdowns!$C$2:$E$15,3,FALSE),"")</f>
        <v/>
      </c>
      <c r="S372" s="65" t="str">
        <f>IFERROR(VLOOKUP('BMP P Tracking Table'!$R372,Dropdowns!$Q$3:$R$23,2,FALSE),"")</f>
        <v/>
      </c>
      <c r="T372" s="65"/>
      <c r="U372" s="65"/>
      <c r="V372" s="65"/>
      <c r="W372" s="65"/>
      <c r="X372" s="65"/>
      <c r="Y372" s="65"/>
      <c r="Z372" s="65"/>
      <c r="AA372" s="65"/>
      <c r="AB372" s="65"/>
      <c r="AC372" s="97"/>
      <c r="AD372" s="65"/>
      <c r="AE372" s="104" t="str">
        <f>IFERROR('BMP P Tracking Table'!$V372*VLOOKUP('BMP P Tracking Table'!$R372,'Loading Rates'!$B$1:$L$24,4,FALSE)+IF('BMP P Tracking Table'!$W372="By HSG",'BMP P Tracking Table'!$X372*VLOOKUP('BMP P Tracking Table'!$R372,'Loading Rates'!$B$1:$L$24,6,FALSE)+'BMP P Tracking Table'!$Y372*VLOOKUP('BMP P Tracking Table'!$R372,'Loading Rates'!$B$1:$L$24,7,FALSE)+'BMP P Tracking Table'!$Z372*VLOOKUP('BMP P Tracking Table'!$R372,'Loading Rates'!$B$1:$L$24,8,FALSE)+'BMP P Tracking Table'!$AA372*VLOOKUP('BMP P Tracking Table'!$R372,'Loading Rates'!$B$1:$L$24,9,FALSE),'BMP P Tracking Table'!$AB372*VLOOKUP('BMP P Tracking Table'!$R372,'Loading Rates'!$B$1:$L$24,10,FALSE)),"")</f>
        <v/>
      </c>
      <c r="AF372" s="104" t="str">
        <f>IFERROR(MIN(2,IF('BMP P Tracking Table'!$W372="Total Pervious",(-(3630*'BMP P Tracking Table'!$V372+20.691*'BMP P Tracking Table'!$AB372)+SQRT((3630*'BMP P Tracking Table'!$V372+20.691*'BMP P Tracking Table'!$AB372)^2-(4*(996.798*'BMP P Tracking Table'!$AB372)*-'BMP P Tracking Table'!$AC372)))/(2*(996.798*'BMP P Tracking Table'!$AB372)),IF(SUM('BMP P Tracking Table'!$X372:$AA372)=0,'BMP P Tracking Table'!$AC372/(-3630*'BMP P Tracking Table'!$V372),(-(3630*'BMP P Tracking Table'!$V372+20.691*'BMP P Tracking Table'!$AA372-216.711*'BMP P Tracking Table'!$Z372-83.853*'BMP P Tracking Table'!$Y372-42.834*'BMP P Tracking Table'!$X372)+SQRT((3630*'BMP P Tracking Table'!$V372+20.691*'BMP P Tracking Table'!$AA372-216.711*'BMP P Tracking Table'!$Z372-83.853*'BMP P Tracking Table'!$Y372-42.834*'BMP P Tracking Table'!$X372)^2-(4*(149.919*'BMP P Tracking Table'!$X372+236.676*'BMP P Tracking Table'!$Y372+726*'BMP P Tracking Table'!$Z372+996.798*'BMP P Tracking Table'!$AA372)*-'BMP P Tracking Table'!$AC372)))/(2*(149.919*'BMP P Tracking Table'!$X372+236.676*'BMP P Tracking Table'!$Y372+726*'BMP P Tracking Table'!$Z372+996.798*'BMP P Tracking Table'!$AA372))))),"")</f>
        <v/>
      </c>
      <c r="AG372" s="104" t="str">
        <f>IFERROR((VLOOKUP(CONCATENATE('BMP P Tracking Table'!$U372," ",'BMP P Tracking Table'!$AD372),'Performance Curves'!$C$1:$L$46,_xlfn.SINGLE(MATCH('BMP P Tracking Table'!$AF372,'Performance Curves'!$D$1:$L$1,1))+2,FALSE)-VLOOKUP(CONCATENATE('BMP P Tracking Table'!$U372," ",'BMP P Tracking Table'!$AD372),'Performance Curves'!$C$1:$L$46,_xlfn.SINGLE(MATCH('BMP P Tracking Table'!$AF372,'Performance Curves'!$D$1:$L$1,1))+1,FALSE)),"")</f>
        <v/>
      </c>
      <c r="AH372" s="104" t="str">
        <f>IFERROR(('BMP P Tracking Table'!$AF372-INDEX('Performance Curves'!$D$1:$L$1,1,MATCH('BMP P Tracking Table'!$AF372,'Performance Curves'!$D$1:$L$1,1)))/(INDEX('Performance Curves'!$D$1:$L$1,1,MATCH('BMP P Tracking Table'!$AF372,'Performance Curves'!$D$1:$L$1,1)+1)-INDEX('Performance Curves'!$D$1:$L$1,1,MATCH('BMP P Tracking Table'!$AF372,'Performance Curves'!$D$1:$L$1,1))),"")</f>
        <v/>
      </c>
      <c r="AI372" s="103" t="str">
        <f>IFERROR(IF('BMP P Tracking Table'!$AF372=2,VLOOKUP(CONCATENATE('BMP P Tracking Table'!$U372," ",'BMP P Tracking Table'!$AD372),'Performance Curves'!$C$1:$L$46,_xlfn.SINGLE(MATCH('BMP P Tracking Table'!$AF372,'Performance Curves'!$D$1:$L$1,1))+1,FALSE),'BMP P Tracking Table'!$AG372*'BMP P Tracking Table'!$AH372+VLOOKUP(CONCATENATE('BMP P Tracking Table'!$U372," ",'BMP P Tracking Table'!$AD372),'Performance Curves'!$C$1:$L$46,_xlfn.SINGLE(MATCH('BMP P Tracking Table'!$AF372,'Performance Curves'!$D$1:$L$1,1))+1,FALSE)),"")</f>
        <v/>
      </c>
      <c r="AJ372" s="104" t="str">
        <f>IFERROR('BMP P Tracking Table'!$AI372*'BMP P Tracking Table'!$AE372,"")</f>
        <v/>
      </c>
      <c r="AK372" s="65"/>
      <c r="AL372" s="98"/>
      <c r="AM372" s="98"/>
      <c r="AN372" s="64">
        <v>1</v>
      </c>
      <c r="AO372" s="102" t="str">
        <f t="shared" si="39"/>
        <v/>
      </c>
      <c r="AP372" s="98"/>
      <c r="AQ372" s="98"/>
      <c r="AR372" s="98"/>
      <c r="AS372" s="98"/>
      <c r="AT372" s="98"/>
      <c r="AU372" s="98"/>
      <c r="AV372" s="98"/>
      <c r="AW372" s="65"/>
      <c r="AX372" s="99"/>
      <c r="AY372" s="99"/>
      <c r="AZ372" s="104" t="str">
        <f>IF('BMP P Tracking Table'!$AL372="Yes",IF('BMP P Tracking Table'!$AM372="No",'BMP P Tracking Table'!$V372*VLOOKUP('BMP P Tracking Table'!$R372,'Loading Rates'!$B$1:$L$24,4,FALSE)+IF('BMP P Tracking Table'!$W372="By HSG",'BMP P Tracking Table'!$X372*VLOOKUP('BMP P Tracking Table'!$R372,'Loading Rates'!$B$1:$L$24,6,FALSE)+'BMP P Tracking Table'!$Y372*VLOOKUP('BMP P Tracking Table'!$R372,'Loading Rates'!$B$1:$L$24,7,FALSE)+'BMP P Tracking Table'!$Z372*VLOOKUP('BMP P Tracking Table'!$R372,'Loading Rates'!$B$1:$L$24,8,FALSE)+'BMP P Tracking Table'!$AA372*VLOOKUP('BMP P Tracking Table'!$R372,'Loading Rates'!$B$1:$L$24,9,FALSE),'BMP P Tracking Table'!$AB372*VLOOKUP('BMP P Tracking Table'!$R372,'Loading Rates'!$B$1:$L$24,10,FALSE)),'BMP P Tracking Table'!$AP372*VLOOKUP('BMP P Tracking Table'!$R372,'Loading Rates'!$B$1:$L$24,4,FALSE)+IF('BMP P Tracking Table'!$AQ372="By HSG",'BMP P Tracking Table'!$AR372*VLOOKUP('BMP P Tracking Table'!$R372,'Loading Rates'!$B$1:$L$24,6,FALSE)+'BMP P Tracking Table'!$AS372*VLOOKUP('BMP P Tracking Table'!$R372,'Loading Rates'!$B$1:$L$24,7,FALSE)+'BMP P Tracking Table'!$AT372*VLOOKUP('BMP P Tracking Table'!$R372,'Loading Rates'!$B$1:$L$24,8,FALSE)+'BMP P Tracking Table'!$AU372*VLOOKUP('BMP P Tracking Table'!$R372,'Loading Rates'!$B$1:$L$24,9,FALSE),'BMP P Tracking Table'!$AV372*VLOOKUP('BMP P Tracking Table'!$R372,'Loading Rates'!$B$1:$L$24,10,FALSE))),"")</f>
        <v/>
      </c>
      <c r="BA372" s="104" t="str">
        <f>IFERROR(IF('BMP P Tracking Table'!$AM372="Yes",MIN(2,IF('BMP P Tracking Table'!$AQ372="Total Pervious",(-(3630*'BMP P Tracking Table'!$AP372+20.691*'BMP P Tracking Table'!$AV372)+SQRT((3630*'BMP P Tracking Table'!$AP372+20.691*'BMP P Tracking Table'!$AV372)^2-(4*(996.798*'BMP P Tracking Table'!$AV372)*-'BMP P Tracking Table'!$AX372)))/(2*(996.798*'BMP P Tracking Table'!$AV372)),IF(SUM('BMP P Tracking Table'!$AR372:$AU372)=0,'BMP P Tracking Table'!$AV372/(-3630*'BMP P Tracking Table'!$AP372),(-(3630*'BMP P Tracking Table'!$AP372+20.691*'BMP P Tracking Table'!$AU372-216.711*'BMP P Tracking Table'!$AT372-83.853*'BMP P Tracking Table'!$AS372-42.834*'BMP P Tracking Table'!$AR372)+SQRT((3630*'BMP P Tracking Table'!$AP372+20.691*'BMP P Tracking Table'!$AU372-216.711*'BMP P Tracking Table'!$AT372-83.853*'BMP P Tracking Table'!$AS372-42.834*'BMP P Tracking Table'!$AR372)^2-(4*(149.919*'BMP P Tracking Table'!$AR372+236.676*'BMP P Tracking Table'!$AS372+726*'BMP P Tracking Table'!$AT372+996.798*'BMP P Tracking Table'!$AU372)*-'BMP P Tracking Table'!$AX372)))/(2*(149.919*'BMP P Tracking Table'!$AR372+236.676*'BMP P Tracking Table'!$AS372+726*'BMP P Tracking Table'!$AT372+996.798*'BMP P Tracking Table'!$AU372))))),MIN(2,IF('BMP P Tracking Table'!$AQ372="Total Pervious",(-(3630*'BMP P Tracking Table'!$V372+20.691*'BMP P Tracking Table'!$AB372)+SQRT((3630*'BMP P Tracking Table'!$V372+20.691*'BMP P Tracking Table'!$AB372)^2-(4*(996.798*'BMP P Tracking Table'!$AB372)*-'BMP P Tracking Table'!$AX372)))/(2*(996.798*'BMP P Tracking Table'!$AB372)),IF(SUM('BMP P Tracking Table'!$X372:$AA372)=0,'BMP P Tracking Table'!$AX372/(-3630*'BMP P Tracking Table'!$V372),(-(3630*'BMP P Tracking Table'!$V372+20.691*'BMP P Tracking Table'!$AA372-216.711*'BMP P Tracking Table'!$Z372-83.853*'BMP P Tracking Table'!$Y372-42.834*'BMP P Tracking Table'!$X372)+SQRT((3630*'BMP P Tracking Table'!$V372+20.691*'BMP P Tracking Table'!$AA372-216.711*'BMP P Tracking Table'!$Z372-83.853*'BMP P Tracking Table'!$Y372-42.834*'BMP P Tracking Table'!$X372)^2-(4*(149.919*'BMP P Tracking Table'!$X372+236.676*'BMP P Tracking Table'!$Y372+726*'BMP P Tracking Table'!$Z372+996.798*'BMP P Tracking Table'!$AA372)*-'BMP P Tracking Table'!$AX372)))/(2*(149.919*'BMP P Tracking Table'!$X372+236.676*'BMP P Tracking Table'!$Y372+726*'BMP P Tracking Table'!$Z372+996.798*'BMP P Tracking Table'!$AA372)))))),"")</f>
        <v/>
      </c>
      <c r="BB372" s="102" t="str">
        <f>IFERROR((VLOOKUP(CONCATENATE('BMP P Tracking Table'!$AW372," ",'BMP P Tracking Table'!$AY372),'Performance Curves'!$C$1:$L$46,_xlfn.SINGLE(MATCH('BMP P Tracking Table'!$BA372,'Performance Curves'!$D$1:$L$1,1))+2,FALSE)-VLOOKUP(CONCATENATE('BMP P Tracking Table'!$AW372," ",'BMP P Tracking Table'!$AY372),'Performance Curves'!$C$1:$L$46,_xlfn.SINGLE(MATCH('BMP P Tracking Table'!$BA372,'Performance Curves'!$D$1:$L$1,1))+1,FALSE)),"")</f>
        <v/>
      </c>
      <c r="BC372" s="102" t="str">
        <f>IFERROR(('BMP P Tracking Table'!$BA372-INDEX('Performance Curves'!$D$1:$L$1,1,MATCH('BMP P Tracking Table'!$BA372,'Performance Curves'!$D$1:$L$1,1)))/(INDEX('Performance Curves'!$D$1:$L$1,1,MATCH('BMP P Tracking Table'!$BA372,'Performance Curves'!$D$1:$L$1,1)+1)-INDEX('Performance Curves'!$D$1:$L$1,1,MATCH('BMP P Tracking Table'!$BA372,'Performance Curves'!$D$1:$L$1,1))),"")</f>
        <v/>
      </c>
      <c r="BD372" s="103" t="str" cm="1">
        <f t="array" ref="BD372">IFERROR(IF('BMP P Tracking Table'!$BA372=2,VLOOKUP(CONCATENATE('BMP P Tracking Table'!$AW372," ",'BMP P Tracking Table'!$AY372),'Performance Curves'!$C$1:$L$44,_xlfn.SINGLE(MATCH('BMP P Tracking Table'!$BA372,'Performance Curves'!$D$1:$L$1,1))+1,FALSE),'BMP P Tracking Table'!$BB372*'BMP P Tracking Table'!$BC372+VLOOKUP(CONCATENATE('BMP P Tracking Table'!$AW372," ",'BMP P Tracking Table'!$AY372),'Performance Curves'!$C$1:$L$44,_xlfn.SINGLE(MATCH('BMP P Tracking Table'!$BA372,'Performance Curves'!$D$1:$L$1,1))+1,FALSE)),"")</f>
        <v/>
      </c>
      <c r="BE372" s="104" t="str">
        <f>IFERROR('BMP P Tracking Table'!$BD372*'BMP P Tracking Table'!$AZ372,"")</f>
        <v/>
      </c>
      <c r="BF372" s="98"/>
      <c r="BG372" s="37">
        <f t="shared" si="40"/>
        <v>0</v>
      </c>
    </row>
    <row r="373" spans="2:59" s="36" customFormat="1">
      <c r="B373" s="65"/>
      <c r="C373" s="65"/>
      <c r="D373" s="65"/>
      <c r="E373" s="65"/>
      <c r="F373" s="94"/>
      <c r="G373" s="94"/>
      <c r="H373" s="65"/>
      <c r="I373" s="65"/>
      <c r="J373" s="65"/>
      <c r="K373" s="95"/>
      <c r="L373" s="65"/>
      <c r="M373" s="65"/>
      <c r="N373" s="65"/>
      <c r="O373" s="65"/>
      <c r="P373" s="65"/>
      <c r="Q373" s="65"/>
      <c r="R373" s="65" t="str">
        <f>IFERROR(VLOOKUP('BMP P Tracking Table'!$Q373,Dropdowns!$C$2:$E$15,3,FALSE),"")</f>
        <v/>
      </c>
      <c r="S373" s="65" t="str">
        <f>IFERROR(VLOOKUP('BMP P Tracking Table'!$R373,Dropdowns!$Q$3:$R$23,2,FALSE),"")</f>
        <v/>
      </c>
      <c r="T373" s="65"/>
      <c r="U373" s="65"/>
      <c r="V373" s="65"/>
      <c r="W373" s="65"/>
      <c r="X373" s="65"/>
      <c r="Y373" s="65"/>
      <c r="Z373" s="65"/>
      <c r="AA373" s="65"/>
      <c r="AB373" s="65"/>
      <c r="AC373" s="97"/>
      <c r="AD373" s="65"/>
      <c r="AE373" s="104" t="str">
        <f>IFERROR('BMP P Tracking Table'!$V373*VLOOKUP('BMP P Tracking Table'!$R373,'Loading Rates'!$B$1:$L$24,4,FALSE)+IF('BMP P Tracking Table'!$W373="By HSG",'BMP P Tracking Table'!$X373*VLOOKUP('BMP P Tracking Table'!$R373,'Loading Rates'!$B$1:$L$24,6,FALSE)+'BMP P Tracking Table'!$Y373*VLOOKUP('BMP P Tracking Table'!$R373,'Loading Rates'!$B$1:$L$24,7,FALSE)+'BMP P Tracking Table'!$Z373*VLOOKUP('BMP P Tracking Table'!$R373,'Loading Rates'!$B$1:$L$24,8,FALSE)+'BMP P Tracking Table'!$AA373*VLOOKUP('BMP P Tracking Table'!$R373,'Loading Rates'!$B$1:$L$24,9,FALSE),'BMP P Tracking Table'!$AB373*VLOOKUP('BMP P Tracking Table'!$R373,'Loading Rates'!$B$1:$L$24,10,FALSE)),"")</f>
        <v/>
      </c>
      <c r="AF373" s="104" t="str">
        <f>IFERROR(MIN(2,IF('BMP P Tracking Table'!$W373="Total Pervious",(-(3630*'BMP P Tracking Table'!$V373+20.691*'BMP P Tracking Table'!$AB373)+SQRT((3630*'BMP P Tracking Table'!$V373+20.691*'BMP P Tracking Table'!$AB373)^2-(4*(996.798*'BMP P Tracking Table'!$AB373)*-'BMP P Tracking Table'!$AC373)))/(2*(996.798*'BMP P Tracking Table'!$AB373)),IF(SUM('BMP P Tracking Table'!$X373:$AA373)=0,'BMP P Tracking Table'!$AC373/(-3630*'BMP P Tracking Table'!$V373),(-(3630*'BMP P Tracking Table'!$V373+20.691*'BMP P Tracking Table'!$AA373-216.711*'BMP P Tracking Table'!$Z373-83.853*'BMP P Tracking Table'!$Y373-42.834*'BMP P Tracking Table'!$X373)+SQRT((3630*'BMP P Tracking Table'!$V373+20.691*'BMP P Tracking Table'!$AA373-216.711*'BMP P Tracking Table'!$Z373-83.853*'BMP P Tracking Table'!$Y373-42.834*'BMP P Tracking Table'!$X373)^2-(4*(149.919*'BMP P Tracking Table'!$X373+236.676*'BMP P Tracking Table'!$Y373+726*'BMP P Tracking Table'!$Z373+996.798*'BMP P Tracking Table'!$AA373)*-'BMP P Tracking Table'!$AC373)))/(2*(149.919*'BMP P Tracking Table'!$X373+236.676*'BMP P Tracking Table'!$Y373+726*'BMP P Tracking Table'!$Z373+996.798*'BMP P Tracking Table'!$AA373))))),"")</f>
        <v/>
      </c>
      <c r="AG373" s="104" t="str">
        <f>IFERROR((VLOOKUP(CONCATENATE('BMP P Tracking Table'!$U373," ",'BMP P Tracking Table'!$AD373),'Performance Curves'!$C$1:$L$46,_xlfn.SINGLE(MATCH('BMP P Tracking Table'!$AF373,'Performance Curves'!$D$1:$L$1,1))+2,FALSE)-VLOOKUP(CONCATENATE('BMP P Tracking Table'!$U373," ",'BMP P Tracking Table'!$AD373),'Performance Curves'!$C$1:$L$46,_xlfn.SINGLE(MATCH('BMP P Tracking Table'!$AF373,'Performance Curves'!$D$1:$L$1,1))+1,FALSE)),"")</f>
        <v/>
      </c>
      <c r="AH373" s="104" t="str">
        <f>IFERROR(('BMP P Tracking Table'!$AF373-INDEX('Performance Curves'!$D$1:$L$1,1,MATCH('BMP P Tracking Table'!$AF373,'Performance Curves'!$D$1:$L$1,1)))/(INDEX('Performance Curves'!$D$1:$L$1,1,MATCH('BMP P Tracking Table'!$AF373,'Performance Curves'!$D$1:$L$1,1)+1)-INDEX('Performance Curves'!$D$1:$L$1,1,MATCH('BMP P Tracking Table'!$AF373,'Performance Curves'!$D$1:$L$1,1))),"")</f>
        <v/>
      </c>
      <c r="AI373" s="103" t="str">
        <f>IFERROR(IF('BMP P Tracking Table'!$AF373=2,VLOOKUP(CONCATENATE('BMP P Tracking Table'!$U373," ",'BMP P Tracking Table'!$AD373),'Performance Curves'!$C$1:$L$46,_xlfn.SINGLE(MATCH('BMP P Tracking Table'!$AF373,'Performance Curves'!$D$1:$L$1,1))+1,FALSE),'BMP P Tracking Table'!$AG373*'BMP P Tracking Table'!$AH373+VLOOKUP(CONCATENATE('BMP P Tracking Table'!$U373," ",'BMP P Tracking Table'!$AD373),'Performance Curves'!$C$1:$L$46,_xlfn.SINGLE(MATCH('BMP P Tracking Table'!$AF373,'Performance Curves'!$D$1:$L$1,1))+1,FALSE)),"")</f>
        <v/>
      </c>
      <c r="AJ373" s="104" t="str">
        <f>IFERROR('BMP P Tracking Table'!$AI373*'BMP P Tracking Table'!$AE373,"")</f>
        <v/>
      </c>
      <c r="AK373" s="65"/>
      <c r="AL373" s="98"/>
      <c r="AM373" s="98"/>
      <c r="AN373" s="64">
        <v>1</v>
      </c>
      <c r="AO373" s="102" t="str">
        <f t="shared" si="39"/>
        <v/>
      </c>
      <c r="AP373" s="98"/>
      <c r="AQ373" s="98"/>
      <c r="AR373" s="98"/>
      <c r="AS373" s="98"/>
      <c r="AT373" s="98"/>
      <c r="AU373" s="98"/>
      <c r="AV373" s="98"/>
      <c r="AW373" s="65"/>
      <c r="AX373" s="99"/>
      <c r="AY373" s="99"/>
      <c r="AZ373" s="104" t="str">
        <f>IF('BMP P Tracking Table'!$AL373="Yes",IF('BMP P Tracking Table'!$AM373="No",'BMP P Tracking Table'!$V373*VLOOKUP('BMP P Tracking Table'!$R373,'Loading Rates'!$B$1:$L$24,4,FALSE)+IF('BMP P Tracking Table'!$W373="By HSG",'BMP P Tracking Table'!$X373*VLOOKUP('BMP P Tracking Table'!$R373,'Loading Rates'!$B$1:$L$24,6,FALSE)+'BMP P Tracking Table'!$Y373*VLOOKUP('BMP P Tracking Table'!$R373,'Loading Rates'!$B$1:$L$24,7,FALSE)+'BMP P Tracking Table'!$Z373*VLOOKUP('BMP P Tracking Table'!$R373,'Loading Rates'!$B$1:$L$24,8,FALSE)+'BMP P Tracking Table'!$AA373*VLOOKUP('BMP P Tracking Table'!$R373,'Loading Rates'!$B$1:$L$24,9,FALSE),'BMP P Tracking Table'!$AB373*VLOOKUP('BMP P Tracking Table'!$R373,'Loading Rates'!$B$1:$L$24,10,FALSE)),'BMP P Tracking Table'!$AP373*VLOOKUP('BMP P Tracking Table'!$R373,'Loading Rates'!$B$1:$L$24,4,FALSE)+IF('BMP P Tracking Table'!$AQ373="By HSG",'BMP P Tracking Table'!$AR373*VLOOKUP('BMP P Tracking Table'!$R373,'Loading Rates'!$B$1:$L$24,6,FALSE)+'BMP P Tracking Table'!$AS373*VLOOKUP('BMP P Tracking Table'!$R373,'Loading Rates'!$B$1:$L$24,7,FALSE)+'BMP P Tracking Table'!$AT373*VLOOKUP('BMP P Tracking Table'!$R373,'Loading Rates'!$B$1:$L$24,8,FALSE)+'BMP P Tracking Table'!$AU373*VLOOKUP('BMP P Tracking Table'!$R373,'Loading Rates'!$B$1:$L$24,9,FALSE),'BMP P Tracking Table'!$AV373*VLOOKUP('BMP P Tracking Table'!$R373,'Loading Rates'!$B$1:$L$24,10,FALSE))),"")</f>
        <v/>
      </c>
      <c r="BA373" s="104" t="str">
        <f>IFERROR(IF('BMP P Tracking Table'!$AM373="Yes",MIN(2,IF('BMP P Tracking Table'!$AQ373="Total Pervious",(-(3630*'BMP P Tracking Table'!$AP373+20.691*'BMP P Tracking Table'!$AV373)+SQRT((3630*'BMP P Tracking Table'!$AP373+20.691*'BMP P Tracking Table'!$AV373)^2-(4*(996.798*'BMP P Tracking Table'!$AV373)*-'BMP P Tracking Table'!$AX373)))/(2*(996.798*'BMP P Tracking Table'!$AV373)),IF(SUM('BMP P Tracking Table'!$AR373:$AU373)=0,'BMP P Tracking Table'!$AV373/(-3630*'BMP P Tracking Table'!$AP373),(-(3630*'BMP P Tracking Table'!$AP373+20.691*'BMP P Tracking Table'!$AU373-216.711*'BMP P Tracking Table'!$AT373-83.853*'BMP P Tracking Table'!$AS373-42.834*'BMP P Tracking Table'!$AR373)+SQRT((3630*'BMP P Tracking Table'!$AP373+20.691*'BMP P Tracking Table'!$AU373-216.711*'BMP P Tracking Table'!$AT373-83.853*'BMP P Tracking Table'!$AS373-42.834*'BMP P Tracking Table'!$AR373)^2-(4*(149.919*'BMP P Tracking Table'!$AR373+236.676*'BMP P Tracking Table'!$AS373+726*'BMP P Tracking Table'!$AT373+996.798*'BMP P Tracking Table'!$AU373)*-'BMP P Tracking Table'!$AX373)))/(2*(149.919*'BMP P Tracking Table'!$AR373+236.676*'BMP P Tracking Table'!$AS373+726*'BMP P Tracking Table'!$AT373+996.798*'BMP P Tracking Table'!$AU373))))),MIN(2,IF('BMP P Tracking Table'!$AQ373="Total Pervious",(-(3630*'BMP P Tracking Table'!$V373+20.691*'BMP P Tracking Table'!$AB373)+SQRT((3630*'BMP P Tracking Table'!$V373+20.691*'BMP P Tracking Table'!$AB373)^2-(4*(996.798*'BMP P Tracking Table'!$AB373)*-'BMP P Tracking Table'!$AX373)))/(2*(996.798*'BMP P Tracking Table'!$AB373)),IF(SUM('BMP P Tracking Table'!$X373:$AA373)=0,'BMP P Tracking Table'!$AX373/(-3630*'BMP P Tracking Table'!$V373),(-(3630*'BMP P Tracking Table'!$V373+20.691*'BMP P Tracking Table'!$AA373-216.711*'BMP P Tracking Table'!$Z373-83.853*'BMP P Tracking Table'!$Y373-42.834*'BMP P Tracking Table'!$X373)+SQRT((3630*'BMP P Tracking Table'!$V373+20.691*'BMP P Tracking Table'!$AA373-216.711*'BMP P Tracking Table'!$Z373-83.853*'BMP P Tracking Table'!$Y373-42.834*'BMP P Tracking Table'!$X373)^2-(4*(149.919*'BMP P Tracking Table'!$X373+236.676*'BMP P Tracking Table'!$Y373+726*'BMP P Tracking Table'!$Z373+996.798*'BMP P Tracking Table'!$AA373)*-'BMP P Tracking Table'!$AX373)))/(2*(149.919*'BMP P Tracking Table'!$X373+236.676*'BMP P Tracking Table'!$Y373+726*'BMP P Tracking Table'!$Z373+996.798*'BMP P Tracking Table'!$AA373)))))),"")</f>
        <v/>
      </c>
      <c r="BB373" s="102" t="str">
        <f>IFERROR((VLOOKUP(CONCATENATE('BMP P Tracking Table'!$AW373," ",'BMP P Tracking Table'!$AY373),'Performance Curves'!$C$1:$L$46,_xlfn.SINGLE(MATCH('BMP P Tracking Table'!$BA373,'Performance Curves'!$D$1:$L$1,1))+2,FALSE)-VLOOKUP(CONCATENATE('BMP P Tracking Table'!$AW373," ",'BMP P Tracking Table'!$AY373),'Performance Curves'!$C$1:$L$46,_xlfn.SINGLE(MATCH('BMP P Tracking Table'!$BA373,'Performance Curves'!$D$1:$L$1,1))+1,FALSE)),"")</f>
        <v/>
      </c>
      <c r="BC373" s="102" t="str">
        <f>IFERROR(('BMP P Tracking Table'!$BA373-INDEX('Performance Curves'!$D$1:$L$1,1,MATCH('BMP P Tracking Table'!$BA373,'Performance Curves'!$D$1:$L$1,1)))/(INDEX('Performance Curves'!$D$1:$L$1,1,MATCH('BMP P Tracking Table'!$BA373,'Performance Curves'!$D$1:$L$1,1)+1)-INDEX('Performance Curves'!$D$1:$L$1,1,MATCH('BMP P Tracking Table'!$BA373,'Performance Curves'!$D$1:$L$1,1))),"")</f>
        <v/>
      </c>
      <c r="BD373" s="103" t="str" cm="1">
        <f t="array" ref="BD373">IFERROR(IF('BMP P Tracking Table'!$BA373=2,VLOOKUP(CONCATENATE('BMP P Tracking Table'!$AW373," ",'BMP P Tracking Table'!$AY373),'Performance Curves'!$C$1:$L$44,_xlfn.SINGLE(MATCH('BMP P Tracking Table'!$BA373,'Performance Curves'!$D$1:$L$1,1))+1,FALSE),'BMP P Tracking Table'!$BB373*'BMP P Tracking Table'!$BC373+VLOOKUP(CONCATENATE('BMP P Tracking Table'!$AW373," ",'BMP P Tracking Table'!$AY373),'Performance Curves'!$C$1:$L$44,_xlfn.SINGLE(MATCH('BMP P Tracking Table'!$BA373,'Performance Curves'!$D$1:$L$1,1))+1,FALSE)),"")</f>
        <v/>
      </c>
      <c r="BE373" s="104" t="str">
        <f>IFERROR('BMP P Tracking Table'!$BD373*'BMP P Tracking Table'!$AZ373,"")</f>
        <v/>
      </c>
      <c r="BF373" s="98"/>
      <c r="BG373" s="37">
        <f t="shared" si="40"/>
        <v>0</v>
      </c>
    </row>
    <row r="374" spans="2:59" s="36" customFormat="1">
      <c r="B374" s="65"/>
      <c r="C374" s="65"/>
      <c r="D374" s="65"/>
      <c r="E374" s="65"/>
      <c r="F374" s="94"/>
      <c r="G374" s="94"/>
      <c r="H374" s="65"/>
      <c r="I374" s="65"/>
      <c r="J374" s="65"/>
      <c r="K374" s="95"/>
      <c r="L374" s="65"/>
      <c r="M374" s="65"/>
      <c r="N374" s="65"/>
      <c r="O374" s="65"/>
      <c r="P374" s="65"/>
      <c r="Q374" s="65"/>
      <c r="R374" s="65" t="str">
        <f>IFERROR(VLOOKUP('BMP P Tracking Table'!$Q374,Dropdowns!$C$2:$E$15,3,FALSE),"")</f>
        <v/>
      </c>
      <c r="S374" s="65" t="str">
        <f>IFERROR(VLOOKUP('BMP P Tracking Table'!$R374,Dropdowns!$Q$3:$R$23,2,FALSE),"")</f>
        <v/>
      </c>
      <c r="T374" s="65"/>
      <c r="U374" s="65"/>
      <c r="V374" s="65"/>
      <c r="W374" s="65"/>
      <c r="X374" s="65"/>
      <c r="Y374" s="65"/>
      <c r="Z374" s="65"/>
      <c r="AA374" s="65"/>
      <c r="AB374" s="65"/>
      <c r="AC374" s="97"/>
      <c r="AD374" s="65"/>
      <c r="AE374" s="104" t="str">
        <f>IFERROR('BMP P Tracking Table'!$V374*VLOOKUP('BMP P Tracking Table'!$R374,'Loading Rates'!$B$1:$L$24,4,FALSE)+IF('BMP P Tracking Table'!$W374="By HSG",'BMP P Tracking Table'!$X374*VLOOKUP('BMP P Tracking Table'!$R374,'Loading Rates'!$B$1:$L$24,6,FALSE)+'BMP P Tracking Table'!$Y374*VLOOKUP('BMP P Tracking Table'!$R374,'Loading Rates'!$B$1:$L$24,7,FALSE)+'BMP P Tracking Table'!$Z374*VLOOKUP('BMP P Tracking Table'!$R374,'Loading Rates'!$B$1:$L$24,8,FALSE)+'BMP P Tracking Table'!$AA374*VLOOKUP('BMP P Tracking Table'!$R374,'Loading Rates'!$B$1:$L$24,9,FALSE),'BMP P Tracking Table'!$AB374*VLOOKUP('BMP P Tracking Table'!$R374,'Loading Rates'!$B$1:$L$24,10,FALSE)),"")</f>
        <v/>
      </c>
      <c r="AF374" s="104" t="str">
        <f>IFERROR(MIN(2,IF('BMP P Tracking Table'!$W374="Total Pervious",(-(3630*'BMP P Tracking Table'!$V374+20.691*'BMP P Tracking Table'!$AB374)+SQRT((3630*'BMP P Tracking Table'!$V374+20.691*'BMP P Tracking Table'!$AB374)^2-(4*(996.798*'BMP P Tracking Table'!$AB374)*-'BMP P Tracking Table'!$AC374)))/(2*(996.798*'BMP P Tracking Table'!$AB374)),IF(SUM('BMP P Tracking Table'!$X374:$AA374)=0,'BMP P Tracking Table'!$AC374/(-3630*'BMP P Tracking Table'!$V374),(-(3630*'BMP P Tracking Table'!$V374+20.691*'BMP P Tracking Table'!$AA374-216.711*'BMP P Tracking Table'!$Z374-83.853*'BMP P Tracking Table'!$Y374-42.834*'BMP P Tracking Table'!$X374)+SQRT((3630*'BMP P Tracking Table'!$V374+20.691*'BMP P Tracking Table'!$AA374-216.711*'BMP P Tracking Table'!$Z374-83.853*'BMP P Tracking Table'!$Y374-42.834*'BMP P Tracking Table'!$X374)^2-(4*(149.919*'BMP P Tracking Table'!$X374+236.676*'BMP P Tracking Table'!$Y374+726*'BMP P Tracking Table'!$Z374+996.798*'BMP P Tracking Table'!$AA374)*-'BMP P Tracking Table'!$AC374)))/(2*(149.919*'BMP P Tracking Table'!$X374+236.676*'BMP P Tracking Table'!$Y374+726*'BMP P Tracking Table'!$Z374+996.798*'BMP P Tracking Table'!$AA374))))),"")</f>
        <v/>
      </c>
      <c r="AG374" s="104" t="str">
        <f>IFERROR((VLOOKUP(CONCATENATE('BMP P Tracking Table'!$U374," ",'BMP P Tracking Table'!$AD374),'Performance Curves'!$C$1:$L$46,_xlfn.SINGLE(MATCH('BMP P Tracking Table'!$AF374,'Performance Curves'!$D$1:$L$1,1))+2,FALSE)-VLOOKUP(CONCATENATE('BMP P Tracking Table'!$U374," ",'BMP P Tracking Table'!$AD374),'Performance Curves'!$C$1:$L$46,_xlfn.SINGLE(MATCH('BMP P Tracking Table'!$AF374,'Performance Curves'!$D$1:$L$1,1))+1,FALSE)),"")</f>
        <v/>
      </c>
      <c r="AH374" s="104" t="str">
        <f>IFERROR(('BMP P Tracking Table'!$AF374-INDEX('Performance Curves'!$D$1:$L$1,1,MATCH('BMP P Tracking Table'!$AF374,'Performance Curves'!$D$1:$L$1,1)))/(INDEX('Performance Curves'!$D$1:$L$1,1,MATCH('BMP P Tracking Table'!$AF374,'Performance Curves'!$D$1:$L$1,1)+1)-INDEX('Performance Curves'!$D$1:$L$1,1,MATCH('BMP P Tracking Table'!$AF374,'Performance Curves'!$D$1:$L$1,1))),"")</f>
        <v/>
      </c>
      <c r="AI374" s="103" t="str">
        <f>IFERROR(IF('BMP P Tracking Table'!$AF374=2,VLOOKUP(CONCATENATE('BMP P Tracking Table'!$U374," ",'BMP P Tracking Table'!$AD374),'Performance Curves'!$C$1:$L$46,_xlfn.SINGLE(MATCH('BMP P Tracking Table'!$AF374,'Performance Curves'!$D$1:$L$1,1))+1,FALSE),'BMP P Tracking Table'!$AG374*'BMP P Tracking Table'!$AH374+VLOOKUP(CONCATENATE('BMP P Tracking Table'!$U374," ",'BMP P Tracking Table'!$AD374),'Performance Curves'!$C$1:$L$46,_xlfn.SINGLE(MATCH('BMP P Tracking Table'!$AF374,'Performance Curves'!$D$1:$L$1,1))+1,FALSE)),"")</f>
        <v/>
      </c>
      <c r="AJ374" s="104" t="str">
        <f>IFERROR('BMP P Tracking Table'!$AI374*'BMP P Tracking Table'!$AE374,"")</f>
        <v/>
      </c>
      <c r="AK374" s="65"/>
      <c r="AL374" s="98"/>
      <c r="AM374" s="98"/>
      <c r="AN374" s="64">
        <v>1</v>
      </c>
      <c r="AO374" s="102" t="str">
        <f t="shared" si="39"/>
        <v/>
      </c>
      <c r="AP374" s="98"/>
      <c r="AQ374" s="98"/>
      <c r="AR374" s="98"/>
      <c r="AS374" s="98"/>
      <c r="AT374" s="98"/>
      <c r="AU374" s="98"/>
      <c r="AV374" s="98"/>
      <c r="AW374" s="65"/>
      <c r="AX374" s="99"/>
      <c r="AY374" s="99"/>
      <c r="AZ374" s="104" t="str">
        <f>IF('BMP P Tracking Table'!$AL374="Yes",IF('BMP P Tracking Table'!$AM374="No",'BMP P Tracking Table'!$V374*VLOOKUP('BMP P Tracking Table'!$R374,'Loading Rates'!$B$1:$L$24,4,FALSE)+IF('BMP P Tracking Table'!$W374="By HSG",'BMP P Tracking Table'!$X374*VLOOKUP('BMP P Tracking Table'!$R374,'Loading Rates'!$B$1:$L$24,6,FALSE)+'BMP P Tracking Table'!$Y374*VLOOKUP('BMP P Tracking Table'!$R374,'Loading Rates'!$B$1:$L$24,7,FALSE)+'BMP P Tracking Table'!$Z374*VLOOKUP('BMP P Tracking Table'!$R374,'Loading Rates'!$B$1:$L$24,8,FALSE)+'BMP P Tracking Table'!$AA374*VLOOKUP('BMP P Tracking Table'!$R374,'Loading Rates'!$B$1:$L$24,9,FALSE),'BMP P Tracking Table'!$AB374*VLOOKUP('BMP P Tracking Table'!$R374,'Loading Rates'!$B$1:$L$24,10,FALSE)),'BMP P Tracking Table'!$AP374*VLOOKUP('BMP P Tracking Table'!$R374,'Loading Rates'!$B$1:$L$24,4,FALSE)+IF('BMP P Tracking Table'!$AQ374="By HSG",'BMP P Tracking Table'!$AR374*VLOOKUP('BMP P Tracking Table'!$R374,'Loading Rates'!$B$1:$L$24,6,FALSE)+'BMP P Tracking Table'!$AS374*VLOOKUP('BMP P Tracking Table'!$R374,'Loading Rates'!$B$1:$L$24,7,FALSE)+'BMP P Tracking Table'!$AT374*VLOOKUP('BMP P Tracking Table'!$R374,'Loading Rates'!$B$1:$L$24,8,FALSE)+'BMP P Tracking Table'!$AU374*VLOOKUP('BMP P Tracking Table'!$R374,'Loading Rates'!$B$1:$L$24,9,FALSE),'BMP P Tracking Table'!$AV374*VLOOKUP('BMP P Tracking Table'!$R374,'Loading Rates'!$B$1:$L$24,10,FALSE))),"")</f>
        <v/>
      </c>
      <c r="BA374" s="104" t="str">
        <f>IFERROR(IF('BMP P Tracking Table'!$AM374="Yes",MIN(2,IF('BMP P Tracking Table'!$AQ374="Total Pervious",(-(3630*'BMP P Tracking Table'!$AP374+20.691*'BMP P Tracking Table'!$AV374)+SQRT((3630*'BMP P Tracking Table'!$AP374+20.691*'BMP P Tracking Table'!$AV374)^2-(4*(996.798*'BMP P Tracking Table'!$AV374)*-'BMP P Tracking Table'!$AX374)))/(2*(996.798*'BMP P Tracking Table'!$AV374)),IF(SUM('BMP P Tracking Table'!$AR374:$AU374)=0,'BMP P Tracking Table'!$AV374/(-3630*'BMP P Tracking Table'!$AP374),(-(3630*'BMP P Tracking Table'!$AP374+20.691*'BMP P Tracking Table'!$AU374-216.711*'BMP P Tracking Table'!$AT374-83.853*'BMP P Tracking Table'!$AS374-42.834*'BMP P Tracking Table'!$AR374)+SQRT((3630*'BMP P Tracking Table'!$AP374+20.691*'BMP P Tracking Table'!$AU374-216.711*'BMP P Tracking Table'!$AT374-83.853*'BMP P Tracking Table'!$AS374-42.834*'BMP P Tracking Table'!$AR374)^2-(4*(149.919*'BMP P Tracking Table'!$AR374+236.676*'BMP P Tracking Table'!$AS374+726*'BMP P Tracking Table'!$AT374+996.798*'BMP P Tracking Table'!$AU374)*-'BMP P Tracking Table'!$AX374)))/(2*(149.919*'BMP P Tracking Table'!$AR374+236.676*'BMP P Tracking Table'!$AS374+726*'BMP P Tracking Table'!$AT374+996.798*'BMP P Tracking Table'!$AU374))))),MIN(2,IF('BMP P Tracking Table'!$AQ374="Total Pervious",(-(3630*'BMP P Tracking Table'!$V374+20.691*'BMP P Tracking Table'!$AB374)+SQRT((3630*'BMP P Tracking Table'!$V374+20.691*'BMP P Tracking Table'!$AB374)^2-(4*(996.798*'BMP P Tracking Table'!$AB374)*-'BMP P Tracking Table'!$AX374)))/(2*(996.798*'BMP P Tracking Table'!$AB374)),IF(SUM('BMP P Tracking Table'!$X374:$AA374)=0,'BMP P Tracking Table'!$AX374/(-3630*'BMP P Tracking Table'!$V374),(-(3630*'BMP P Tracking Table'!$V374+20.691*'BMP P Tracking Table'!$AA374-216.711*'BMP P Tracking Table'!$Z374-83.853*'BMP P Tracking Table'!$Y374-42.834*'BMP P Tracking Table'!$X374)+SQRT((3630*'BMP P Tracking Table'!$V374+20.691*'BMP P Tracking Table'!$AA374-216.711*'BMP P Tracking Table'!$Z374-83.853*'BMP P Tracking Table'!$Y374-42.834*'BMP P Tracking Table'!$X374)^2-(4*(149.919*'BMP P Tracking Table'!$X374+236.676*'BMP P Tracking Table'!$Y374+726*'BMP P Tracking Table'!$Z374+996.798*'BMP P Tracking Table'!$AA374)*-'BMP P Tracking Table'!$AX374)))/(2*(149.919*'BMP P Tracking Table'!$X374+236.676*'BMP P Tracking Table'!$Y374+726*'BMP P Tracking Table'!$Z374+996.798*'BMP P Tracking Table'!$AA374)))))),"")</f>
        <v/>
      </c>
      <c r="BB374" s="102" t="str">
        <f>IFERROR((VLOOKUP(CONCATENATE('BMP P Tracking Table'!$AW374," ",'BMP P Tracking Table'!$AY374),'Performance Curves'!$C$1:$L$46,_xlfn.SINGLE(MATCH('BMP P Tracking Table'!$BA374,'Performance Curves'!$D$1:$L$1,1))+2,FALSE)-VLOOKUP(CONCATENATE('BMP P Tracking Table'!$AW374," ",'BMP P Tracking Table'!$AY374),'Performance Curves'!$C$1:$L$46,_xlfn.SINGLE(MATCH('BMP P Tracking Table'!$BA374,'Performance Curves'!$D$1:$L$1,1))+1,FALSE)),"")</f>
        <v/>
      </c>
      <c r="BC374" s="102" t="str">
        <f>IFERROR(('BMP P Tracking Table'!$BA374-INDEX('Performance Curves'!$D$1:$L$1,1,MATCH('BMP P Tracking Table'!$BA374,'Performance Curves'!$D$1:$L$1,1)))/(INDEX('Performance Curves'!$D$1:$L$1,1,MATCH('BMP P Tracking Table'!$BA374,'Performance Curves'!$D$1:$L$1,1)+1)-INDEX('Performance Curves'!$D$1:$L$1,1,MATCH('BMP P Tracking Table'!$BA374,'Performance Curves'!$D$1:$L$1,1))),"")</f>
        <v/>
      </c>
      <c r="BD374" s="103" t="str" cm="1">
        <f t="array" ref="BD374">IFERROR(IF('BMP P Tracking Table'!$BA374=2,VLOOKUP(CONCATENATE('BMP P Tracking Table'!$AW374," ",'BMP P Tracking Table'!$AY374),'Performance Curves'!$C$1:$L$44,_xlfn.SINGLE(MATCH('BMP P Tracking Table'!$BA374,'Performance Curves'!$D$1:$L$1,1))+1,FALSE),'BMP P Tracking Table'!$BB374*'BMP P Tracking Table'!$BC374+VLOOKUP(CONCATENATE('BMP P Tracking Table'!$AW374," ",'BMP P Tracking Table'!$AY374),'Performance Curves'!$C$1:$L$44,_xlfn.SINGLE(MATCH('BMP P Tracking Table'!$BA374,'Performance Curves'!$D$1:$L$1,1))+1,FALSE)),"")</f>
        <v/>
      </c>
      <c r="BE374" s="104" t="str">
        <f>IFERROR('BMP P Tracking Table'!$BD374*'BMP P Tracking Table'!$AZ374,"")</f>
        <v/>
      </c>
      <c r="BF374" s="98"/>
      <c r="BG374" s="37">
        <f t="shared" si="40"/>
        <v>0</v>
      </c>
    </row>
    <row r="375" spans="2:59" s="36" customFormat="1">
      <c r="B375" s="65"/>
      <c r="C375" s="65"/>
      <c r="D375" s="65"/>
      <c r="E375" s="65"/>
      <c r="F375" s="94"/>
      <c r="G375" s="94"/>
      <c r="H375" s="65"/>
      <c r="I375" s="65"/>
      <c r="J375" s="65"/>
      <c r="K375" s="95"/>
      <c r="L375" s="65"/>
      <c r="M375" s="65"/>
      <c r="N375" s="65"/>
      <c r="O375" s="65"/>
      <c r="P375" s="65"/>
      <c r="Q375" s="65"/>
      <c r="R375" s="65" t="str">
        <f>IFERROR(VLOOKUP('BMP P Tracking Table'!$Q375,Dropdowns!$C$2:$E$15,3,FALSE),"")</f>
        <v/>
      </c>
      <c r="S375" s="65" t="str">
        <f>IFERROR(VLOOKUP('BMP P Tracking Table'!$R375,Dropdowns!$Q$3:$R$23,2,FALSE),"")</f>
        <v/>
      </c>
      <c r="T375" s="65"/>
      <c r="U375" s="65"/>
      <c r="V375" s="65"/>
      <c r="W375" s="65"/>
      <c r="X375" s="65"/>
      <c r="Y375" s="65"/>
      <c r="Z375" s="65"/>
      <c r="AA375" s="65"/>
      <c r="AB375" s="65"/>
      <c r="AC375" s="97"/>
      <c r="AD375" s="65"/>
      <c r="AE375" s="104" t="str">
        <f>IFERROR('BMP P Tracking Table'!$V375*VLOOKUP('BMP P Tracking Table'!$R375,'Loading Rates'!$B$1:$L$24,4,FALSE)+IF('BMP P Tracking Table'!$W375="By HSG",'BMP P Tracking Table'!$X375*VLOOKUP('BMP P Tracking Table'!$R375,'Loading Rates'!$B$1:$L$24,6,FALSE)+'BMP P Tracking Table'!$Y375*VLOOKUP('BMP P Tracking Table'!$R375,'Loading Rates'!$B$1:$L$24,7,FALSE)+'BMP P Tracking Table'!$Z375*VLOOKUP('BMP P Tracking Table'!$R375,'Loading Rates'!$B$1:$L$24,8,FALSE)+'BMP P Tracking Table'!$AA375*VLOOKUP('BMP P Tracking Table'!$R375,'Loading Rates'!$B$1:$L$24,9,FALSE),'BMP P Tracking Table'!$AB375*VLOOKUP('BMP P Tracking Table'!$R375,'Loading Rates'!$B$1:$L$24,10,FALSE)),"")</f>
        <v/>
      </c>
      <c r="AF375" s="104" t="str">
        <f>IFERROR(MIN(2,IF('BMP P Tracking Table'!$W375="Total Pervious",(-(3630*'BMP P Tracking Table'!$V375+20.691*'BMP P Tracking Table'!$AB375)+SQRT((3630*'BMP P Tracking Table'!$V375+20.691*'BMP P Tracking Table'!$AB375)^2-(4*(996.798*'BMP P Tracking Table'!$AB375)*-'BMP P Tracking Table'!$AC375)))/(2*(996.798*'BMP P Tracking Table'!$AB375)),IF(SUM('BMP P Tracking Table'!$X375:$AA375)=0,'BMP P Tracking Table'!$AC375/(-3630*'BMP P Tracking Table'!$V375),(-(3630*'BMP P Tracking Table'!$V375+20.691*'BMP P Tracking Table'!$AA375-216.711*'BMP P Tracking Table'!$Z375-83.853*'BMP P Tracking Table'!$Y375-42.834*'BMP P Tracking Table'!$X375)+SQRT((3630*'BMP P Tracking Table'!$V375+20.691*'BMP P Tracking Table'!$AA375-216.711*'BMP P Tracking Table'!$Z375-83.853*'BMP P Tracking Table'!$Y375-42.834*'BMP P Tracking Table'!$X375)^2-(4*(149.919*'BMP P Tracking Table'!$X375+236.676*'BMP P Tracking Table'!$Y375+726*'BMP P Tracking Table'!$Z375+996.798*'BMP P Tracking Table'!$AA375)*-'BMP P Tracking Table'!$AC375)))/(2*(149.919*'BMP P Tracking Table'!$X375+236.676*'BMP P Tracking Table'!$Y375+726*'BMP P Tracking Table'!$Z375+996.798*'BMP P Tracking Table'!$AA375))))),"")</f>
        <v/>
      </c>
      <c r="AG375" s="104" t="str">
        <f>IFERROR((VLOOKUP(CONCATENATE('BMP P Tracking Table'!$U375," ",'BMP P Tracking Table'!$AD375),'Performance Curves'!$C$1:$L$46,_xlfn.SINGLE(MATCH('BMP P Tracking Table'!$AF375,'Performance Curves'!$D$1:$L$1,1))+2,FALSE)-VLOOKUP(CONCATENATE('BMP P Tracking Table'!$U375," ",'BMP P Tracking Table'!$AD375),'Performance Curves'!$C$1:$L$46,_xlfn.SINGLE(MATCH('BMP P Tracking Table'!$AF375,'Performance Curves'!$D$1:$L$1,1))+1,FALSE)),"")</f>
        <v/>
      </c>
      <c r="AH375" s="104" t="str">
        <f>IFERROR(('BMP P Tracking Table'!$AF375-INDEX('Performance Curves'!$D$1:$L$1,1,MATCH('BMP P Tracking Table'!$AF375,'Performance Curves'!$D$1:$L$1,1)))/(INDEX('Performance Curves'!$D$1:$L$1,1,MATCH('BMP P Tracking Table'!$AF375,'Performance Curves'!$D$1:$L$1,1)+1)-INDEX('Performance Curves'!$D$1:$L$1,1,MATCH('BMP P Tracking Table'!$AF375,'Performance Curves'!$D$1:$L$1,1))),"")</f>
        <v/>
      </c>
      <c r="AI375" s="103" t="str">
        <f>IFERROR(IF('BMP P Tracking Table'!$AF375=2,VLOOKUP(CONCATENATE('BMP P Tracking Table'!$U375," ",'BMP P Tracking Table'!$AD375),'Performance Curves'!$C$1:$L$46,_xlfn.SINGLE(MATCH('BMP P Tracking Table'!$AF375,'Performance Curves'!$D$1:$L$1,1))+1,FALSE),'BMP P Tracking Table'!$AG375*'BMP P Tracking Table'!$AH375+VLOOKUP(CONCATENATE('BMP P Tracking Table'!$U375," ",'BMP P Tracking Table'!$AD375),'Performance Curves'!$C$1:$L$46,_xlfn.SINGLE(MATCH('BMP P Tracking Table'!$AF375,'Performance Curves'!$D$1:$L$1,1))+1,FALSE)),"")</f>
        <v/>
      </c>
      <c r="AJ375" s="104" t="str">
        <f>IFERROR('BMP P Tracking Table'!$AI375*'BMP P Tracking Table'!$AE375,"")</f>
        <v/>
      </c>
      <c r="AK375" s="65"/>
      <c r="AL375" s="98"/>
      <c r="AM375" s="98"/>
      <c r="AN375" s="64">
        <v>1</v>
      </c>
      <c r="AO375" s="102" t="str">
        <f t="shared" si="39"/>
        <v/>
      </c>
      <c r="AP375" s="98"/>
      <c r="AQ375" s="98"/>
      <c r="AR375" s="98"/>
      <c r="AS375" s="98"/>
      <c r="AT375" s="98"/>
      <c r="AU375" s="98"/>
      <c r="AV375" s="98"/>
      <c r="AW375" s="65"/>
      <c r="AX375" s="99"/>
      <c r="AY375" s="99"/>
      <c r="AZ375" s="104" t="str">
        <f>IF('BMP P Tracking Table'!$AL375="Yes",IF('BMP P Tracking Table'!$AM375="No",'BMP P Tracking Table'!$V375*VLOOKUP('BMP P Tracking Table'!$R375,'Loading Rates'!$B$1:$L$24,4,FALSE)+IF('BMP P Tracking Table'!$W375="By HSG",'BMP P Tracking Table'!$X375*VLOOKUP('BMP P Tracking Table'!$R375,'Loading Rates'!$B$1:$L$24,6,FALSE)+'BMP P Tracking Table'!$Y375*VLOOKUP('BMP P Tracking Table'!$R375,'Loading Rates'!$B$1:$L$24,7,FALSE)+'BMP P Tracking Table'!$Z375*VLOOKUP('BMP P Tracking Table'!$R375,'Loading Rates'!$B$1:$L$24,8,FALSE)+'BMP P Tracking Table'!$AA375*VLOOKUP('BMP P Tracking Table'!$R375,'Loading Rates'!$B$1:$L$24,9,FALSE),'BMP P Tracking Table'!$AB375*VLOOKUP('BMP P Tracking Table'!$R375,'Loading Rates'!$B$1:$L$24,10,FALSE)),'BMP P Tracking Table'!$AP375*VLOOKUP('BMP P Tracking Table'!$R375,'Loading Rates'!$B$1:$L$24,4,FALSE)+IF('BMP P Tracking Table'!$AQ375="By HSG",'BMP P Tracking Table'!$AR375*VLOOKUP('BMP P Tracking Table'!$R375,'Loading Rates'!$B$1:$L$24,6,FALSE)+'BMP P Tracking Table'!$AS375*VLOOKUP('BMP P Tracking Table'!$R375,'Loading Rates'!$B$1:$L$24,7,FALSE)+'BMP P Tracking Table'!$AT375*VLOOKUP('BMP P Tracking Table'!$R375,'Loading Rates'!$B$1:$L$24,8,FALSE)+'BMP P Tracking Table'!$AU375*VLOOKUP('BMP P Tracking Table'!$R375,'Loading Rates'!$B$1:$L$24,9,FALSE),'BMP P Tracking Table'!$AV375*VLOOKUP('BMP P Tracking Table'!$R375,'Loading Rates'!$B$1:$L$24,10,FALSE))),"")</f>
        <v/>
      </c>
      <c r="BA375" s="104" t="str">
        <f>IFERROR(IF('BMP P Tracking Table'!$AM375="Yes",MIN(2,IF('BMP P Tracking Table'!$AQ375="Total Pervious",(-(3630*'BMP P Tracking Table'!$AP375+20.691*'BMP P Tracking Table'!$AV375)+SQRT((3630*'BMP P Tracking Table'!$AP375+20.691*'BMP P Tracking Table'!$AV375)^2-(4*(996.798*'BMP P Tracking Table'!$AV375)*-'BMP P Tracking Table'!$AX375)))/(2*(996.798*'BMP P Tracking Table'!$AV375)),IF(SUM('BMP P Tracking Table'!$AR375:$AU375)=0,'BMP P Tracking Table'!$AV375/(-3630*'BMP P Tracking Table'!$AP375),(-(3630*'BMP P Tracking Table'!$AP375+20.691*'BMP P Tracking Table'!$AU375-216.711*'BMP P Tracking Table'!$AT375-83.853*'BMP P Tracking Table'!$AS375-42.834*'BMP P Tracking Table'!$AR375)+SQRT((3630*'BMP P Tracking Table'!$AP375+20.691*'BMP P Tracking Table'!$AU375-216.711*'BMP P Tracking Table'!$AT375-83.853*'BMP P Tracking Table'!$AS375-42.834*'BMP P Tracking Table'!$AR375)^2-(4*(149.919*'BMP P Tracking Table'!$AR375+236.676*'BMP P Tracking Table'!$AS375+726*'BMP P Tracking Table'!$AT375+996.798*'BMP P Tracking Table'!$AU375)*-'BMP P Tracking Table'!$AX375)))/(2*(149.919*'BMP P Tracking Table'!$AR375+236.676*'BMP P Tracking Table'!$AS375+726*'BMP P Tracking Table'!$AT375+996.798*'BMP P Tracking Table'!$AU375))))),MIN(2,IF('BMP P Tracking Table'!$AQ375="Total Pervious",(-(3630*'BMP P Tracking Table'!$V375+20.691*'BMP P Tracking Table'!$AB375)+SQRT((3630*'BMP P Tracking Table'!$V375+20.691*'BMP P Tracking Table'!$AB375)^2-(4*(996.798*'BMP P Tracking Table'!$AB375)*-'BMP P Tracking Table'!$AX375)))/(2*(996.798*'BMP P Tracking Table'!$AB375)),IF(SUM('BMP P Tracking Table'!$X375:$AA375)=0,'BMP P Tracking Table'!$AX375/(-3630*'BMP P Tracking Table'!$V375),(-(3630*'BMP P Tracking Table'!$V375+20.691*'BMP P Tracking Table'!$AA375-216.711*'BMP P Tracking Table'!$Z375-83.853*'BMP P Tracking Table'!$Y375-42.834*'BMP P Tracking Table'!$X375)+SQRT((3630*'BMP P Tracking Table'!$V375+20.691*'BMP P Tracking Table'!$AA375-216.711*'BMP P Tracking Table'!$Z375-83.853*'BMP P Tracking Table'!$Y375-42.834*'BMP P Tracking Table'!$X375)^2-(4*(149.919*'BMP P Tracking Table'!$X375+236.676*'BMP P Tracking Table'!$Y375+726*'BMP P Tracking Table'!$Z375+996.798*'BMP P Tracking Table'!$AA375)*-'BMP P Tracking Table'!$AX375)))/(2*(149.919*'BMP P Tracking Table'!$X375+236.676*'BMP P Tracking Table'!$Y375+726*'BMP P Tracking Table'!$Z375+996.798*'BMP P Tracking Table'!$AA375)))))),"")</f>
        <v/>
      </c>
      <c r="BB375" s="102" t="str">
        <f>IFERROR((VLOOKUP(CONCATENATE('BMP P Tracking Table'!$AW375," ",'BMP P Tracking Table'!$AY375),'Performance Curves'!$C$1:$L$46,_xlfn.SINGLE(MATCH('BMP P Tracking Table'!$BA375,'Performance Curves'!$D$1:$L$1,1))+2,FALSE)-VLOOKUP(CONCATENATE('BMP P Tracking Table'!$AW375," ",'BMP P Tracking Table'!$AY375),'Performance Curves'!$C$1:$L$46,_xlfn.SINGLE(MATCH('BMP P Tracking Table'!$BA375,'Performance Curves'!$D$1:$L$1,1))+1,FALSE)),"")</f>
        <v/>
      </c>
      <c r="BC375" s="102" t="str">
        <f>IFERROR(('BMP P Tracking Table'!$BA375-INDEX('Performance Curves'!$D$1:$L$1,1,MATCH('BMP P Tracking Table'!$BA375,'Performance Curves'!$D$1:$L$1,1)))/(INDEX('Performance Curves'!$D$1:$L$1,1,MATCH('BMP P Tracking Table'!$BA375,'Performance Curves'!$D$1:$L$1,1)+1)-INDEX('Performance Curves'!$D$1:$L$1,1,MATCH('BMP P Tracking Table'!$BA375,'Performance Curves'!$D$1:$L$1,1))),"")</f>
        <v/>
      </c>
      <c r="BD375" s="103" t="str" cm="1">
        <f t="array" ref="BD375">IFERROR(IF('BMP P Tracking Table'!$BA375=2,VLOOKUP(CONCATENATE('BMP P Tracking Table'!$AW375," ",'BMP P Tracking Table'!$AY375),'Performance Curves'!$C$1:$L$44,_xlfn.SINGLE(MATCH('BMP P Tracking Table'!$BA375,'Performance Curves'!$D$1:$L$1,1))+1,FALSE),'BMP P Tracking Table'!$BB375*'BMP P Tracking Table'!$BC375+VLOOKUP(CONCATENATE('BMP P Tracking Table'!$AW375," ",'BMP P Tracking Table'!$AY375),'Performance Curves'!$C$1:$L$44,_xlfn.SINGLE(MATCH('BMP P Tracking Table'!$BA375,'Performance Curves'!$D$1:$L$1,1))+1,FALSE)),"")</f>
        <v/>
      </c>
      <c r="BE375" s="104" t="str">
        <f>IFERROR('BMP P Tracking Table'!$BD375*'BMP P Tracking Table'!$AZ375,"")</f>
        <v/>
      </c>
      <c r="BF375" s="98"/>
      <c r="BG375" s="37">
        <f t="shared" si="40"/>
        <v>0</v>
      </c>
    </row>
    <row r="376" spans="2:59" s="36" customFormat="1">
      <c r="B376" s="65"/>
      <c r="C376" s="65"/>
      <c r="D376" s="65"/>
      <c r="E376" s="65"/>
      <c r="F376" s="94"/>
      <c r="G376" s="94"/>
      <c r="H376" s="65"/>
      <c r="I376" s="65"/>
      <c r="J376" s="65"/>
      <c r="K376" s="95"/>
      <c r="L376" s="65"/>
      <c r="M376" s="65"/>
      <c r="N376" s="65"/>
      <c r="O376" s="65"/>
      <c r="P376" s="65"/>
      <c r="Q376" s="65"/>
      <c r="R376" s="65" t="str">
        <f>IFERROR(VLOOKUP('BMP P Tracking Table'!$Q376,Dropdowns!$C$2:$E$15,3,FALSE),"")</f>
        <v/>
      </c>
      <c r="S376" s="65" t="str">
        <f>IFERROR(VLOOKUP('BMP P Tracking Table'!$R376,Dropdowns!$Q$3:$R$23,2,FALSE),"")</f>
        <v/>
      </c>
      <c r="T376" s="65"/>
      <c r="U376" s="65"/>
      <c r="V376" s="65"/>
      <c r="W376" s="65"/>
      <c r="X376" s="65"/>
      <c r="Y376" s="65"/>
      <c r="Z376" s="65"/>
      <c r="AA376" s="65"/>
      <c r="AB376" s="65"/>
      <c r="AC376" s="97"/>
      <c r="AD376" s="65"/>
      <c r="AE376" s="104" t="str">
        <f>IFERROR('BMP P Tracking Table'!$V376*VLOOKUP('BMP P Tracking Table'!$R376,'Loading Rates'!$B$1:$L$24,4,FALSE)+IF('BMP P Tracking Table'!$W376="By HSG",'BMP P Tracking Table'!$X376*VLOOKUP('BMP P Tracking Table'!$R376,'Loading Rates'!$B$1:$L$24,6,FALSE)+'BMP P Tracking Table'!$Y376*VLOOKUP('BMP P Tracking Table'!$R376,'Loading Rates'!$B$1:$L$24,7,FALSE)+'BMP P Tracking Table'!$Z376*VLOOKUP('BMP P Tracking Table'!$R376,'Loading Rates'!$B$1:$L$24,8,FALSE)+'BMP P Tracking Table'!$AA376*VLOOKUP('BMP P Tracking Table'!$R376,'Loading Rates'!$B$1:$L$24,9,FALSE),'BMP P Tracking Table'!$AB376*VLOOKUP('BMP P Tracking Table'!$R376,'Loading Rates'!$B$1:$L$24,10,FALSE)),"")</f>
        <v/>
      </c>
      <c r="AF376" s="104" t="str">
        <f>IFERROR(MIN(2,IF('BMP P Tracking Table'!$W376="Total Pervious",(-(3630*'BMP P Tracking Table'!$V376+20.691*'BMP P Tracking Table'!$AB376)+SQRT((3630*'BMP P Tracking Table'!$V376+20.691*'BMP P Tracking Table'!$AB376)^2-(4*(996.798*'BMP P Tracking Table'!$AB376)*-'BMP P Tracking Table'!$AC376)))/(2*(996.798*'BMP P Tracking Table'!$AB376)),IF(SUM('BMP P Tracking Table'!$X376:$AA376)=0,'BMP P Tracking Table'!$AC376/(-3630*'BMP P Tracking Table'!$V376),(-(3630*'BMP P Tracking Table'!$V376+20.691*'BMP P Tracking Table'!$AA376-216.711*'BMP P Tracking Table'!$Z376-83.853*'BMP P Tracking Table'!$Y376-42.834*'BMP P Tracking Table'!$X376)+SQRT((3630*'BMP P Tracking Table'!$V376+20.691*'BMP P Tracking Table'!$AA376-216.711*'BMP P Tracking Table'!$Z376-83.853*'BMP P Tracking Table'!$Y376-42.834*'BMP P Tracking Table'!$X376)^2-(4*(149.919*'BMP P Tracking Table'!$X376+236.676*'BMP P Tracking Table'!$Y376+726*'BMP P Tracking Table'!$Z376+996.798*'BMP P Tracking Table'!$AA376)*-'BMP P Tracking Table'!$AC376)))/(2*(149.919*'BMP P Tracking Table'!$X376+236.676*'BMP P Tracking Table'!$Y376+726*'BMP P Tracking Table'!$Z376+996.798*'BMP P Tracking Table'!$AA376))))),"")</f>
        <v/>
      </c>
      <c r="AG376" s="104" t="str">
        <f>IFERROR((VLOOKUP(CONCATENATE('BMP P Tracking Table'!$U376," ",'BMP P Tracking Table'!$AD376),'Performance Curves'!$C$1:$L$46,_xlfn.SINGLE(MATCH('BMP P Tracking Table'!$AF376,'Performance Curves'!$D$1:$L$1,1))+2,FALSE)-VLOOKUP(CONCATENATE('BMP P Tracking Table'!$U376," ",'BMP P Tracking Table'!$AD376),'Performance Curves'!$C$1:$L$46,_xlfn.SINGLE(MATCH('BMP P Tracking Table'!$AF376,'Performance Curves'!$D$1:$L$1,1))+1,FALSE)),"")</f>
        <v/>
      </c>
      <c r="AH376" s="104" t="str">
        <f>IFERROR(('BMP P Tracking Table'!$AF376-INDEX('Performance Curves'!$D$1:$L$1,1,MATCH('BMP P Tracking Table'!$AF376,'Performance Curves'!$D$1:$L$1,1)))/(INDEX('Performance Curves'!$D$1:$L$1,1,MATCH('BMP P Tracking Table'!$AF376,'Performance Curves'!$D$1:$L$1,1)+1)-INDEX('Performance Curves'!$D$1:$L$1,1,MATCH('BMP P Tracking Table'!$AF376,'Performance Curves'!$D$1:$L$1,1))),"")</f>
        <v/>
      </c>
      <c r="AI376" s="103" t="str">
        <f>IFERROR(IF('BMP P Tracking Table'!$AF376=2,VLOOKUP(CONCATENATE('BMP P Tracking Table'!$U376," ",'BMP P Tracking Table'!$AD376),'Performance Curves'!$C$1:$L$46,_xlfn.SINGLE(MATCH('BMP P Tracking Table'!$AF376,'Performance Curves'!$D$1:$L$1,1))+1,FALSE),'BMP P Tracking Table'!$AG376*'BMP P Tracking Table'!$AH376+VLOOKUP(CONCATENATE('BMP P Tracking Table'!$U376," ",'BMP P Tracking Table'!$AD376),'Performance Curves'!$C$1:$L$46,_xlfn.SINGLE(MATCH('BMP P Tracking Table'!$AF376,'Performance Curves'!$D$1:$L$1,1))+1,FALSE)),"")</f>
        <v/>
      </c>
      <c r="AJ376" s="104" t="str">
        <f>IFERROR('BMP P Tracking Table'!$AI376*'BMP P Tracking Table'!$AE376,"")</f>
        <v/>
      </c>
      <c r="AK376" s="65"/>
      <c r="AL376" s="98"/>
      <c r="AM376" s="98"/>
      <c r="AN376" s="64">
        <v>1</v>
      </c>
      <c r="AO376" s="102" t="str">
        <f t="shared" si="39"/>
        <v/>
      </c>
      <c r="AP376" s="98"/>
      <c r="AQ376" s="98"/>
      <c r="AR376" s="98"/>
      <c r="AS376" s="98"/>
      <c r="AT376" s="98"/>
      <c r="AU376" s="98"/>
      <c r="AV376" s="98"/>
      <c r="AW376" s="65"/>
      <c r="AX376" s="99"/>
      <c r="AY376" s="99"/>
      <c r="AZ376" s="104" t="str">
        <f>IF('BMP P Tracking Table'!$AL376="Yes",IF('BMP P Tracking Table'!$AM376="No",'BMP P Tracking Table'!$V376*VLOOKUP('BMP P Tracking Table'!$R376,'Loading Rates'!$B$1:$L$24,4,FALSE)+IF('BMP P Tracking Table'!$W376="By HSG",'BMP P Tracking Table'!$X376*VLOOKUP('BMP P Tracking Table'!$R376,'Loading Rates'!$B$1:$L$24,6,FALSE)+'BMP P Tracking Table'!$Y376*VLOOKUP('BMP P Tracking Table'!$R376,'Loading Rates'!$B$1:$L$24,7,FALSE)+'BMP P Tracking Table'!$Z376*VLOOKUP('BMP P Tracking Table'!$R376,'Loading Rates'!$B$1:$L$24,8,FALSE)+'BMP P Tracking Table'!$AA376*VLOOKUP('BMP P Tracking Table'!$R376,'Loading Rates'!$B$1:$L$24,9,FALSE),'BMP P Tracking Table'!$AB376*VLOOKUP('BMP P Tracking Table'!$R376,'Loading Rates'!$B$1:$L$24,10,FALSE)),'BMP P Tracking Table'!$AP376*VLOOKUP('BMP P Tracking Table'!$R376,'Loading Rates'!$B$1:$L$24,4,FALSE)+IF('BMP P Tracking Table'!$AQ376="By HSG",'BMP P Tracking Table'!$AR376*VLOOKUP('BMP P Tracking Table'!$R376,'Loading Rates'!$B$1:$L$24,6,FALSE)+'BMP P Tracking Table'!$AS376*VLOOKUP('BMP P Tracking Table'!$R376,'Loading Rates'!$B$1:$L$24,7,FALSE)+'BMP P Tracking Table'!$AT376*VLOOKUP('BMP P Tracking Table'!$R376,'Loading Rates'!$B$1:$L$24,8,FALSE)+'BMP P Tracking Table'!$AU376*VLOOKUP('BMP P Tracking Table'!$R376,'Loading Rates'!$B$1:$L$24,9,FALSE),'BMP P Tracking Table'!$AV376*VLOOKUP('BMP P Tracking Table'!$R376,'Loading Rates'!$B$1:$L$24,10,FALSE))),"")</f>
        <v/>
      </c>
      <c r="BA376" s="104" t="str">
        <f>IFERROR(IF('BMP P Tracking Table'!$AM376="Yes",MIN(2,IF('BMP P Tracking Table'!$AQ376="Total Pervious",(-(3630*'BMP P Tracking Table'!$AP376+20.691*'BMP P Tracking Table'!$AV376)+SQRT((3630*'BMP P Tracking Table'!$AP376+20.691*'BMP P Tracking Table'!$AV376)^2-(4*(996.798*'BMP P Tracking Table'!$AV376)*-'BMP P Tracking Table'!$AX376)))/(2*(996.798*'BMP P Tracking Table'!$AV376)),IF(SUM('BMP P Tracking Table'!$AR376:$AU376)=0,'BMP P Tracking Table'!$AV376/(-3630*'BMP P Tracking Table'!$AP376),(-(3630*'BMP P Tracking Table'!$AP376+20.691*'BMP P Tracking Table'!$AU376-216.711*'BMP P Tracking Table'!$AT376-83.853*'BMP P Tracking Table'!$AS376-42.834*'BMP P Tracking Table'!$AR376)+SQRT((3630*'BMP P Tracking Table'!$AP376+20.691*'BMP P Tracking Table'!$AU376-216.711*'BMP P Tracking Table'!$AT376-83.853*'BMP P Tracking Table'!$AS376-42.834*'BMP P Tracking Table'!$AR376)^2-(4*(149.919*'BMP P Tracking Table'!$AR376+236.676*'BMP P Tracking Table'!$AS376+726*'BMP P Tracking Table'!$AT376+996.798*'BMP P Tracking Table'!$AU376)*-'BMP P Tracking Table'!$AX376)))/(2*(149.919*'BMP P Tracking Table'!$AR376+236.676*'BMP P Tracking Table'!$AS376+726*'BMP P Tracking Table'!$AT376+996.798*'BMP P Tracking Table'!$AU376))))),MIN(2,IF('BMP P Tracking Table'!$AQ376="Total Pervious",(-(3630*'BMP P Tracking Table'!$V376+20.691*'BMP P Tracking Table'!$AB376)+SQRT((3630*'BMP P Tracking Table'!$V376+20.691*'BMP P Tracking Table'!$AB376)^2-(4*(996.798*'BMP P Tracking Table'!$AB376)*-'BMP P Tracking Table'!$AX376)))/(2*(996.798*'BMP P Tracking Table'!$AB376)),IF(SUM('BMP P Tracking Table'!$X376:$AA376)=0,'BMP P Tracking Table'!$AX376/(-3630*'BMP P Tracking Table'!$V376),(-(3630*'BMP P Tracking Table'!$V376+20.691*'BMP P Tracking Table'!$AA376-216.711*'BMP P Tracking Table'!$Z376-83.853*'BMP P Tracking Table'!$Y376-42.834*'BMP P Tracking Table'!$X376)+SQRT((3630*'BMP P Tracking Table'!$V376+20.691*'BMP P Tracking Table'!$AA376-216.711*'BMP P Tracking Table'!$Z376-83.853*'BMP P Tracking Table'!$Y376-42.834*'BMP P Tracking Table'!$X376)^2-(4*(149.919*'BMP P Tracking Table'!$X376+236.676*'BMP P Tracking Table'!$Y376+726*'BMP P Tracking Table'!$Z376+996.798*'BMP P Tracking Table'!$AA376)*-'BMP P Tracking Table'!$AX376)))/(2*(149.919*'BMP P Tracking Table'!$X376+236.676*'BMP P Tracking Table'!$Y376+726*'BMP P Tracking Table'!$Z376+996.798*'BMP P Tracking Table'!$AA376)))))),"")</f>
        <v/>
      </c>
      <c r="BB376" s="102" t="str">
        <f>IFERROR((VLOOKUP(CONCATENATE('BMP P Tracking Table'!$AW376," ",'BMP P Tracking Table'!$AY376),'Performance Curves'!$C$1:$L$46,_xlfn.SINGLE(MATCH('BMP P Tracking Table'!$BA376,'Performance Curves'!$D$1:$L$1,1))+2,FALSE)-VLOOKUP(CONCATENATE('BMP P Tracking Table'!$AW376," ",'BMP P Tracking Table'!$AY376),'Performance Curves'!$C$1:$L$46,_xlfn.SINGLE(MATCH('BMP P Tracking Table'!$BA376,'Performance Curves'!$D$1:$L$1,1))+1,FALSE)),"")</f>
        <v/>
      </c>
      <c r="BC376" s="102" t="str">
        <f>IFERROR(('BMP P Tracking Table'!$BA376-INDEX('Performance Curves'!$D$1:$L$1,1,MATCH('BMP P Tracking Table'!$BA376,'Performance Curves'!$D$1:$L$1,1)))/(INDEX('Performance Curves'!$D$1:$L$1,1,MATCH('BMP P Tracking Table'!$BA376,'Performance Curves'!$D$1:$L$1,1)+1)-INDEX('Performance Curves'!$D$1:$L$1,1,MATCH('BMP P Tracking Table'!$BA376,'Performance Curves'!$D$1:$L$1,1))),"")</f>
        <v/>
      </c>
      <c r="BD376" s="103" t="str" cm="1">
        <f t="array" ref="BD376">IFERROR(IF('BMP P Tracking Table'!$BA376=2,VLOOKUP(CONCATENATE('BMP P Tracking Table'!$AW376," ",'BMP P Tracking Table'!$AY376),'Performance Curves'!$C$1:$L$44,_xlfn.SINGLE(MATCH('BMP P Tracking Table'!$BA376,'Performance Curves'!$D$1:$L$1,1))+1,FALSE),'BMP P Tracking Table'!$BB376*'BMP P Tracking Table'!$BC376+VLOOKUP(CONCATENATE('BMP P Tracking Table'!$AW376," ",'BMP P Tracking Table'!$AY376),'Performance Curves'!$C$1:$L$44,_xlfn.SINGLE(MATCH('BMP P Tracking Table'!$BA376,'Performance Curves'!$D$1:$L$1,1))+1,FALSE)),"")</f>
        <v/>
      </c>
      <c r="BE376" s="104" t="str">
        <f>IFERROR('BMP P Tracking Table'!$BD376*'BMP P Tracking Table'!$AZ376,"")</f>
        <v/>
      </c>
      <c r="BF376" s="98"/>
      <c r="BG376" s="37">
        <f t="shared" si="40"/>
        <v>0</v>
      </c>
    </row>
    <row r="377" spans="2:59" s="36" customFormat="1">
      <c r="B377" s="65"/>
      <c r="C377" s="65"/>
      <c r="D377" s="65"/>
      <c r="E377" s="65"/>
      <c r="F377" s="94"/>
      <c r="G377" s="94"/>
      <c r="H377" s="65"/>
      <c r="I377" s="65"/>
      <c r="J377" s="65"/>
      <c r="K377" s="95"/>
      <c r="L377" s="65"/>
      <c r="M377" s="65"/>
      <c r="N377" s="65"/>
      <c r="O377" s="65"/>
      <c r="P377" s="65"/>
      <c r="Q377" s="65"/>
      <c r="R377" s="65" t="str">
        <f>IFERROR(VLOOKUP('BMP P Tracking Table'!$Q377,Dropdowns!$C$2:$E$15,3,FALSE),"")</f>
        <v/>
      </c>
      <c r="S377" s="65" t="str">
        <f>IFERROR(VLOOKUP('BMP P Tracking Table'!$R377,Dropdowns!$Q$3:$R$23,2,FALSE),"")</f>
        <v/>
      </c>
      <c r="T377" s="65"/>
      <c r="U377" s="65"/>
      <c r="V377" s="65"/>
      <c r="W377" s="65"/>
      <c r="X377" s="65"/>
      <c r="Y377" s="65"/>
      <c r="Z377" s="65"/>
      <c r="AA377" s="65"/>
      <c r="AB377" s="65"/>
      <c r="AC377" s="97"/>
      <c r="AD377" s="65"/>
      <c r="AE377" s="104" t="str">
        <f>IFERROR('BMP P Tracking Table'!$V377*VLOOKUP('BMP P Tracking Table'!$R377,'Loading Rates'!$B$1:$L$24,4,FALSE)+IF('BMP P Tracking Table'!$W377="By HSG",'BMP P Tracking Table'!$X377*VLOOKUP('BMP P Tracking Table'!$R377,'Loading Rates'!$B$1:$L$24,6,FALSE)+'BMP P Tracking Table'!$Y377*VLOOKUP('BMP P Tracking Table'!$R377,'Loading Rates'!$B$1:$L$24,7,FALSE)+'BMP P Tracking Table'!$Z377*VLOOKUP('BMP P Tracking Table'!$R377,'Loading Rates'!$B$1:$L$24,8,FALSE)+'BMP P Tracking Table'!$AA377*VLOOKUP('BMP P Tracking Table'!$R377,'Loading Rates'!$B$1:$L$24,9,FALSE),'BMP P Tracking Table'!$AB377*VLOOKUP('BMP P Tracking Table'!$R377,'Loading Rates'!$B$1:$L$24,10,FALSE)),"")</f>
        <v/>
      </c>
      <c r="AF377" s="104" t="str">
        <f>IFERROR(MIN(2,IF('BMP P Tracking Table'!$W377="Total Pervious",(-(3630*'BMP P Tracking Table'!$V377+20.691*'BMP P Tracking Table'!$AB377)+SQRT((3630*'BMP P Tracking Table'!$V377+20.691*'BMP P Tracking Table'!$AB377)^2-(4*(996.798*'BMP P Tracking Table'!$AB377)*-'BMP P Tracking Table'!$AC377)))/(2*(996.798*'BMP P Tracking Table'!$AB377)),IF(SUM('BMP P Tracking Table'!$X377:$AA377)=0,'BMP P Tracking Table'!$AC377/(-3630*'BMP P Tracking Table'!$V377),(-(3630*'BMP P Tracking Table'!$V377+20.691*'BMP P Tracking Table'!$AA377-216.711*'BMP P Tracking Table'!$Z377-83.853*'BMP P Tracking Table'!$Y377-42.834*'BMP P Tracking Table'!$X377)+SQRT((3630*'BMP P Tracking Table'!$V377+20.691*'BMP P Tracking Table'!$AA377-216.711*'BMP P Tracking Table'!$Z377-83.853*'BMP P Tracking Table'!$Y377-42.834*'BMP P Tracking Table'!$X377)^2-(4*(149.919*'BMP P Tracking Table'!$X377+236.676*'BMP P Tracking Table'!$Y377+726*'BMP P Tracking Table'!$Z377+996.798*'BMP P Tracking Table'!$AA377)*-'BMP P Tracking Table'!$AC377)))/(2*(149.919*'BMP P Tracking Table'!$X377+236.676*'BMP P Tracking Table'!$Y377+726*'BMP P Tracking Table'!$Z377+996.798*'BMP P Tracking Table'!$AA377))))),"")</f>
        <v/>
      </c>
      <c r="AG377" s="104" t="str">
        <f>IFERROR((VLOOKUP(CONCATENATE('BMP P Tracking Table'!$U377," ",'BMP P Tracking Table'!$AD377),'Performance Curves'!$C$1:$L$46,_xlfn.SINGLE(MATCH('BMP P Tracking Table'!$AF377,'Performance Curves'!$D$1:$L$1,1))+2,FALSE)-VLOOKUP(CONCATENATE('BMP P Tracking Table'!$U377," ",'BMP P Tracking Table'!$AD377),'Performance Curves'!$C$1:$L$46,_xlfn.SINGLE(MATCH('BMP P Tracking Table'!$AF377,'Performance Curves'!$D$1:$L$1,1))+1,FALSE)),"")</f>
        <v/>
      </c>
      <c r="AH377" s="104" t="str">
        <f>IFERROR(('BMP P Tracking Table'!$AF377-INDEX('Performance Curves'!$D$1:$L$1,1,MATCH('BMP P Tracking Table'!$AF377,'Performance Curves'!$D$1:$L$1,1)))/(INDEX('Performance Curves'!$D$1:$L$1,1,MATCH('BMP P Tracking Table'!$AF377,'Performance Curves'!$D$1:$L$1,1)+1)-INDEX('Performance Curves'!$D$1:$L$1,1,MATCH('BMP P Tracking Table'!$AF377,'Performance Curves'!$D$1:$L$1,1))),"")</f>
        <v/>
      </c>
      <c r="AI377" s="103" t="str">
        <f>IFERROR(IF('BMP P Tracking Table'!$AF377=2,VLOOKUP(CONCATENATE('BMP P Tracking Table'!$U377," ",'BMP P Tracking Table'!$AD377),'Performance Curves'!$C$1:$L$46,_xlfn.SINGLE(MATCH('BMP P Tracking Table'!$AF377,'Performance Curves'!$D$1:$L$1,1))+1,FALSE),'BMP P Tracking Table'!$AG377*'BMP P Tracking Table'!$AH377+VLOOKUP(CONCATENATE('BMP P Tracking Table'!$U377," ",'BMP P Tracking Table'!$AD377),'Performance Curves'!$C$1:$L$46,_xlfn.SINGLE(MATCH('BMP P Tracking Table'!$AF377,'Performance Curves'!$D$1:$L$1,1))+1,FALSE)),"")</f>
        <v/>
      </c>
      <c r="AJ377" s="104" t="str">
        <f>IFERROR('BMP P Tracking Table'!$AI377*'BMP P Tracking Table'!$AE377,"")</f>
        <v/>
      </c>
      <c r="AK377" s="65"/>
      <c r="AL377" s="98"/>
      <c r="AM377" s="98"/>
      <c r="AN377" s="64">
        <v>1</v>
      </c>
      <c r="AO377" s="102" t="str">
        <f t="shared" si="39"/>
        <v/>
      </c>
      <c r="AP377" s="98"/>
      <c r="AQ377" s="98"/>
      <c r="AR377" s="98"/>
      <c r="AS377" s="98"/>
      <c r="AT377" s="98"/>
      <c r="AU377" s="98"/>
      <c r="AV377" s="98"/>
      <c r="AW377" s="65"/>
      <c r="AX377" s="99"/>
      <c r="AY377" s="99"/>
      <c r="AZ377" s="104" t="str">
        <f>IF('BMP P Tracking Table'!$AL377="Yes",IF('BMP P Tracking Table'!$AM377="No",'BMP P Tracking Table'!$V377*VLOOKUP('BMP P Tracking Table'!$R377,'Loading Rates'!$B$1:$L$24,4,FALSE)+IF('BMP P Tracking Table'!$W377="By HSG",'BMP P Tracking Table'!$X377*VLOOKUP('BMP P Tracking Table'!$R377,'Loading Rates'!$B$1:$L$24,6,FALSE)+'BMP P Tracking Table'!$Y377*VLOOKUP('BMP P Tracking Table'!$R377,'Loading Rates'!$B$1:$L$24,7,FALSE)+'BMP P Tracking Table'!$Z377*VLOOKUP('BMP P Tracking Table'!$R377,'Loading Rates'!$B$1:$L$24,8,FALSE)+'BMP P Tracking Table'!$AA377*VLOOKUP('BMP P Tracking Table'!$R377,'Loading Rates'!$B$1:$L$24,9,FALSE),'BMP P Tracking Table'!$AB377*VLOOKUP('BMP P Tracking Table'!$R377,'Loading Rates'!$B$1:$L$24,10,FALSE)),'BMP P Tracking Table'!$AP377*VLOOKUP('BMP P Tracking Table'!$R377,'Loading Rates'!$B$1:$L$24,4,FALSE)+IF('BMP P Tracking Table'!$AQ377="By HSG",'BMP P Tracking Table'!$AR377*VLOOKUP('BMP P Tracking Table'!$R377,'Loading Rates'!$B$1:$L$24,6,FALSE)+'BMP P Tracking Table'!$AS377*VLOOKUP('BMP P Tracking Table'!$R377,'Loading Rates'!$B$1:$L$24,7,FALSE)+'BMP P Tracking Table'!$AT377*VLOOKUP('BMP P Tracking Table'!$R377,'Loading Rates'!$B$1:$L$24,8,FALSE)+'BMP P Tracking Table'!$AU377*VLOOKUP('BMP P Tracking Table'!$R377,'Loading Rates'!$B$1:$L$24,9,FALSE),'BMP P Tracking Table'!$AV377*VLOOKUP('BMP P Tracking Table'!$R377,'Loading Rates'!$B$1:$L$24,10,FALSE))),"")</f>
        <v/>
      </c>
      <c r="BA377" s="104" t="str">
        <f>IFERROR(IF('BMP P Tracking Table'!$AM377="Yes",MIN(2,IF('BMP P Tracking Table'!$AQ377="Total Pervious",(-(3630*'BMP P Tracking Table'!$AP377+20.691*'BMP P Tracking Table'!$AV377)+SQRT((3630*'BMP P Tracking Table'!$AP377+20.691*'BMP P Tracking Table'!$AV377)^2-(4*(996.798*'BMP P Tracking Table'!$AV377)*-'BMP P Tracking Table'!$AX377)))/(2*(996.798*'BMP P Tracking Table'!$AV377)),IF(SUM('BMP P Tracking Table'!$AR377:$AU377)=0,'BMP P Tracking Table'!$AV377/(-3630*'BMP P Tracking Table'!$AP377),(-(3630*'BMP P Tracking Table'!$AP377+20.691*'BMP P Tracking Table'!$AU377-216.711*'BMP P Tracking Table'!$AT377-83.853*'BMP P Tracking Table'!$AS377-42.834*'BMP P Tracking Table'!$AR377)+SQRT((3630*'BMP P Tracking Table'!$AP377+20.691*'BMP P Tracking Table'!$AU377-216.711*'BMP P Tracking Table'!$AT377-83.853*'BMP P Tracking Table'!$AS377-42.834*'BMP P Tracking Table'!$AR377)^2-(4*(149.919*'BMP P Tracking Table'!$AR377+236.676*'BMP P Tracking Table'!$AS377+726*'BMP P Tracking Table'!$AT377+996.798*'BMP P Tracking Table'!$AU377)*-'BMP P Tracking Table'!$AX377)))/(2*(149.919*'BMP P Tracking Table'!$AR377+236.676*'BMP P Tracking Table'!$AS377+726*'BMP P Tracking Table'!$AT377+996.798*'BMP P Tracking Table'!$AU377))))),MIN(2,IF('BMP P Tracking Table'!$AQ377="Total Pervious",(-(3630*'BMP P Tracking Table'!$V377+20.691*'BMP P Tracking Table'!$AB377)+SQRT((3630*'BMP P Tracking Table'!$V377+20.691*'BMP P Tracking Table'!$AB377)^2-(4*(996.798*'BMP P Tracking Table'!$AB377)*-'BMP P Tracking Table'!$AX377)))/(2*(996.798*'BMP P Tracking Table'!$AB377)),IF(SUM('BMP P Tracking Table'!$X377:$AA377)=0,'BMP P Tracking Table'!$AX377/(-3630*'BMP P Tracking Table'!$V377),(-(3630*'BMP P Tracking Table'!$V377+20.691*'BMP P Tracking Table'!$AA377-216.711*'BMP P Tracking Table'!$Z377-83.853*'BMP P Tracking Table'!$Y377-42.834*'BMP P Tracking Table'!$X377)+SQRT((3630*'BMP P Tracking Table'!$V377+20.691*'BMP P Tracking Table'!$AA377-216.711*'BMP P Tracking Table'!$Z377-83.853*'BMP P Tracking Table'!$Y377-42.834*'BMP P Tracking Table'!$X377)^2-(4*(149.919*'BMP P Tracking Table'!$X377+236.676*'BMP P Tracking Table'!$Y377+726*'BMP P Tracking Table'!$Z377+996.798*'BMP P Tracking Table'!$AA377)*-'BMP P Tracking Table'!$AX377)))/(2*(149.919*'BMP P Tracking Table'!$X377+236.676*'BMP P Tracking Table'!$Y377+726*'BMP P Tracking Table'!$Z377+996.798*'BMP P Tracking Table'!$AA377)))))),"")</f>
        <v/>
      </c>
      <c r="BB377" s="102" t="str">
        <f>IFERROR((VLOOKUP(CONCATENATE('BMP P Tracking Table'!$AW377," ",'BMP P Tracking Table'!$AY377),'Performance Curves'!$C$1:$L$46,_xlfn.SINGLE(MATCH('BMP P Tracking Table'!$BA377,'Performance Curves'!$D$1:$L$1,1))+2,FALSE)-VLOOKUP(CONCATENATE('BMP P Tracking Table'!$AW377," ",'BMP P Tracking Table'!$AY377),'Performance Curves'!$C$1:$L$46,_xlfn.SINGLE(MATCH('BMP P Tracking Table'!$BA377,'Performance Curves'!$D$1:$L$1,1))+1,FALSE)),"")</f>
        <v/>
      </c>
      <c r="BC377" s="102" t="str">
        <f>IFERROR(('BMP P Tracking Table'!$BA377-INDEX('Performance Curves'!$D$1:$L$1,1,MATCH('BMP P Tracking Table'!$BA377,'Performance Curves'!$D$1:$L$1,1)))/(INDEX('Performance Curves'!$D$1:$L$1,1,MATCH('BMP P Tracking Table'!$BA377,'Performance Curves'!$D$1:$L$1,1)+1)-INDEX('Performance Curves'!$D$1:$L$1,1,MATCH('BMP P Tracking Table'!$BA377,'Performance Curves'!$D$1:$L$1,1))),"")</f>
        <v/>
      </c>
      <c r="BD377" s="103" t="str" cm="1">
        <f t="array" ref="BD377">IFERROR(IF('BMP P Tracking Table'!$BA377=2,VLOOKUP(CONCATENATE('BMP P Tracking Table'!$AW377," ",'BMP P Tracking Table'!$AY377),'Performance Curves'!$C$1:$L$44,_xlfn.SINGLE(MATCH('BMP P Tracking Table'!$BA377,'Performance Curves'!$D$1:$L$1,1))+1,FALSE),'BMP P Tracking Table'!$BB377*'BMP P Tracking Table'!$BC377+VLOOKUP(CONCATENATE('BMP P Tracking Table'!$AW377," ",'BMP P Tracking Table'!$AY377),'Performance Curves'!$C$1:$L$44,_xlfn.SINGLE(MATCH('BMP P Tracking Table'!$BA377,'Performance Curves'!$D$1:$L$1,1))+1,FALSE)),"")</f>
        <v/>
      </c>
      <c r="BE377" s="104" t="str">
        <f>IFERROR('BMP P Tracking Table'!$BD377*'BMP P Tracking Table'!$AZ377,"")</f>
        <v/>
      </c>
      <c r="BF377" s="98"/>
      <c r="BG377" s="37">
        <f t="shared" si="40"/>
        <v>0</v>
      </c>
    </row>
    <row r="378" spans="2:59" s="36" customFormat="1">
      <c r="B378" s="65"/>
      <c r="C378" s="65"/>
      <c r="D378" s="65"/>
      <c r="E378" s="65"/>
      <c r="F378" s="94"/>
      <c r="G378" s="94"/>
      <c r="H378" s="65"/>
      <c r="I378" s="65"/>
      <c r="J378" s="65"/>
      <c r="K378" s="95"/>
      <c r="L378" s="65"/>
      <c r="M378" s="65"/>
      <c r="N378" s="65"/>
      <c r="O378" s="65"/>
      <c r="P378" s="65"/>
      <c r="Q378" s="65"/>
      <c r="R378" s="65" t="str">
        <f>IFERROR(VLOOKUP('BMP P Tracking Table'!$Q378,Dropdowns!$C$2:$E$15,3,FALSE),"")</f>
        <v/>
      </c>
      <c r="S378" s="65" t="str">
        <f>IFERROR(VLOOKUP('BMP P Tracking Table'!$R378,Dropdowns!$Q$3:$R$23,2,FALSE),"")</f>
        <v/>
      </c>
      <c r="T378" s="65"/>
      <c r="U378" s="65"/>
      <c r="V378" s="65"/>
      <c r="W378" s="65"/>
      <c r="X378" s="65"/>
      <c r="Y378" s="65"/>
      <c r="Z378" s="65"/>
      <c r="AA378" s="65"/>
      <c r="AB378" s="65"/>
      <c r="AC378" s="97"/>
      <c r="AD378" s="65"/>
      <c r="AE378" s="104" t="str">
        <f>IFERROR('BMP P Tracking Table'!$V378*VLOOKUP('BMP P Tracking Table'!$R378,'Loading Rates'!$B$1:$L$24,4,FALSE)+IF('BMP P Tracking Table'!$W378="By HSG",'BMP P Tracking Table'!$X378*VLOOKUP('BMP P Tracking Table'!$R378,'Loading Rates'!$B$1:$L$24,6,FALSE)+'BMP P Tracking Table'!$Y378*VLOOKUP('BMP P Tracking Table'!$R378,'Loading Rates'!$B$1:$L$24,7,FALSE)+'BMP P Tracking Table'!$Z378*VLOOKUP('BMP P Tracking Table'!$R378,'Loading Rates'!$B$1:$L$24,8,FALSE)+'BMP P Tracking Table'!$AA378*VLOOKUP('BMP P Tracking Table'!$R378,'Loading Rates'!$B$1:$L$24,9,FALSE),'BMP P Tracking Table'!$AB378*VLOOKUP('BMP P Tracking Table'!$R378,'Loading Rates'!$B$1:$L$24,10,FALSE)),"")</f>
        <v/>
      </c>
      <c r="AF378" s="104" t="str">
        <f>IFERROR(MIN(2,IF('BMP P Tracking Table'!$W378="Total Pervious",(-(3630*'BMP P Tracking Table'!$V378+20.691*'BMP P Tracking Table'!$AB378)+SQRT((3630*'BMP P Tracking Table'!$V378+20.691*'BMP P Tracking Table'!$AB378)^2-(4*(996.798*'BMP P Tracking Table'!$AB378)*-'BMP P Tracking Table'!$AC378)))/(2*(996.798*'BMP P Tracking Table'!$AB378)),IF(SUM('BMP P Tracking Table'!$X378:$AA378)=0,'BMP P Tracking Table'!$AC378/(-3630*'BMP P Tracking Table'!$V378),(-(3630*'BMP P Tracking Table'!$V378+20.691*'BMP P Tracking Table'!$AA378-216.711*'BMP P Tracking Table'!$Z378-83.853*'BMP P Tracking Table'!$Y378-42.834*'BMP P Tracking Table'!$X378)+SQRT((3630*'BMP P Tracking Table'!$V378+20.691*'BMP P Tracking Table'!$AA378-216.711*'BMP P Tracking Table'!$Z378-83.853*'BMP P Tracking Table'!$Y378-42.834*'BMP P Tracking Table'!$X378)^2-(4*(149.919*'BMP P Tracking Table'!$X378+236.676*'BMP P Tracking Table'!$Y378+726*'BMP P Tracking Table'!$Z378+996.798*'BMP P Tracking Table'!$AA378)*-'BMP P Tracking Table'!$AC378)))/(2*(149.919*'BMP P Tracking Table'!$X378+236.676*'BMP P Tracking Table'!$Y378+726*'BMP P Tracking Table'!$Z378+996.798*'BMP P Tracking Table'!$AA378))))),"")</f>
        <v/>
      </c>
      <c r="AG378" s="104" t="str">
        <f>IFERROR((VLOOKUP(CONCATENATE('BMP P Tracking Table'!$U378," ",'BMP P Tracking Table'!$AD378),'Performance Curves'!$C$1:$L$46,_xlfn.SINGLE(MATCH('BMP P Tracking Table'!$AF378,'Performance Curves'!$D$1:$L$1,1))+2,FALSE)-VLOOKUP(CONCATENATE('BMP P Tracking Table'!$U378," ",'BMP P Tracking Table'!$AD378),'Performance Curves'!$C$1:$L$46,_xlfn.SINGLE(MATCH('BMP P Tracking Table'!$AF378,'Performance Curves'!$D$1:$L$1,1))+1,FALSE)),"")</f>
        <v/>
      </c>
      <c r="AH378" s="104" t="str">
        <f>IFERROR(('BMP P Tracking Table'!$AF378-INDEX('Performance Curves'!$D$1:$L$1,1,MATCH('BMP P Tracking Table'!$AF378,'Performance Curves'!$D$1:$L$1,1)))/(INDEX('Performance Curves'!$D$1:$L$1,1,MATCH('BMP P Tracking Table'!$AF378,'Performance Curves'!$D$1:$L$1,1)+1)-INDEX('Performance Curves'!$D$1:$L$1,1,MATCH('BMP P Tracking Table'!$AF378,'Performance Curves'!$D$1:$L$1,1))),"")</f>
        <v/>
      </c>
      <c r="AI378" s="103" t="str">
        <f>IFERROR(IF('BMP P Tracking Table'!$AF378=2,VLOOKUP(CONCATENATE('BMP P Tracking Table'!$U378," ",'BMP P Tracking Table'!$AD378),'Performance Curves'!$C$1:$L$46,_xlfn.SINGLE(MATCH('BMP P Tracking Table'!$AF378,'Performance Curves'!$D$1:$L$1,1))+1,FALSE),'BMP P Tracking Table'!$AG378*'BMP P Tracking Table'!$AH378+VLOOKUP(CONCATENATE('BMP P Tracking Table'!$U378," ",'BMP P Tracking Table'!$AD378),'Performance Curves'!$C$1:$L$46,_xlfn.SINGLE(MATCH('BMP P Tracking Table'!$AF378,'Performance Curves'!$D$1:$L$1,1))+1,FALSE)),"")</f>
        <v/>
      </c>
      <c r="AJ378" s="104" t="str">
        <f>IFERROR('BMP P Tracking Table'!$AI378*'BMP P Tracking Table'!$AE378,"")</f>
        <v/>
      </c>
      <c r="AK378" s="65"/>
      <c r="AL378" s="98"/>
      <c r="AM378" s="98"/>
      <c r="AN378" s="64">
        <v>1</v>
      </c>
      <c r="AO378" s="102" t="str">
        <f t="shared" si="39"/>
        <v/>
      </c>
      <c r="AP378" s="98"/>
      <c r="AQ378" s="98"/>
      <c r="AR378" s="98"/>
      <c r="AS378" s="98"/>
      <c r="AT378" s="98"/>
      <c r="AU378" s="98"/>
      <c r="AV378" s="98"/>
      <c r="AW378" s="65"/>
      <c r="AX378" s="99"/>
      <c r="AY378" s="99"/>
      <c r="AZ378" s="104" t="str">
        <f>IF('BMP P Tracking Table'!$AL378="Yes",IF('BMP P Tracking Table'!$AM378="No",'BMP P Tracking Table'!$V378*VLOOKUP('BMP P Tracking Table'!$R378,'Loading Rates'!$B$1:$L$24,4,FALSE)+IF('BMP P Tracking Table'!$W378="By HSG",'BMP P Tracking Table'!$X378*VLOOKUP('BMP P Tracking Table'!$R378,'Loading Rates'!$B$1:$L$24,6,FALSE)+'BMP P Tracking Table'!$Y378*VLOOKUP('BMP P Tracking Table'!$R378,'Loading Rates'!$B$1:$L$24,7,FALSE)+'BMP P Tracking Table'!$Z378*VLOOKUP('BMP P Tracking Table'!$R378,'Loading Rates'!$B$1:$L$24,8,FALSE)+'BMP P Tracking Table'!$AA378*VLOOKUP('BMP P Tracking Table'!$R378,'Loading Rates'!$B$1:$L$24,9,FALSE),'BMP P Tracking Table'!$AB378*VLOOKUP('BMP P Tracking Table'!$R378,'Loading Rates'!$B$1:$L$24,10,FALSE)),'BMP P Tracking Table'!$AP378*VLOOKUP('BMP P Tracking Table'!$R378,'Loading Rates'!$B$1:$L$24,4,FALSE)+IF('BMP P Tracking Table'!$AQ378="By HSG",'BMP P Tracking Table'!$AR378*VLOOKUP('BMP P Tracking Table'!$R378,'Loading Rates'!$B$1:$L$24,6,FALSE)+'BMP P Tracking Table'!$AS378*VLOOKUP('BMP P Tracking Table'!$R378,'Loading Rates'!$B$1:$L$24,7,FALSE)+'BMP P Tracking Table'!$AT378*VLOOKUP('BMP P Tracking Table'!$R378,'Loading Rates'!$B$1:$L$24,8,FALSE)+'BMP P Tracking Table'!$AU378*VLOOKUP('BMP P Tracking Table'!$R378,'Loading Rates'!$B$1:$L$24,9,FALSE),'BMP P Tracking Table'!$AV378*VLOOKUP('BMP P Tracking Table'!$R378,'Loading Rates'!$B$1:$L$24,10,FALSE))),"")</f>
        <v/>
      </c>
      <c r="BA378" s="104" t="str">
        <f>IFERROR(IF('BMP P Tracking Table'!$AM378="Yes",MIN(2,IF('BMP P Tracking Table'!$AQ378="Total Pervious",(-(3630*'BMP P Tracking Table'!$AP378+20.691*'BMP P Tracking Table'!$AV378)+SQRT((3630*'BMP P Tracking Table'!$AP378+20.691*'BMP P Tracking Table'!$AV378)^2-(4*(996.798*'BMP P Tracking Table'!$AV378)*-'BMP P Tracking Table'!$AX378)))/(2*(996.798*'BMP P Tracking Table'!$AV378)),IF(SUM('BMP P Tracking Table'!$AR378:$AU378)=0,'BMP P Tracking Table'!$AV378/(-3630*'BMP P Tracking Table'!$AP378),(-(3630*'BMP P Tracking Table'!$AP378+20.691*'BMP P Tracking Table'!$AU378-216.711*'BMP P Tracking Table'!$AT378-83.853*'BMP P Tracking Table'!$AS378-42.834*'BMP P Tracking Table'!$AR378)+SQRT((3630*'BMP P Tracking Table'!$AP378+20.691*'BMP P Tracking Table'!$AU378-216.711*'BMP P Tracking Table'!$AT378-83.853*'BMP P Tracking Table'!$AS378-42.834*'BMP P Tracking Table'!$AR378)^2-(4*(149.919*'BMP P Tracking Table'!$AR378+236.676*'BMP P Tracking Table'!$AS378+726*'BMP P Tracking Table'!$AT378+996.798*'BMP P Tracking Table'!$AU378)*-'BMP P Tracking Table'!$AX378)))/(2*(149.919*'BMP P Tracking Table'!$AR378+236.676*'BMP P Tracking Table'!$AS378+726*'BMP P Tracking Table'!$AT378+996.798*'BMP P Tracking Table'!$AU378))))),MIN(2,IF('BMP P Tracking Table'!$AQ378="Total Pervious",(-(3630*'BMP P Tracking Table'!$V378+20.691*'BMP P Tracking Table'!$AB378)+SQRT((3630*'BMP P Tracking Table'!$V378+20.691*'BMP P Tracking Table'!$AB378)^2-(4*(996.798*'BMP P Tracking Table'!$AB378)*-'BMP P Tracking Table'!$AX378)))/(2*(996.798*'BMP P Tracking Table'!$AB378)),IF(SUM('BMP P Tracking Table'!$X378:$AA378)=0,'BMP P Tracking Table'!$AX378/(-3630*'BMP P Tracking Table'!$V378),(-(3630*'BMP P Tracking Table'!$V378+20.691*'BMP P Tracking Table'!$AA378-216.711*'BMP P Tracking Table'!$Z378-83.853*'BMP P Tracking Table'!$Y378-42.834*'BMP P Tracking Table'!$X378)+SQRT((3630*'BMP P Tracking Table'!$V378+20.691*'BMP P Tracking Table'!$AA378-216.711*'BMP P Tracking Table'!$Z378-83.853*'BMP P Tracking Table'!$Y378-42.834*'BMP P Tracking Table'!$X378)^2-(4*(149.919*'BMP P Tracking Table'!$X378+236.676*'BMP P Tracking Table'!$Y378+726*'BMP P Tracking Table'!$Z378+996.798*'BMP P Tracking Table'!$AA378)*-'BMP P Tracking Table'!$AX378)))/(2*(149.919*'BMP P Tracking Table'!$X378+236.676*'BMP P Tracking Table'!$Y378+726*'BMP P Tracking Table'!$Z378+996.798*'BMP P Tracking Table'!$AA378)))))),"")</f>
        <v/>
      </c>
      <c r="BB378" s="102" t="str">
        <f>IFERROR((VLOOKUP(CONCATENATE('BMP P Tracking Table'!$AW378," ",'BMP P Tracking Table'!$AY378),'Performance Curves'!$C$1:$L$46,_xlfn.SINGLE(MATCH('BMP P Tracking Table'!$BA378,'Performance Curves'!$D$1:$L$1,1))+2,FALSE)-VLOOKUP(CONCATENATE('BMP P Tracking Table'!$AW378," ",'BMP P Tracking Table'!$AY378),'Performance Curves'!$C$1:$L$46,_xlfn.SINGLE(MATCH('BMP P Tracking Table'!$BA378,'Performance Curves'!$D$1:$L$1,1))+1,FALSE)),"")</f>
        <v/>
      </c>
      <c r="BC378" s="102" t="str">
        <f>IFERROR(('BMP P Tracking Table'!$BA378-INDEX('Performance Curves'!$D$1:$L$1,1,MATCH('BMP P Tracking Table'!$BA378,'Performance Curves'!$D$1:$L$1,1)))/(INDEX('Performance Curves'!$D$1:$L$1,1,MATCH('BMP P Tracking Table'!$BA378,'Performance Curves'!$D$1:$L$1,1)+1)-INDEX('Performance Curves'!$D$1:$L$1,1,MATCH('BMP P Tracking Table'!$BA378,'Performance Curves'!$D$1:$L$1,1))),"")</f>
        <v/>
      </c>
      <c r="BD378" s="103" t="str" cm="1">
        <f t="array" ref="BD378">IFERROR(IF('BMP P Tracking Table'!$BA378=2,VLOOKUP(CONCATENATE('BMP P Tracking Table'!$AW378," ",'BMP P Tracking Table'!$AY378),'Performance Curves'!$C$1:$L$44,_xlfn.SINGLE(MATCH('BMP P Tracking Table'!$BA378,'Performance Curves'!$D$1:$L$1,1))+1,FALSE),'BMP P Tracking Table'!$BB378*'BMP P Tracking Table'!$BC378+VLOOKUP(CONCATENATE('BMP P Tracking Table'!$AW378," ",'BMP P Tracking Table'!$AY378),'Performance Curves'!$C$1:$L$44,_xlfn.SINGLE(MATCH('BMP P Tracking Table'!$BA378,'Performance Curves'!$D$1:$L$1,1))+1,FALSE)),"")</f>
        <v/>
      </c>
      <c r="BE378" s="104" t="str">
        <f>IFERROR('BMP P Tracking Table'!$BD378*'BMP P Tracking Table'!$AZ378,"")</f>
        <v/>
      </c>
      <c r="BF378" s="98"/>
      <c r="BG378" s="37">
        <f t="shared" si="40"/>
        <v>0</v>
      </c>
    </row>
    <row r="379" spans="2:59" s="36" customFormat="1">
      <c r="B379" s="65"/>
      <c r="C379" s="65"/>
      <c r="D379" s="65"/>
      <c r="E379" s="65"/>
      <c r="F379" s="94"/>
      <c r="G379" s="94"/>
      <c r="H379" s="65"/>
      <c r="I379" s="65"/>
      <c r="J379" s="65"/>
      <c r="K379" s="95"/>
      <c r="L379" s="65"/>
      <c r="M379" s="65"/>
      <c r="N379" s="65"/>
      <c r="O379" s="65"/>
      <c r="P379" s="65"/>
      <c r="Q379" s="65"/>
      <c r="R379" s="65" t="str">
        <f>IFERROR(VLOOKUP('BMP P Tracking Table'!$Q379,Dropdowns!$C$2:$E$15,3,FALSE),"")</f>
        <v/>
      </c>
      <c r="S379" s="65" t="str">
        <f>IFERROR(VLOOKUP('BMP P Tracking Table'!$R379,Dropdowns!$Q$3:$R$23,2,FALSE),"")</f>
        <v/>
      </c>
      <c r="T379" s="65"/>
      <c r="U379" s="65"/>
      <c r="V379" s="65"/>
      <c r="W379" s="65"/>
      <c r="X379" s="65"/>
      <c r="Y379" s="65"/>
      <c r="Z379" s="65"/>
      <c r="AA379" s="65"/>
      <c r="AB379" s="65"/>
      <c r="AC379" s="97"/>
      <c r="AD379" s="65"/>
      <c r="AE379" s="104" t="str">
        <f>IFERROR('BMP P Tracking Table'!$V379*VLOOKUP('BMP P Tracking Table'!$R379,'Loading Rates'!$B$1:$L$24,4,FALSE)+IF('BMP P Tracking Table'!$W379="By HSG",'BMP P Tracking Table'!$X379*VLOOKUP('BMP P Tracking Table'!$R379,'Loading Rates'!$B$1:$L$24,6,FALSE)+'BMP P Tracking Table'!$Y379*VLOOKUP('BMP P Tracking Table'!$R379,'Loading Rates'!$B$1:$L$24,7,FALSE)+'BMP P Tracking Table'!$Z379*VLOOKUP('BMP P Tracking Table'!$R379,'Loading Rates'!$B$1:$L$24,8,FALSE)+'BMP P Tracking Table'!$AA379*VLOOKUP('BMP P Tracking Table'!$R379,'Loading Rates'!$B$1:$L$24,9,FALSE),'BMP P Tracking Table'!$AB379*VLOOKUP('BMP P Tracking Table'!$R379,'Loading Rates'!$B$1:$L$24,10,FALSE)),"")</f>
        <v/>
      </c>
      <c r="AF379" s="104" t="str">
        <f>IFERROR(MIN(2,IF('BMP P Tracking Table'!$W379="Total Pervious",(-(3630*'BMP P Tracking Table'!$V379+20.691*'BMP P Tracking Table'!$AB379)+SQRT((3630*'BMP P Tracking Table'!$V379+20.691*'BMP P Tracking Table'!$AB379)^2-(4*(996.798*'BMP P Tracking Table'!$AB379)*-'BMP P Tracking Table'!$AC379)))/(2*(996.798*'BMP P Tracking Table'!$AB379)),IF(SUM('BMP P Tracking Table'!$X379:$AA379)=0,'BMP P Tracking Table'!$AC379/(-3630*'BMP P Tracking Table'!$V379),(-(3630*'BMP P Tracking Table'!$V379+20.691*'BMP P Tracking Table'!$AA379-216.711*'BMP P Tracking Table'!$Z379-83.853*'BMP P Tracking Table'!$Y379-42.834*'BMP P Tracking Table'!$X379)+SQRT((3630*'BMP P Tracking Table'!$V379+20.691*'BMP P Tracking Table'!$AA379-216.711*'BMP P Tracking Table'!$Z379-83.853*'BMP P Tracking Table'!$Y379-42.834*'BMP P Tracking Table'!$X379)^2-(4*(149.919*'BMP P Tracking Table'!$X379+236.676*'BMP P Tracking Table'!$Y379+726*'BMP P Tracking Table'!$Z379+996.798*'BMP P Tracking Table'!$AA379)*-'BMP P Tracking Table'!$AC379)))/(2*(149.919*'BMP P Tracking Table'!$X379+236.676*'BMP P Tracking Table'!$Y379+726*'BMP P Tracking Table'!$Z379+996.798*'BMP P Tracking Table'!$AA379))))),"")</f>
        <v/>
      </c>
      <c r="AG379" s="104" t="str">
        <f>IFERROR((VLOOKUP(CONCATENATE('BMP P Tracking Table'!$U379," ",'BMP P Tracking Table'!$AD379),'Performance Curves'!$C$1:$L$46,_xlfn.SINGLE(MATCH('BMP P Tracking Table'!$AF379,'Performance Curves'!$D$1:$L$1,1))+2,FALSE)-VLOOKUP(CONCATENATE('BMP P Tracking Table'!$U379," ",'BMP P Tracking Table'!$AD379),'Performance Curves'!$C$1:$L$46,_xlfn.SINGLE(MATCH('BMP P Tracking Table'!$AF379,'Performance Curves'!$D$1:$L$1,1))+1,FALSE)),"")</f>
        <v/>
      </c>
      <c r="AH379" s="104" t="str">
        <f>IFERROR(('BMP P Tracking Table'!$AF379-INDEX('Performance Curves'!$D$1:$L$1,1,MATCH('BMP P Tracking Table'!$AF379,'Performance Curves'!$D$1:$L$1,1)))/(INDEX('Performance Curves'!$D$1:$L$1,1,MATCH('BMP P Tracking Table'!$AF379,'Performance Curves'!$D$1:$L$1,1)+1)-INDEX('Performance Curves'!$D$1:$L$1,1,MATCH('BMP P Tracking Table'!$AF379,'Performance Curves'!$D$1:$L$1,1))),"")</f>
        <v/>
      </c>
      <c r="AI379" s="103" t="str">
        <f>IFERROR(IF('BMP P Tracking Table'!$AF379=2,VLOOKUP(CONCATENATE('BMP P Tracking Table'!$U379," ",'BMP P Tracking Table'!$AD379),'Performance Curves'!$C$1:$L$46,_xlfn.SINGLE(MATCH('BMP P Tracking Table'!$AF379,'Performance Curves'!$D$1:$L$1,1))+1,FALSE),'BMP P Tracking Table'!$AG379*'BMP P Tracking Table'!$AH379+VLOOKUP(CONCATENATE('BMP P Tracking Table'!$U379," ",'BMP P Tracking Table'!$AD379),'Performance Curves'!$C$1:$L$46,_xlfn.SINGLE(MATCH('BMP P Tracking Table'!$AF379,'Performance Curves'!$D$1:$L$1,1))+1,FALSE)),"")</f>
        <v/>
      </c>
      <c r="AJ379" s="104" t="str">
        <f>IFERROR('BMP P Tracking Table'!$AI379*'BMP P Tracking Table'!$AE379,"")</f>
        <v/>
      </c>
      <c r="AK379" s="65"/>
      <c r="AL379" s="98"/>
      <c r="AM379" s="98"/>
      <c r="AN379" s="64">
        <v>1</v>
      </c>
      <c r="AO379" s="102" t="str">
        <f t="shared" si="39"/>
        <v/>
      </c>
      <c r="AP379" s="98"/>
      <c r="AQ379" s="98"/>
      <c r="AR379" s="98"/>
      <c r="AS379" s="98"/>
      <c r="AT379" s="98"/>
      <c r="AU379" s="98"/>
      <c r="AV379" s="98"/>
      <c r="AW379" s="65"/>
      <c r="AX379" s="99"/>
      <c r="AY379" s="99"/>
      <c r="AZ379" s="104" t="str">
        <f>IF('BMP P Tracking Table'!$AL379="Yes",IF('BMP P Tracking Table'!$AM379="No",'BMP P Tracking Table'!$V379*VLOOKUP('BMP P Tracking Table'!$R379,'Loading Rates'!$B$1:$L$24,4,FALSE)+IF('BMP P Tracking Table'!$W379="By HSG",'BMP P Tracking Table'!$X379*VLOOKUP('BMP P Tracking Table'!$R379,'Loading Rates'!$B$1:$L$24,6,FALSE)+'BMP P Tracking Table'!$Y379*VLOOKUP('BMP P Tracking Table'!$R379,'Loading Rates'!$B$1:$L$24,7,FALSE)+'BMP P Tracking Table'!$Z379*VLOOKUP('BMP P Tracking Table'!$R379,'Loading Rates'!$B$1:$L$24,8,FALSE)+'BMP P Tracking Table'!$AA379*VLOOKUP('BMP P Tracking Table'!$R379,'Loading Rates'!$B$1:$L$24,9,FALSE),'BMP P Tracking Table'!$AB379*VLOOKUP('BMP P Tracking Table'!$R379,'Loading Rates'!$B$1:$L$24,10,FALSE)),'BMP P Tracking Table'!$AP379*VLOOKUP('BMP P Tracking Table'!$R379,'Loading Rates'!$B$1:$L$24,4,FALSE)+IF('BMP P Tracking Table'!$AQ379="By HSG",'BMP P Tracking Table'!$AR379*VLOOKUP('BMP P Tracking Table'!$R379,'Loading Rates'!$B$1:$L$24,6,FALSE)+'BMP P Tracking Table'!$AS379*VLOOKUP('BMP P Tracking Table'!$R379,'Loading Rates'!$B$1:$L$24,7,FALSE)+'BMP P Tracking Table'!$AT379*VLOOKUP('BMP P Tracking Table'!$R379,'Loading Rates'!$B$1:$L$24,8,FALSE)+'BMP P Tracking Table'!$AU379*VLOOKUP('BMP P Tracking Table'!$R379,'Loading Rates'!$B$1:$L$24,9,FALSE),'BMP P Tracking Table'!$AV379*VLOOKUP('BMP P Tracking Table'!$R379,'Loading Rates'!$B$1:$L$24,10,FALSE))),"")</f>
        <v/>
      </c>
      <c r="BA379" s="104" t="str">
        <f>IFERROR(IF('BMP P Tracking Table'!$AM379="Yes",MIN(2,IF('BMP P Tracking Table'!$AQ379="Total Pervious",(-(3630*'BMP P Tracking Table'!$AP379+20.691*'BMP P Tracking Table'!$AV379)+SQRT((3630*'BMP P Tracking Table'!$AP379+20.691*'BMP P Tracking Table'!$AV379)^2-(4*(996.798*'BMP P Tracking Table'!$AV379)*-'BMP P Tracking Table'!$AX379)))/(2*(996.798*'BMP P Tracking Table'!$AV379)),IF(SUM('BMP P Tracking Table'!$AR379:$AU379)=0,'BMP P Tracking Table'!$AV379/(-3630*'BMP P Tracking Table'!$AP379),(-(3630*'BMP P Tracking Table'!$AP379+20.691*'BMP P Tracking Table'!$AU379-216.711*'BMP P Tracking Table'!$AT379-83.853*'BMP P Tracking Table'!$AS379-42.834*'BMP P Tracking Table'!$AR379)+SQRT((3630*'BMP P Tracking Table'!$AP379+20.691*'BMP P Tracking Table'!$AU379-216.711*'BMP P Tracking Table'!$AT379-83.853*'BMP P Tracking Table'!$AS379-42.834*'BMP P Tracking Table'!$AR379)^2-(4*(149.919*'BMP P Tracking Table'!$AR379+236.676*'BMP P Tracking Table'!$AS379+726*'BMP P Tracking Table'!$AT379+996.798*'BMP P Tracking Table'!$AU379)*-'BMP P Tracking Table'!$AX379)))/(2*(149.919*'BMP P Tracking Table'!$AR379+236.676*'BMP P Tracking Table'!$AS379+726*'BMP P Tracking Table'!$AT379+996.798*'BMP P Tracking Table'!$AU379))))),MIN(2,IF('BMP P Tracking Table'!$AQ379="Total Pervious",(-(3630*'BMP P Tracking Table'!$V379+20.691*'BMP P Tracking Table'!$AB379)+SQRT((3630*'BMP P Tracking Table'!$V379+20.691*'BMP P Tracking Table'!$AB379)^2-(4*(996.798*'BMP P Tracking Table'!$AB379)*-'BMP P Tracking Table'!$AX379)))/(2*(996.798*'BMP P Tracking Table'!$AB379)),IF(SUM('BMP P Tracking Table'!$X379:$AA379)=0,'BMP P Tracking Table'!$AX379/(-3630*'BMP P Tracking Table'!$V379),(-(3630*'BMP P Tracking Table'!$V379+20.691*'BMP P Tracking Table'!$AA379-216.711*'BMP P Tracking Table'!$Z379-83.853*'BMP P Tracking Table'!$Y379-42.834*'BMP P Tracking Table'!$X379)+SQRT((3630*'BMP P Tracking Table'!$V379+20.691*'BMP P Tracking Table'!$AA379-216.711*'BMP P Tracking Table'!$Z379-83.853*'BMP P Tracking Table'!$Y379-42.834*'BMP P Tracking Table'!$X379)^2-(4*(149.919*'BMP P Tracking Table'!$X379+236.676*'BMP P Tracking Table'!$Y379+726*'BMP P Tracking Table'!$Z379+996.798*'BMP P Tracking Table'!$AA379)*-'BMP P Tracking Table'!$AX379)))/(2*(149.919*'BMP P Tracking Table'!$X379+236.676*'BMP P Tracking Table'!$Y379+726*'BMP P Tracking Table'!$Z379+996.798*'BMP P Tracking Table'!$AA379)))))),"")</f>
        <v/>
      </c>
      <c r="BB379" s="102" t="str">
        <f>IFERROR((VLOOKUP(CONCATENATE('BMP P Tracking Table'!$AW379," ",'BMP P Tracking Table'!$AY379),'Performance Curves'!$C$1:$L$46,_xlfn.SINGLE(MATCH('BMP P Tracking Table'!$BA379,'Performance Curves'!$D$1:$L$1,1))+2,FALSE)-VLOOKUP(CONCATENATE('BMP P Tracking Table'!$AW379," ",'BMP P Tracking Table'!$AY379),'Performance Curves'!$C$1:$L$46,_xlfn.SINGLE(MATCH('BMP P Tracking Table'!$BA379,'Performance Curves'!$D$1:$L$1,1))+1,FALSE)),"")</f>
        <v/>
      </c>
      <c r="BC379" s="102" t="str">
        <f>IFERROR(('BMP P Tracking Table'!$BA379-INDEX('Performance Curves'!$D$1:$L$1,1,MATCH('BMP P Tracking Table'!$BA379,'Performance Curves'!$D$1:$L$1,1)))/(INDEX('Performance Curves'!$D$1:$L$1,1,MATCH('BMP P Tracking Table'!$BA379,'Performance Curves'!$D$1:$L$1,1)+1)-INDEX('Performance Curves'!$D$1:$L$1,1,MATCH('BMP P Tracking Table'!$BA379,'Performance Curves'!$D$1:$L$1,1))),"")</f>
        <v/>
      </c>
      <c r="BD379" s="103" t="str" cm="1">
        <f t="array" ref="BD379">IFERROR(IF('BMP P Tracking Table'!$BA379=2,VLOOKUP(CONCATENATE('BMP P Tracking Table'!$AW379," ",'BMP P Tracking Table'!$AY379),'Performance Curves'!$C$1:$L$44,_xlfn.SINGLE(MATCH('BMP P Tracking Table'!$BA379,'Performance Curves'!$D$1:$L$1,1))+1,FALSE),'BMP P Tracking Table'!$BB379*'BMP P Tracking Table'!$BC379+VLOOKUP(CONCATENATE('BMP P Tracking Table'!$AW379," ",'BMP P Tracking Table'!$AY379),'Performance Curves'!$C$1:$L$44,_xlfn.SINGLE(MATCH('BMP P Tracking Table'!$BA379,'Performance Curves'!$D$1:$L$1,1))+1,FALSE)),"")</f>
        <v/>
      </c>
      <c r="BE379" s="104" t="str">
        <f>IFERROR('BMP P Tracking Table'!$BD379*'BMP P Tracking Table'!$AZ379,"")</f>
        <v/>
      </c>
      <c r="BF379" s="98"/>
      <c r="BG379" s="37">
        <f t="shared" si="40"/>
        <v>0</v>
      </c>
    </row>
    <row r="380" spans="2:59" s="36" customFormat="1">
      <c r="B380" s="65"/>
      <c r="C380" s="65"/>
      <c r="D380" s="65"/>
      <c r="E380" s="65"/>
      <c r="F380" s="94"/>
      <c r="G380" s="94"/>
      <c r="H380" s="65"/>
      <c r="I380" s="65"/>
      <c r="J380" s="65"/>
      <c r="K380" s="95"/>
      <c r="L380" s="65"/>
      <c r="M380" s="65"/>
      <c r="N380" s="65"/>
      <c r="O380" s="65"/>
      <c r="P380" s="65"/>
      <c r="Q380" s="65"/>
      <c r="R380" s="65" t="str">
        <f>IFERROR(VLOOKUP('BMP P Tracking Table'!$Q380,Dropdowns!$C$2:$E$15,3,FALSE),"")</f>
        <v/>
      </c>
      <c r="S380" s="65" t="str">
        <f>IFERROR(VLOOKUP('BMP P Tracking Table'!$R380,Dropdowns!$Q$3:$R$23,2,FALSE),"")</f>
        <v/>
      </c>
      <c r="T380" s="65"/>
      <c r="U380" s="65"/>
      <c r="V380" s="65"/>
      <c r="W380" s="65"/>
      <c r="X380" s="65"/>
      <c r="Y380" s="65"/>
      <c r="Z380" s="65"/>
      <c r="AA380" s="65"/>
      <c r="AB380" s="65"/>
      <c r="AC380" s="97"/>
      <c r="AD380" s="65"/>
      <c r="AE380" s="104" t="str">
        <f>IFERROR('BMP P Tracking Table'!$V380*VLOOKUP('BMP P Tracking Table'!$R380,'Loading Rates'!$B$1:$L$24,4,FALSE)+IF('BMP P Tracking Table'!$W380="By HSG",'BMP P Tracking Table'!$X380*VLOOKUP('BMP P Tracking Table'!$R380,'Loading Rates'!$B$1:$L$24,6,FALSE)+'BMP P Tracking Table'!$Y380*VLOOKUP('BMP P Tracking Table'!$R380,'Loading Rates'!$B$1:$L$24,7,FALSE)+'BMP P Tracking Table'!$Z380*VLOOKUP('BMP P Tracking Table'!$R380,'Loading Rates'!$B$1:$L$24,8,FALSE)+'BMP P Tracking Table'!$AA380*VLOOKUP('BMP P Tracking Table'!$R380,'Loading Rates'!$B$1:$L$24,9,FALSE),'BMP P Tracking Table'!$AB380*VLOOKUP('BMP P Tracking Table'!$R380,'Loading Rates'!$B$1:$L$24,10,FALSE)),"")</f>
        <v/>
      </c>
      <c r="AF380" s="104" t="str">
        <f>IFERROR(MIN(2,IF('BMP P Tracking Table'!$W380="Total Pervious",(-(3630*'BMP P Tracking Table'!$V380+20.691*'BMP P Tracking Table'!$AB380)+SQRT((3630*'BMP P Tracking Table'!$V380+20.691*'BMP P Tracking Table'!$AB380)^2-(4*(996.798*'BMP P Tracking Table'!$AB380)*-'BMP P Tracking Table'!$AC380)))/(2*(996.798*'BMP P Tracking Table'!$AB380)),IF(SUM('BMP P Tracking Table'!$X380:$AA380)=0,'BMP P Tracking Table'!$AC380/(-3630*'BMP P Tracking Table'!$V380),(-(3630*'BMP P Tracking Table'!$V380+20.691*'BMP P Tracking Table'!$AA380-216.711*'BMP P Tracking Table'!$Z380-83.853*'BMP P Tracking Table'!$Y380-42.834*'BMP P Tracking Table'!$X380)+SQRT((3630*'BMP P Tracking Table'!$V380+20.691*'BMP P Tracking Table'!$AA380-216.711*'BMP P Tracking Table'!$Z380-83.853*'BMP P Tracking Table'!$Y380-42.834*'BMP P Tracking Table'!$X380)^2-(4*(149.919*'BMP P Tracking Table'!$X380+236.676*'BMP P Tracking Table'!$Y380+726*'BMP P Tracking Table'!$Z380+996.798*'BMP P Tracking Table'!$AA380)*-'BMP P Tracking Table'!$AC380)))/(2*(149.919*'BMP P Tracking Table'!$X380+236.676*'BMP P Tracking Table'!$Y380+726*'BMP P Tracking Table'!$Z380+996.798*'BMP P Tracking Table'!$AA380))))),"")</f>
        <v/>
      </c>
      <c r="AG380" s="104" t="str">
        <f>IFERROR((VLOOKUP(CONCATENATE('BMP P Tracking Table'!$U380," ",'BMP P Tracking Table'!$AD380),'Performance Curves'!$C$1:$L$46,_xlfn.SINGLE(MATCH('BMP P Tracking Table'!$AF380,'Performance Curves'!$D$1:$L$1,1))+2,FALSE)-VLOOKUP(CONCATENATE('BMP P Tracking Table'!$U380," ",'BMP P Tracking Table'!$AD380),'Performance Curves'!$C$1:$L$46,_xlfn.SINGLE(MATCH('BMP P Tracking Table'!$AF380,'Performance Curves'!$D$1:$L$1,1))+1,FALSE)),"")</f>
        <v/>
      </c>
      <c r="AH380" s="104" t="str">
        <f>IFERROR(('BMP P Tracking Table'!$AF380-INDEX('Performance Curves'!$D$1:$L$1,1,MATCH('BMP P Tracking Table'!$AF380,'Performance Curves'!$D$1:$L$1,1)))/(INDEX('Performance Curves'!$D$1:$L$1,1,MATCH('BMP P Tracking Table'!$AF380,'Performance Curves'!$D$1:$L$1,1)+1)-INDEX('Performance Curves'!$D$1:$L$1,1,MATCH('BMP P Tracking Table'!$AF380,'Performance Curves'!$D$1:$L$1,1))),"")</f>
        <v/>
      </c>
      <c r="AI380" s="103" t="str">
        <f>IFERROR(IF('BMP P Tracking Table'!$AF380=2,VLOOKUP(CONCATENATE('BMP P Tracking Table'!$U380," ",'BMP P Tracking Table'!$AD380),'Performance Curves'!$C$1:$L$46,_xlfn.SINGLE(MATCH('BMP P Tracking Table'!$AF380,'Performance Curves'!$D$1:$L$1,1))+1,FALSE),'BMP P Tracking Table'!$AG380*'BMP P Tracking Table'!$AH380+VLOOKUP(CONCATENATE('BMP P Tracking Table'!$U380," ",'BMP P Tracking Table'!$AD380),'Performance Curves'!$C$1:$L$46,_xlfn.SINGLE(MATCH('BMP P Tracking Table'!$AF380,'Performance Curves'!$D$1:$L$1,1))+1,FALSE)),"")</f>
        <v/>
      </c>
      <c r="AJ380" s="104" t="str">
        <f>IFERROR('BMP P Tracking Table'!$AI380*'BMP P Tracking Table'!$AE380,"")</f>
        <v/>
      </c>
      <c r="AK380" s="65"/>
      <c r="AL380" s="98"/>
      <c r="AM380" s="98"/>
      <c r="AN380" s="64">
        <v>1</v>
      </c>
      <c r="AO380" s="102" t="str">
        <f t="shared" si="39"/>
        <v/>
      </c>
      <c r="AP380" s="98"/>
      <c r="AQ380" s="98"/>
      <c r="AR380" s="98"/>
      <c r="AS380" s="98"/>
      <c r="AT380" s="98"/>
      <c r="AU380" s="98"/>
      <c r="AV380" s="98"/>
      <c r="AW380" s="65"/>
      <c r="AX380" s="99"/>
      <c r="AY380" s="99"/>
      <c r="AZ380" s="104" t="str">
        <f>IF('BMP P Tracking Table'!$AL380="Yes",IF('BMP P Tracking Table'!$AM380="No",'BMP P Tracking Table'!$V380*VLOOKUP('BMP P Tracking Table'!$R380,'Loading Rates'!$B$1:$L$24,4,FALSE)+IF('BMP P Tracking Table'!$W380="By HSG",'BMP P Tracking Table'!$X380*VLOOKUP('BMP P Tracking Table'!$R380,'Loading Rates'!$B$1:$L$24,6,FALSE)+'BMP P Tracking Table'!$Y380*VLOOKUP('BMP P Tracking Table'!$R380,'Loading Rates'!$B$1:$L$24,7,FALSE)+'BMP P Tracking Table'!$Z380*VLOOKUP('BMP P Tracking Table'!$R380,'Loading Rates'!$B$1:$L$24,8,FALSE)+'BMP P Tracking Table'!$AA380*VLOOKUP('BMP P Tracking Table'!$R380,'Loading Rates'!$B$1:$L$24,9,FALSE),'BMP P Tracking Table'!$AB380*VLOOKUP('BMP P Tracking Table'!$R380,'Loading Rates'!$B$1:$L$24,10,FALSE)),'BMP P Tracking Table'!$AP380*VLOOKUP('BMP P Tracking Table'!$R380,'Loading Rates'!$B$1:$L$24,4,FALSE)+IF('BMP P Tracking Table'!$AQ380="By HSG",'BMP P Tracking Table'!$AR380*VLOOKUP('BMP P Tracking Table'!$R380,'Loading Rates'!$B$1:$L$24,6,FALSE)+'BMP P Tracking Table'!$AS380*VLOOKUP('BMP P Tracking Table'!$R380,'Loading Rates'!$B$1:$L$24,7,FALSE)+'BMP P Tracking Table'!$AT380*VLOOKUP('BMP P Tracking Table'!$R380,'Loading Rates'!$B$1:$L$24,8,FALSE)+'BMP P Tracking Table'!$AU380*VLOOKUP('BMP P Tracking Table'!$R380,'Loading Rates'!$B$1:$L$24,9,FALSE),'BMP P Tracking Table'!$AV380*VLOOKUP('BMP P Tracking Table'!$R380,'Loading Rates'!$B$1:$L$24,10,FALSE))),"")</f>
        <v/>
      </c>
      <c r="BA380" s="104" t="str">
        <f>IFERROR(IF('BMP P Tracking Table'!$AM380="Yes",MIN(2,IF('BMP P Tracking Table'!$AQ380="Total Pervious",(-(3630*'BMP P Tracking Table'!$AP380+20.691*'BMP P Tracking Table'!$AV380)+SQRT((3630*'BMP P Tracking Table'!$AP380+20.691*'BMP P Tracking Table'!$AV380)^2-(4*(996.798*'BMP P Tracking Table'!$AV380)*-'BMP P Tracking Table'!$AX380)))/(2*(996.798*'BMP P Tracking Table'!$AV380)),IF(SUM('BMP P Tracking Table'!$AR380:$AU380)=0,'BMP P Tracking Table'!$AV380/(-3630*'BMP P Tracking Table'!$AP380),(-(3630*'BMP P Tracking Table'!$AP380+20.691*'BMP P Tracking Table'!$AU380-216.711*'BMP P Tracking Table'!$AT380-83.853*'BMP P Tracking Table'!$AS380-42.834*'BMP P Tracking Table'!$AR380)+SQRT((3630*'BMP P Tracking Table'!$AP380+20.691*'BMP P Tracking Table'!$AU380-216.711*'BMP P Tracking Table'!$AT380-83.853*'BMP P Tracking Table'!$AS380-42.834*'BMP P Tracking Table'!$AR380)^2-(4*(149.919*'BMP P Tracking Table'!$AR380+236.676*'BMP P Tracking Table'!$AS380+726*'BMP P Tracking Table'!$AT380+996.798*'BMP P Tracking Table'!$AU380)*-'BMP P Tracking Table'!$AX380)))/(2*(149.919*'BMP P Tracking Table'!$AR380+236.676*'BMP P Tracking Table'!$AS380+726*'BMP P Tracking Table'!$AT380+996.798*'BMP P Tracking Table'!$AU380))))),MIN(2,IF('BMP P Tracking Table'!$AQ380="Total Pervious",(-(3630*'BMP P Tracking Table'!$V380+20.691*'BMP P Tracking Table'!$AB380)+SQRT((3630*'BMP P Tracking Table'!$V380+20.691*'BMP P Tracking Table'!$AB380)^2-(4*(996.798*'BMP P Tracking Table'!$AB380)*-'BMP P Tracking Table'!$AX380)))/(2*(996.798*'BMP P Tracking Table'!$AB380)),IF(SUM('BMP P Tracking Table'!$X380:$AA380)=0,'BMP P Tracking Table'!$AX380/(-3630*'BMP P Tracking Table'!$V380),(-(3630*'BMP P Tracking Table'!$V380+20.691*'BMP P Tracking Table'!$AA380-216.711*'BMP P Tracking Table'!$Z380-83.853*'BMP P Tracking Table'!$Y380-42.834*'BMP P Tracking Table'!$X380)+SQRT((3630*'BMP P Tracking Table'!$V380+20.691*'BMP P Tracking Table'!$AA380-216.711*'BMP P Tracking Table'!$Z380-83.853*'BMP P Tracking Table'!$Y380-42.834*'BMP P Tracking Table'!$X380)^2-(4*(149.919*'BMP P Tracking Table'!$X380+236.676*'BMP P Tracking Table'!$Y380+726*'BMP P Tracking Table'!$Z380+996.798*'BMP P Tracking Table'!$AA380)*-'BMP P Tracking Table'!$AX380)))/(2*(149.919*'BMP P Tracking Table'!$X380+236.676*'BMP P Tracking Table'!$Y380+726*'BMP P Tracking Table'!$Z380+996.798*'BMP P Tracking Table'!$AA380)))))),"")</f>
        <v/>
      </c>
      <c r="BB380" s="102" t="str">
        <f>IFERROR((VLOOKUP(CONCATENATE('BMP P Tracking Table'!$AW380," ",'BMP P Tracking Table'!$AY380),'Performance Curves'!$C$1:$L$46,_xlfn.SINGLE(MATCH('BMP P Tracking Table'!$BA380,'Performance Curves'!$D$1:$L$1,1))+2,FALSE)-VLOOKUP(CONCATENATE('BMP P Tracking Table'!$AW380," ",'BMP P Tracking Table'!$AY380),'Performance Curves'!$C$1:$L$46,_xlfn.SINGLE(MATCH('BMP P Tracking Table'!$BA380,'Performance Curves'!$D$1:$L$1,1))+1,FALSE)),"")</f>
        <v/>
      </c>
      <c r="BC380" s="102" t="str">
        <f>IFERROR(('BMP P Tracking Table'!$BA380-INDEX('Performance Curves'!$D$1:$L$1,1,MATCH('BMP P Tracking Table'!$BA380,'Performance Curves'!$D$1:$L$1,1)))/(INDEX('Performance Curves'!$D$1:$L$1,1,MATCH('BMP P Tracking Table'!$BA380,'Performance Curves'!$D$1:$L$1,1)+1)-INDEX('Performance Curves'!$D$1:$L$1,1,MATCH('BMP P Tracking Table'!$BA380,'Performance Curves'!$D$1:$L$1,1))),"")</f>
        <v/>
      </c>
      <c r="BD380" s="103" t="str" cm="1">
        <f t="array" ref="BD380">IFERROR(IF('BMP P Tracking Table'!$BA380=2,VLOOKUP(CONCATENATE('BMP P Tracking Table'!$AW380," ",'BMP P Tracking Table'!$AY380),'Performance Curves'!$C$1:$L$44,_xlfn.SINGLE(MATCH('BMP P Tracking Table'!$BA380,'Performance Curves'!$D$1:$L$1,1))+1,FALSE),'BMP P Tracking Table'!$BB380*'BMP P Tracking Table'!$BC380+VLOOKUP(CONCATENATE('BMP P Tracking Table'!$AW380," ",'BMP P Tracking Table'!$AY380),'Performance Curves'!$C$1:$L$44,_xlfn.SINGLE(MATCH('BMP P Tracking Table'!$BA380,'Performance Curves'!$D$1:$L$1,1))+1,FALSE)),"")</f>
        <v/>
      </c>
      <c r="BE380" s="104" t="str">
        <f>IFERROR('BMP P Tracking Table'!$BD380*'BMP P Tracking Table'!$AZ380,"")</f>
        <v/>
      </c>
      <c r="BF380" s="98"/>
      <c r="BG380" s="37">
        <f t="shared" si="40"/>
        <v>0</v>
      </c>
    </row>
    <row r="381" spans="2:59" s="36" customFormat="1">
      <c r="B381" s="65"/>
      <c r="C381" s="65"/>
      <c r="D381" s="65"/>
      <c r="E381" s="65"/>
      <c r="F381" s="94"/>
      <c r="G381" s="94"/>
      <c r="H381" s="65"/>
      <c r="I381" s="65"/>
      <c r="J381" s="65"/>
      <c r="K381" s="95"/>
      <c r="L381" s="65"/>
      <c r="M381" s="65"/>
      <c r="N381" s="65"/>
      <c r="O381" s="65"/>
      <c r="P381" s="65"/>
      <c r="Q381" s="65"/>
      <c r="R381" s="65" t="str">
        <f>IFERROR(VLOOKUP('BMP P Tracking Table'!$Q381,Dropdowns!$C$2:$E$15,3,FALSE),"")</f>
        <v/>
      </c>
      <c r="S381" s="65" t="str">
        <f>IFERROR(VLOOKUP('BMP P Tracking Table'!$R381,Dropdowns!$Q$3:$R$23,2,FALSE),"")</f>
        <v/>
      </c>
      <c r="T381" s="65"/>
      <c r="U381" s="65"/>
      <c r="V381" s="65"/>
      <c r="W381" s="65"/>
      <c r="X381" s="65"/>
      <c r="Y381" s="65"/>
      <c r="Z381" s="65"/>
      <c r="AA381" s="65"/>
      <c r="AB381" s="65"/>
      <c r="AC381" s="97"/>
      <c r="AD381" s="65"/>
      <c r="AE381" s="104" t="str">
        <f>IFERROR('BMP P Tracking Table'!$V381*VLOOKUP('BMP P Tracking Table'!$R381,'Loading Rates'!$B$1:$L$24,4,FALSE)+IF('BMP P Tracking Table'!$W381="By HSG",'BMP P Tracking Table'!$X381*VLOOKUP('BMP P Tracking Table'!$R381,'Loading Rates'!$B$1:$L$24,6,FALSE)+'BMP P Tracking Table'!$Y381*VLOOKUP('BMP P Tracking Table'!$R381,'Loading Rates'!$B$1:$L$24,7,FALSE)+'BMP P Tracking Table'!$Z381*VLOOKUP('BMP P Tracking Table'!$R381,'Loading Rates'!$B$1:$L$24,8,FALSE)+'BMP P Tracking Table'!$AA381*VLOOKUP('BMP P Tracking Table'!$R381,'Loading Rates'!$B$1:$L$24,9,FALSE),'BMP P Tracking Table'!$AB381*VLOOKUP('BMP P Tracking Table'!$R381,'Loading Rates'!$B$1:$L$24,10,FALSE)),"")</f>
        <v/>
      </c>
      <c r="AF381" s="104" t="str">
        <f>IFERROR(MIN(2,IF('BMP P Tracking Table'!$W381="Total Pervious",(-(3630*'BMP P Tracking Table'!$V381+20.691*'BMP P Tracking Table'!$AB381)+SQRT((3630*'BMP P Tracking Table'!$V381+20.691*'BMP P Tracking Table'!$AB381)^2-(4*(996.798*'BMP P Tracking Table'!$AB381)*-'BMP P Tracking Table'!$AC381)))/(2*(996.798*'BMP P Tracking Table'!$AB381)),IF(SUM('BMP P Tracking Table'!$X381:$AA381)=0,'BMP P Tracking Table'!$AC381/(-3630*'BMP P Tracking Table'!$V381),(-(3630*'BMP P Tracking Table'!$V381+20.691*'BMP P Tracking Table'!$AA381-216.711*'BMP P Tracking Table'!$Z381-83.853*'BMP P Tracking Table'!$Y381-42.834*'BMP P Tracking Table'!$X381)+SQRT((3630*'BMP P Tracking Table'!$V381+20.691*'BMP P Tracking Table'!$AA381-216.711*'BMP P Tracking Table'!$Z381-83.853*'BMP P Tracking Table'!$Y381-42.834*'BMP P Tracking Table'!$X381)^2-(4*(149.919*'BMP P Tracking Table'!$X381+236.676*'BMP P Tracking Table'!$Y381+726*'BMP P Tracking Table'!$Z381+996.798*'BMP P Tracking Table'!$AA381)*-'BMP P Tracking Table'!$AC381)))/(2*(149.919*'BMP P Tracking Table'!$X381+236.676*'BMP P Tracking Table'!$Y381+726*'BMP P Tracking Table'!$Z381+996.798*'BMP P Tracking Table'!$AA381))))),"")</f>
        <v/>
      </c>
      <c r="AG381" s="104" t="str">
        <f>IFERROR((VLOOKUP(CONCATENATE('BMP P Tracking Table'!$U381," ",'BMP P Tracking Table'!$AD381),'Performance Curves'!$C$1:$L$46,_xlfn.SINGLE(MATCH('BMP P Tracking Table'!$AF381,'Performance Curves'!$D$1:$L$1,1))+2,FALSE)-VLOOKUP(CONCATENATE('BMP P Tracking Table'!$U381," ",'BMP P Tracking Table'!$AD381),'Performance Curves'!$C$1:$L$46,_xlfn.SINGLE(MATCH('BMP P Tracking Table'!$AF381,'Performance Curves'!$D$1:$L$1,1))+1,FALSE)),"")</f>
        <v/>
      </c>
      <c r="AH381" s="104" t="str">
        <f>IFERROR(('BMP P Tracking Table'!$AF381-INDEX('Performance Curves'!$D$1:$L$1,1,MATCH('BMP P Tracking Table'!$AF381,'Performance Curves'!$D$1:$L$1,1)))/(INDEX('Performance Curves'!$D$1:$L$1,1,MATCH('BMP P Tracking Table'!$AF381,'Performance Curves'!$D$1:$L$1,1)+1)-INDEX('Performance Curves'!$D$1:$L$1,1,MATCH('BMP P Tracking Table'!$AF381,'Performance Curves'!$D$1:$L$1,1))),"")</f>
        <v/>
      </c>
      <c r="AI381" s="103" t="str">
        <f>IFERROR(IF('BMP P Tracking Table'!$AF381=2,VLOOKUP(CONCATENATE('BMP P Tracking Table'!$U381," ",'BMP P Tracking Table'!$AD381),'Performance Curves'!$C$1:$L$46,_xlfn.SINGLE(MATCH('BMP P Tracking Table'!$AF381,'Performance Curves'!$D$1:$L$1,1))+1,FALSE),'BMP P Tracking Table'!$AG381*'BMP P Tracking Table'!$AH381+VLOOKUP(CONCATENATE('BMP P Tracking Table'!$U381," ",'BMP P Tracking Table'!$AD381),'Performance Curves'!$C$1:$L$46,_xlfn.SINGLE(MATCH('BMP P Tracking Table'!$AF381,'Performance Curves'!$D$1:$L$1,1))+1,FALSE)),"")</f>
        <v/>
      </c>
      <c r="AJ381" s="104" t="str">
        <f>IFERROR('BMP P Tracking Table'!$AI381*'BMP P Tracking Table'!$AE381,"")</f>
        <v/>
      </c>
      <c r="AK381" s="65"/>
      <c r="AL381" s="98"/>
      <c r="AM381" s="98"/>
      <c r="AN381" s="64">
        <v>1</v>
      </c>
      <c r="AO381" s="102" t="str">
        <f t="shared" si="39"/>
        <v/>
      </c>
      <c r="AP381" s="98"/>
      <c r="AQ381" s="98"/>
      <c r="AR381" s="98"/>
      <c r="AS381" s="98"/>
      <c r="AT381" s="98"/>
      <c r="AU381" s="98"/>
      <c r="AV381" s="98"/>
      <c r="AW381" s="65"/>
      <c r="AX381" s="99"/>
      <c r="AY381" s="99"/>
      <c r="AZ381" s="104" t="str">
        <f>IF('BMP P Tracking Table'!$AL381="Yes",IF('BMP P Tracking Table'!$AM381="No",'BMP P Tracking Table'!$V381*VLOOKUP('BMP P Tracking Table'!$R381,'Loading Rates'!$B$1:$L$24,4,FALSE)+IF('BMP P Tracking Table'!$W381="By HSG",'BMP P Tracking Table'!$X381*VLOOKUP('BMP P Tracking Table'!$R381,'Loading Rates'!$B$1:$L$24,6,FALSE)+'BMP P Tracking Table'!$Y381*VLOOKUP('BMP P Tracking Table'!$R381,'Loading Rates'!$B$1:$L$24,7,FALSE)+'BMP P Tracking Table'!$Z381*VLOOKUP('BMP P Tracking Table'!$R381,'Loading Rates'!$B$1:$L$24,8,FALSE)+'BMP P Tracking Table'!$AA381*VLOOKUP('BMP P Tracking Table'!$R381,'Loading Rates'!$B$1:$L$24,9,FALSE),'BMP P Tracking Table'!$AB381*VLOOKUP('BMP P Tracking Table'!$R381,'Loading Rates'!$B$1:$L$24,10,FALSE)),'BMP P Tracking Table'!$AP381*VLOOKUP('BMP P Tracking Table'!$R381,'Loading Rates'!$B$1:$L$24,4,FALSE)+IF('BMP P Tracking Table'!$AQ381="By HSG",'BMP P Tracking Table'!$AR381*VLOOKUP('BMP P Tracking Table'!$R381,'Loading Rates'!$B$1:$L$24,6,FALSE)+'BMP P Tracking Table'!$AS381*VLOOKUP('BMP P Tracking Table'!$R381,'Loading Rates'!$B$1:$L$24,7,FALSE)+'BMP P Tracking Table'!$AT381*VLOOKUP('BMP P Tracking Table'!$R381,'Loading Rates'!$B$1:$L$24,8,FALSE)+'BMP P Tracking Table'!$AU381*VLOOKUP('BMP P Tracking Table'!$R381,'Loading Rates'!$B$1:$L$24,9,FALSE),'BMP P Tracking Table'!$AV381*VLOOKUP('BMP P Tracking Table'!$R381,'Loading Rates'!$B$1:$L$24,10,FALSE))),"")</f>
        <v/>
      </c>
      <c r="BA381" s="104" t="str">
        <f>IFERROR(IF('BMP P Tracking Table'!$AM381="Yes",MIN(2,IF('BMP P Tracking Table'!$AQ381="Total Pervious",(-(3630*'BMP P Tracking Table'!$AP381+20.691*'BMP P Tracking Table'!$AV381)+SQRT((3630*'BMP P Tracking Table'!$AP381+20.691*'BMP P Tracking Table'!$AV381)^2-(4*(996.798*'BMP P Tracking Table'!$AV381)*-'BMP P Tracking Table'!$AX381)))/(2*(996.798*'BMP P Tracking Table'!$AV381)),IF(SUM('BMP P Tracking Table'!$AR381:$AU381)=0,'BMP P Tracking Table'!$AV381/(-3630*'BMP P Tracking Table'!$AP381),(-(3630*'BMP P Tracking Table'!$AP381+20.691*'BMP P Tracking Table'!$AU381-216.711*'BMP P Tracking Table'!$AT381-83.853*'BMP P Tracking Table'!$AS381-42.834*'BMP P Tracking Table'!$AR381)+SQRT((3630*'BMP P Tracking Table'!$AP381+20.691*'BMP P Tracking Table'!$AU381-216.711*'BMP P Tracking Table'!$AT381-83.853*'BMP P Tracking Table'!$AS381-42.834*'BMP P Tracking Table'!$AR381)^2-(4*(149.919*'BMP P Tracking Table'!$AR381+236.676*'BMP P Tracking Table'!$AS381+726*'BMP P Tracking Table'!$AT381+996.798*'BMP P Tracking Table'!$AU381)*-'BMP P Tracking Table'!$AX381)))/(2*(149.919*'BMP P Tracking Table'!$AR381+236.676*'BMP P Tracking Table'!$AS381+726*'BMP P Tracking Table'!$AT381+996.798*'BMP P Tracking Table'!$AU381))))),MIN(2,IF('BMP P Tracking Table'!$AQ381="Total Pervious",(-(3630*'BMP P Tracking Table'!$V381+20.691*'BMP P Tracking Table'!$AB381)+SQRT((3630*'BMP P Tracking Table'!$V381+20.691*'BMP P Tracking Table'!$AB381)^2-(4*(996.798*'BMP P Tracking Table'!$AB381)*-'BMP P Tracking Table'!$AX381)))/(2*(996.798*'BMP P Tracking Table'!$AB381)),IF(SUM('BMP P Tracking Table'!$X381:$AA381)=0,'BMP P Tracking Table'!$AX381/(-3630*'BMP P Tracking Table'!$V381),(-(3630*'BMP P Tracking Table'!$V381+20.691*'BMP P Tracking Table'!$AA381-216.711*'BMP P Tracking Table'!$Z381-83.853*'BMP P Tracking Table'!$Y381-42.834*'BMP P Tracking Table'!$X381)+SQRT((3630*'BMP P Tracking Table'!$V381+20.691*'BMP P Tracking Table'!$AA381-216.711*'BMP P Tracking Table'!$Z381-83.853*'BMP P Tracking Table'!$Y381-42.834*'BMP P Tracking Table'!$X381)^2-(4*(149.919*'BMP P Tracking Table'!$X381+236.676*'BMP P Tracking Table'!$Y381+726*'BMP P Tracking Table'!$Z381+996.798*'BMP P Tracking Table'!$AA381)*-'BMP P Tracking Table'!$AX381)))/(2*(149.919*'BMP P Tracking Table'!$X381+236.676*'BMP P Tracking Table'!$Y381+726*'BMP P Tracking Table'!$Z381+996.798*'BMP P Tracking Table'!$AA381)))))),"")</f>
        <v/>
      </c>
      <c r="BB381" s="102" t="str">
        <f>IFERROR((VLOOKUP(CONCATENATE('BMP P Tracking Table'!$AW381," ",'BMP P Tracking Table'!$AY381),'Performance Curves'!$C$1:$L$46,_xlfn.SINGLE(MATCH('BMP P Tracking Table'!$BA381,'Performance Curves'!$D$1:$L$1,1))+2,FALSE)-VLOOKUP(CONCATENATE('BMP P Tracking Table'!$AW381," ",'BMP P Tracking Table'!$AY381),'Performance Curves'!$C$1:$L$46,_xlfn.SINGLE(MATCH('BMP P Tracking Table'!$BA381,'Performance Curves'!$D$1:$L$1,1))+1,FALSE)),"")</f>
        <v/>
      </c>
      <c r="BC381" s="102" t="str">
        <f>IFERROR(('BMP P Tracking Table'!$BA381-INDEX('Performance Curves'!$D$1:$L$1,1,MATCH('BMP P Tracking Table'!$BA381,'Performance Curves'!$D$1:$L$1,1)))/(INDEX('Performance Curves'!$D$1:$L$1,1,MATCH('BMP P Tracking Table'!$BA381,'Performance Curves'!$D$1:$L$1,1)+1)-INDEX('Performance Curves'!$D$1:$L$1,1,MATCH('BMP P Tracking Table'!$BA381,'Performance Curves'!$D$1:$L$1,1))),"")</f>
        <v/>
      </c>
      <c r="BD381" s="103" t="str" cm="1">
        <f t="array" ref="BD381">IFERROR(IF('BMP P Tracking Table'!$BA381=2,VLOOKUP(CONCATENATE('BMP P Tracking Table'!$AW381," ",'BMP P Tracking Table'!$AY381),'Performance Curves'!$C$1:$L$44,_xlfn.SINGLE(MATCH('BMP P Tracking Table'!$BA381,'Performance Curves'!$D$1:$L$1,1))+1,FALSE),'BMP P Tracking Table'!$BB381*'BMP P Tracking Table'!$BC381+VLOOKUP(CONCATENATE('BMP P Tracking Table'!$AW381," ",'BMP P Tracking Table'!$AY381),'Performance Curves'!$C$1:$L$44,_xlfn.SINGLE(MATCH('BMP P Tracking Table'!$BA381,'Performance Curves'!$D$1:$L$1,1))+1,FALSE)),"")</f>
        <v/>
      </c>
      <c r="BE381" s="104" t="str">
        <f>IFERROR('BMP P Tracking Table'!$BD381*'BMP P Tracking Table'!$AZ381,"")</f>
        <v/>
      </c>
      <c r="BF381" s="98"/>
      <c r="BG381" s="37">
        <f t="shared" si="40"/>
        <v>0</v>
      </c>
    </row>
    <row r="382" spans="2:59" s="36" customFormat="1">
      <c r="B382" s="65"/>
      <c r="C382" s="65"/>
      <c r="D382" s="65"/>
      <c r="E382" s="65"/>
      <c r="F382" s="94"/>
      <c r="G382" s="94"/>
      <c r="H382" s="65"/>
      <c r="I382" s="65"/>
      <c r="J382" s="65"/>
      <c r="K382" s="95"/>
      <c r="L382" s="65"/>
      <c r="M382" s="65"/>
      <c r="N382" s="65"/>
      <c r="O382" s="65"/>
      <c r="P382" s="65"/>
      <c r="Q382" s="65"/>
      <c r="R382" s="65" t="str">
        <f>IFERROR(VLOOKUP('BMP P Tracking Table'!$Q382,Dropdowns!$C$2:$E$15,3,FALSE),"")</f>
        <v/>
      </c>
      <c r="S382" s="65" t="str">
        <f>IFERROR(VLOOKUP('BMP P Tracking Table'!$R382,Dropdowns!$Q$3:$R$23,2,FALSE),"")</f>
        <v/>
      </c>
      <c r="T382" s="65"/>
      <c r="U382" s="65"/>
      <c r="V382" s="65"/>
      <c r="W382" s="65"/>
      <c r="X382" s="65"/>
      <c r="Y382" s="65"/>
      <c r="Z382" s="65"/>
      <c r="AA382" s="65"/>
      <c r="AB382" s="65"/>
      <c r="AC382" s="97"/>
      <c r="AD382" s="65"/>
      <c r="AE382" s="104" t="str">
        <f>IFERROR('BMP P Tracking Table'!$V382*VLOOKUP('BMP P Tracking Table'!$R382,'Loading Rates'!$B$1:$L$24,4,FALSE)+IF('BMP P Tracking Table'!$W382="By HSG",'BMP P Tracking Table'!$X382*VLOOKUP('BMP P Tracking Table'!$R382,'Loading Rates'!$B$1:$L$24,6,FALSE)+'BMP P Tracking Table'!$Y382*VLOOKUP('BMP P Tracking Table'!$R382,'Loading Rates'!$B$1:$L$24,7,FALSE)+'BMP P Tracking Table'!$Z382*VLOOKUP('BMP P Tracking Table'!$R382,'Loading Rates'!$B$1:$L$24,8,FALSE)+'BMP P Tracking Table'!$AA382*VLOOKUP('BMP P Tracking Table'!$R382,'Loading Rates'!$B$1:$L$24,9,FALSE),'BMP P Tracking Table'!$AB382*VLOOKUP('BMP P Tracking Table'!$R382,'Loading Rates'!$B$1:$L$24,10,FALSE)),"")</f>
        <v/>
      </c>
      <c r="AF382" s="104" t="str">
        <f>IFERROR(MIN(2,IF('BMP P Tracking Table'!$W382="Total Pervious",(-(3630*'BMP P Tracking Table'!$V382+20.691*'BMP P Tracking Table'!$AB382)+SQRT((3630*'BMP P Tracking Table'!$V382+20.691*'BMP P Tracking Table'!$AB382)^2-(4*(996.798*'BMP P Tracking Table'!$AB382)*-'BMP P Tracking Table'!$AC382)))/(2*(996.798*'BMP P Tracking Table'!$AB382)),IF(SUM('BMP P Tracking Table'!$X382:$AA382)=0,'BMP P Tracking Table'!$AC382/(-3630*'BMP P Tracking Table'!$V382),(-(3630*'BMP P Tracking Table'!$V382+20.691*'BMP P Tracking Table'!$AA382-216.711*'BMP P Tracking Table'!$Z382-83.853*'BMP P Tracking Table'!$Y382-42.834*'BMP P Tracking Table'!$X382)+SQRT((3630*'BMP P Tracking Table'!$V382+20.691*'BMP P Tracking Table'!$AA382-216.711*'BMP P Tracking Table'!$Z382-83.853*'BMP P Tracking Table'!$Y382-42.834*'BMP P Tracking Table'!$X382)^2-(4*(149.919*'BMP P Tracking Table'!$X382+236.676*'BMP P Tracking Table'!$Y382+726*'BMP P Tracking Table'!$Z382+996.798*'BMP P Tracking Table'!$AA382)*-'BMP P Tracking Table'!$AC382)))/(2*(149.919*'BMP P Tracking Table'!$X382+236.676*'BMP P Tracking Table'!$Y382+726*'BMP P Tracking Table'!$Z382+996.798*'BMP P Tracking Table'!$AA382))))),"")</f>
        <v/>
      </c>
      <c r="AG382" s="104" t="str">
        <f>IFERROR((VLOOKUP(CONCATENATE('BMP P Tracking Table'!$U382," ",'BMP P Tracking Table'!$AD382),'Performance Curves'!$C$1:$L$46,_xlfn.SINGLE(MATCH('BMP P Tracking Table'!$AF382,'Performance Curves'!$D$1:$L$1,1))+2,FALSE)-VLOOKUP(CONCATENATE('BMP P Tracking Table'!$U382," ",'BMP P Tracking Table'!$AD382),'Performance Curves'!$C$1:$L$46,_xlfn.SINGLE(MATCH('BMP P Tracking Table'!$AF382,'Performance Curves'!$D$1:$L$1,1))+1,FALSE)),"")</f>
        <v/>
      </c>
      <c r="AH382" s="104" t="str">
        <f>IFERROR(('BMP P Tracking Table'!$AF382-INDEX('Performance Curves'!$D$1:$L$1,1,MATCH('BMP P Tracking Table'!$AF382,'Performance Curves'!$D$1:$L$1,1)))/(INDEX('Performance Curves'!$D$1:$L$1,1,MATCH('BMP P Tracking Table'!$AF382,'Performance Curves'!$D$1:$L$1,1)+1)-INDEX('Performance Curves'!$D$1:$L$1,1,MATCH('BMP P Tracking Table'!$AF382,'Performance Curves'!$D$1:$L$1,1))),"")</f>
        <v/>
      </c>
      <c r="AI382" s="103" t="str">
        <f>IFERROR(IF('BMP P Tracking Table'!$AF382=2,VLOOKUP(CONCATENATE('BMP P Tracking Table'!$U382," ",'BMP P Tracking Table'!$AD382),'Performance Curves'!$C$1:$L$46,_xlfn.SINGLE(MATCH('BMP P Tracking Table'!$AF382,'Performance Curves'!$D$1:$L$1,1))+1,FALSE),'BMP P Tracking Table'!$AG382*'BMP P Tracking Table'!$AH382+VLOOKUP(CONCATENATE('BMP P Tracking Table'!$U382," ",'BMP P Tracking Table'!$AD382),'Performance Curves'!$C$1:$L$46,_xlfn.SINGLE(MATCH('BMP P Tracking Table'!$AF382,'Performance Curves'!$D$1:$L$1,1))+1,FALSE)),"")</f>
        <v/>
      </c>
      <c r="AJ382" s="104" t="str">
        <f>IFERROR('BMP P Tracking Table'!$AI382*'BMP P Tracking Table'!$AE382,"")</f>
        <v/>
      </c>
      <c r="AK382" s="65"/>
      <c r="AL382" s="98"/>
      <c r="AM382" s="98"/>
      <c r="AN382" s="64">
        <v>1</v>
      </c>
      <c r="AO382" s="102" t="str">
        <f t="shared" si="39"/>
        <v/>
      </c>
      <c r="AP382" s="98"/>
      <c r="AQ382" s="98"/>
      <c r="AR382" s="98"/>
      <c r="AS382" s="98"/>
      <c r="AT382" s="98"/>
      <c r="AU382" s="98"/>
      <c r="AV382" s="98"/>
      <c r="AW382" s="65"/>
      <c r="AX382" s="99"/>
      <c r="AY382" s="99"/>
      <c r="AZ382" s="104" t="str">
        <f>IF('BMP P Tracking Table'!$AL382="Yes",IF('BMP P Tracking Table'!$AM382="No",'BMP P Tracking Table'!$V382*VLOOKUP('BMP P Tracking Table'!$R382,'Loading Rates'!$B$1:$L$24,4,FALSE)+IF('BMP P Tracking Table'!$W382="By HSG",'BMP P Tracking Table'!$X382*VLOOKUP('BMP P Tracking Table'!$R382,'Loading Rates'!$B$1:$L$24,6,FALSE)+'BMP P Tracking Table'!$Y382*VLOOKUP('BMP P Tracking Table'!$R382,'Loading Rates'!$B$1:$L$24,7,FALSE)+'BMP P Tracking Table'!$Z382*VLOOKUP('BMP P Tracking Table'!$R382,'Loading Rates'!$B$1:$L$24,8,FALSE)+'BMP P Tracking Table'!$AA382*VLOOKUP('BMP P Tracking Table'!$R382,'Loading Rates'!$B$1:$L$24,9,FALSE),'BMP P Tracking Table'!$AB382*VLOOKUP('BMP P Tracking Table'!$R382,'Loading Rates'!$B$1:$L$24,10,FALSE)),'BMP P Tracking Table'!$AP382*VLOOKUP('BMP P Tracking Table'!$R382,'Loading Rates'!$B$1:$L$24,4,FALSE)+IF('BMP P Tracking Table'!$AQ382="By HSG",'BMP P Tracking Table'!$AR382*VLOOKUP('BMP P Tracking Table'!$R382,'Loading Rates'!$B$1:$L$24,6,FALSE)+'BMP P Tracking Table'!$AS382*VLOOKUP('BMP P Tracking Table'!$R382,'Loading Rates'!$B$1:$L$24,7,FALSE)+'BMP P Tracking Table'!$AT382*VLOOKUP('BMP P Tracking Table'!$R382,'Loading Rates'!$B$1:$L$24,8,FALSE)+'BMP P Tracking Table'!$AU382*VLOOKUP('BMP P Tracking Table'!$R382,'Loading Rates'!$B$1:$L$24,9,FALSE),'BMP P Tracking Table'!$AV382*VLOOKUP('BMP P Tracking Table'!$R382,'Loading Rates'!$B$1:$L$24,10,FALSE))),"")</f>
        <v/>
      </c>
      <c r="BA382" s="104" t="str">
        <f>IFERROR(IF('BMP P Tracking Table'!$AM382="Yes",MIN(2,IF('BMP P Tracking Table'!$AQ382="Total Pervious",(-(3630*'BMP P Tracking Table'!$AP382+20.691*'BMP P Tracking Table'!$AV382)+SQRT((3630*'BMP P Tracking Table'!$AP382+20.691*'BMP P Tracking Table'!$AV382)^2-(4*(996.798*'BMP P Tracking Table'!$AV382)*-'BMP P Tracking Table'!$AX382)))/(2*(996.798*'BMP P Tracking Table'!$AV382)),IF(SUM('BMP P Tracking Table'!$AR382:$AU382)=0,'BMP P Tracking Table'!$AV382/(-3630*'BMP P Tracking Table'!$AP382),(-(3630*'BMP P Tracking Table'!$AP382+20.691*'BMP P Tracking Table'!$AU382-216.711*'BMP P Tracking Table'!$AT382-83.853*'BMP P Tracking Table'!$AS382-42.834*'BMP P Tracking Table'!$AR382)+SQRT((3630*'BMP P Tracking Table'!$AP382+20.691*'BMP P Tracking Table'!$AU382-216.711*'BMP P Tracking Table'!$AT382-83.853*'BMP P Tracking Table'!$AS382-42.834*'BMP P Tracking Table'!$AR382)^2-(4*(149.919*'BMP P Tracking Table'!$AR382+236.676*'BMP P Tracking Table'!$AS382+726*'BMP P Tracking Table'!$AT382+996.798*'BMP P Tracking Table'!$AU382)*-'BMP P Tracking Table'!$AX382)))/(2*(149.919*'BMP P Tracking Table'!$AR382+236.676*'BMP P Tracking Table'!$AS382+726*'BMP P Tracking Table'!$AT382+996.798*'BMP P Tracking Table'!$AU382))))),MIN(2,IF('BMP P Tracking Table'!$AQ382="Total Pervious",(-(3630*'BMP P Tracking Table'!$V382+20.691*'BMP P Tracking Table'!$AB382)+SQRT((3630*'BMP P Tracking Table'!$V382+20.691*'BMP P Tracking Table'!$AB382)^2-(4*(996.798*'BMP P Tracking Table'!$AB382)*-'BMP P Tracking Table'!$AX382)))/(2*(996.798*'BMP P Tracking Table'!$AB382)),IF(SUM('BMP P Tracking Table'!$X382:$AA382)=0,'BMP P Tracking Table'!$AX382/(-3630*'BMP P Tracking Table'!$V382),(-(3630*'BMP P Tracking Table'!$V382+20.691*'BMP P Tracking Table'!$AA382-216.711*'BMP P Tracking Table'!$Z382-83.853*'BMP P Tracking Table'!$Y382-42.834*'BMP P Tracking Table'!$X382)+SQRT((3630*'BMP P Tracking Table'!$V382+20.691*'BMP P Tracking Table'!$AA382-216.711*'BMP P Tracking Table'!$Z382-83.853*'BMP P Tracking Table'!$Y382-42.834*'BMP P Tracking Table'!$X382)^2-(4*(149.919*'BMP P Tracking Table'!$X382+236.676*'BMP P Tracking Table'!$Y382+726*'BMP P Tracking Table'!$Z382+996.798*'BMP P Tracking Table'!$AA382)*-'BMP P Tracking Table'!$AX382)))/(2*(149.919*'BMP P Tracking Table'!$X382+236.676*'BMP P Tracking Table'!$Y382+726*'BMP P Tracking Table'!$Z382+996.798*'BMP P Tracking Table'!$AA382)))))),"")</f>
        <v/>
      </c>
      <c r="BB382" s="102" t="str">
        <f>IFERROR((VLOOKUP(CONCATENATE('BMP P Tracking Table'!$AW382," ",'BMP P Tracking Table'!$AY382),'Performance Curves'!$C$1:$L$46,_xlfn.SINGLE(MATCH('BMP P Tracking Table'!$BA382,'Performance Curves'!$D$1:$L$1,1))+2,FALSE)-VLOOKUP(CONCATENATE('BMP P Tracking Table'!$AW382," ",'BMP P Tracking Table'!$AY382),'Performance Curves'!$C$1:$L$46,_xlfn.SINGLE(MATCH('BMP P Tracking Table'!$BA382,'Performance Curves'!$D$1:$L$1,1))+1,FALSE)),"")</f>
        <v/>
      </c>
      <c r="BC382" s="102" t="str">
        <f>IFERROR(('BMP P Tracking Table'!$BA382-INDEX('Performance Curves'!$D$1:$L$1,1,MATCH('BMP P Tracking Table'!$BA382,'Performance Curves'!$D$1:$L$1,1)))/(INDEX('Performance Curves'!$D$1:$L$1,1,MATCH('BMP P Tracking Table'!$BA382,'Performance Curves'!$D$1:$L$1,1)+1)-INDEX('Performance Curves'!$D$1:$L$1,1,MATCH('BMP P Tracking Table'!$BA382,'Performance Curves'!$D$1:$L$1,1))),"")</f>
        <v/>
      </c>
      <c r="BD382" s="103" t="str" cm="1">
        <f t="array" ref="BD382">IFERROR(IF('BMP P Tracking Table'!$BA382=2,VLOOKUP(CONCATENATE('BMP P Tracking Table'!$AW382," ",'BMP P Tracking Table'!$AY382),'Performance Curves'!$C$1:$L$44,_xlfn.SINGLE(MATCH('BMP P Tracking Table'!$BA382,'Performance Curves'!$D$1:$L$1,1))+1,FALSE),'BMP P Tracking Table'!$BB382*'BMP P Tracking Table'!$BC382+VLOOKUP(CONCATENATE('BMP P Tracking Table'!$AW382," ",'BMP P Tracking Table'!$AY382),'Performance Curves'!$C$1:$L$44,_xlfn.SINGLE(MATCH('BMP P Tracking Table'!$BA382,'Performance Curves'!$D$1:$L$1,1))+1,FALSE)),"")</f>
        <v/>
      </c>
      <c r="BE382" s="104" t="str">
        <f>IFERROR('BMP P Tracking Table'!$BD382*'BMP P Tracking Table'!$AZ382,"")</f>
        <v/>
      </c>
      <c r="BF382" s="98"/>
      <c r="BG382" s="37">
        <f t="shared" si="40"/>
        <v>0</v>
      </c>
    </row>
    <row r="383" spans="2:59" s="36" customFormat="1">
      <c r="B383" s="65"/>
      <c r="C383" s="65"/>
      <c r="D383" s="65"/>
      <c r="E383" s="65"/>
      <c r="F383" s="94"/>
      <c r="G383" s="94"/>
      <c r="H383" s="65"/>
      <c r="I383" s="65"/>
      <c r="J383" s="65"/>
      <c r="K383" s="95"/>
      <c r="L383" s="65"/>
      <c r="M383" s="65"/>
      <c r="N383" s="65"/>
      <c r="O383" s="65"/>
      <c r="P383" s="65"/>
      <c r="Q383" s="65"/>
      <c r="R383" s="65" t="str">
        <f>IFERROR(VLOOKUP('BMP P Tracking Table'!$Q383,Dropdowns!$C$2:$E$15,3,FALSE),"")</f>
        <v/>
      </c>
      <c r="S383" s="65" t="str">
        <f>IFERROR(VLOOKUP('BMP P Tracking Table'!$R383,Dropdowns!$Q$3:$R$23,2,FALSE),"")</f>
        <v/>
      </c>
      <c r="T383" s="65"/>
      <c r="U383" s="65"/>
      <c r="V383" s="65"/>
      <c r="W383" s="65"/>
      <c r="X383" s="65"/>
      <c r="Y383" s="65"/>
      <c r="Z383" s="65"/>
      <c r="AA383" s="65"/>
      <c r="AB383" s="65"/>
      <c r="AC383" s="97"/>
      <c r="AD383" s="65"/>
      <c r="AE383" s="104" t="str">
        <f>IFERROR('BMP P Tracking Table'!$V383*VLOOKUP('BMP P Tracking Table'!$R383,'Loading Rates'!$B$1:$L$24,4,FALSE)+IF('BMP P Tracking Table'!$W383="By HSG",'BMP P Tracking Table'!$X383*VLOOKUP('BMP P Tracking Table'!$R383,'Loading Rates'!$B$1:$L$24,6,FALSE)+'BMP P Tracking Table'!$Y383*VLOOKUP('BMP P Tracking Table'!$R383,'Loading Rates'!$B$1:$L$24,7,FALSE)+'BMP P Tracking Table'!$Z383*VLOOKUP('BMP P Tracking Table'!$R383,'Loading Rates'!$B$1:$L$24,8,FALSE)+'BMP P Tracking Table'!$AA383*VLOOKUP('BMP P Tracking Table'!$R383,'Loading Rates'!$B$1:$L$24,9,FALSE),'BMP P Tracking Table'!$AB383*VLOOKUP('BMP P Tracking Table'!$R383,'Loading Rates'!$B$1:$L$24,10,FALSE)),"")</f>
        <v/>
      </c>
      <c r="AF383" s="104" t="str">
        <f>IFERROR(MIN(2,IF('BMP P Tracking Table'!$W383="Total Pervious",(-(3630*'BMP P Tracking Table'!$V383+20.691*'BMP P Tracking Table'!$AB383)+SQRT((3630*'BMP P Tracking Table'!$V383+20.691*'BMP P Tracking Table'!$AB383)^2-(4*(996.798*'BMP P Tracking Table'!$AB383)*-'BMP P Tracking Table'!$AC383)))/(2*(996.798*'BMP P Tracking Table'!$AB383)),IF(SUM('BMP P Tracking Table'!$X383:$AA383)=0,'BMP P Tracking Table'!$AC383/(-3630*'BMP P Tracking Table'!$V383),(-(3630*'BMP P Tracking Table'!$V383+20.691*'BMP P Tracking Table'!$AA383-216.711*'BMP P Tracking Table'!$Z383-83.853*'BMP P Tracking Table'!$Y383-42.834*'BMP P Tracking Table'!$X383)+SQRT((3630*'BMP P Tracking Table'!$V383+20.691*'BMP P Tracking Table'!$AA383-216.711*'BMP P Tracking Table'!$Z383-83.853*'BMP P Tracking Table'!$Y383-42.834*'BMP P Tracking Table'!$X383)^2-(4*(149.919*'BMP P Tracking Table'!$X383+236.676*'BMP P Tracking Table'!$Y383+726*'BMP P Tracking Table'!$Z383+996.798*'BMP P Tracking Table'!$AA383)*-'BMP P Tracking Table'!$AC383)))/(2*(149.919*'BMP P Tracking Table'!$X383+236.676*'BMP P Tracking Table'!$Y383+726*'BMP P Tracking Table'!$Z383+996.798*'BMP P Tracking Table'!$AA383))))),"")</f>
        <v/>
      </c>
      <c r="AG383" s="104" t="str">
        <f>IFERROR((VLOOKUP(CONCATENATE('BMP P Tracking Table'!$U383," ",'BMP P Tracking Table'!$AD383),'Performance Curves'!$C$1:$L$46,_xlfn.SINGLE(MATCH('BMP P Tracking Table'!$AF383,'Performance Curves'!$D$1:$L$1,1))+2,FALSE)-VLOOKUP(CONCATENATE('BMP P Tracking Table'!$U383," ",'BMP P Tracking Table'!$AD383),'Performance Curves'!$C$1:$L$46,_xlfn.SINGLE(MATCH('BMP P Tracking Table'!$AF383,'Performance Curves'!$D$1:$L$1,1))+1,FALSE)),"")</f>
        <v/>
      </c>
      <c r="AH383" s="104" t="str">
        <f>IFERROR(('BMP P Tracking Table'!$AF383-INDEX('Performance Curves'!$D$1:$L$1,1,MATCH('BMP P Tracking Table'!$AF383,'Performance Curves'!$D$1:$L$1,1)))/(INDEX('Performance Curves'!$D$1:$L$1,1,MATCH('BMP P Tracking Table'!$AF383,'Performance Curves'!$D$1:$L$1,1)+1)-INDEX('Performance Curves'!$D$1:$L$1,1,MATCH('BMP P Tracking Table'!$AF383,'Performance Curves'!$D$1:$L$1,1))),"")</f>
        <v/>
      </c>
      <c r="AI383" s="103" t="str">
        <f>IFERROR(IF('BMP P Tracking Table'!$AF383=2,VLOOKUP(CONCATENATE('BMP P Tracking Table'!$U383," ",'BMP P Tracking Table'!$AD383),'Performance Curves'!$C$1:$L$46,_xlfn.SINGLE(MATCH('BMP P Tracking Table'!$AF383,'Performance Curves'!$D$1:$L$1,1))+1,FALSE),'BMP P Tracking Table'!$AG383*'BMP P Tracking Table'!$AH383+VLOOKUP(CONCATENATE('BMP P Tracking Table'!$U383," ",'BMP P Tracking Table'!$AD383),'Performance Curves'!$C$1:$L$46,_xlfn.SINGLE(MATCH('BMP P Tracking Table'!$AF383,'Performance Curves'!$D$1:$L$1,1))+1,FALSE)),"")</f>
        <v/>
      </c>
      <c r="AJ383" s="104" t="str">
        <f>IFERROR('BMP P Tracking Table'!$AI383*'BMP P Tracking Table'!$AE383,"")</f>
        <v/>
      </c>
      <c r="AK383" s="65"/>
      <c r="AL383" s="98"/>
      <c r="AM383" s="98"/>
      <c r="AN383" s="64">
        <v>1</v>
      </c>
      <c r="AO383" s="102" t="str">
        <f t="shared" si="39"/>
        <v/>
      </c>
      <c r="AP383" s="98"/>
      <c r="AQ383" s="98"/>
      <c r="AR383" s="98"/>
      <c r="AS383" s="98"/>
      <c r="AT383" s="98"/>
      <c r="AU383" s="98"/>
      <c r="AV383" s="98"/>
      <c r="AW383" s="65"/>
      <c r="AX383" s="99"/>
      <c r="AY383" s="99"/>
      <c r="AZ383" s="104" t="str">
        <f>IF('BMP P Tracking Table'!$AL383="Yes",IF('BMP P Tracking Table'!$AM383="No",'BMP P Tracking Table'!$V383*VLOOKUP('BMP P Tracking Table'!$R383,'Loading Rates'!$B$1:$L$24,4,FALSE)+IF('BMP P Tracking Table'!$W383="By HSG",'BMP P Tracking Table'!$X383*VLOOKUP('BMP P Tracking Table'!$R383,'Loading Rates'!$B$1:$L$24,6,FALSE)+'BMP P Tracking Table'!$Y383*VLOOKUP('BMP P Tracking Table'!$R383,'Loading Rates'!$B$1:$L$24,7,FALSE)+'BMP P Tracking Table'!$Z383*VLOOKUP('BMP P Tracking Table'!$R383,'Loading Rates'!$B$1:$L$24,8,FALSE)+'BMP P Tracking Table'!$AA383*VLOOKUP('BMP P Tracking Table'!$R383,'Loading Rates'!$B$1:$L$24,9,FALSE),'BMP P Tracking Table'!$AB383*VLOOKUP('BMP P Tracking Table'!$R383,'Loading Rates'!$B$1:$L$24,10,FALSE)),'BMP P Tracking Table'!$AP383*VLOOKUP('BMP P Tracking Table'!$R383,'Loading Rates'!$B$1:$L$24,4,FALSE)+IF('BMP P Tracking Table'!$AQ383="By HSG",'BMP P Tracking Table'!$AR383*VLOOKUP('BMP P Tracking Table'!$R383,'Loading Rates'!$B$1:$L$24,6,FALSE)+'BMP P Tracking Table'!$AS383*VLOOKUP('BMP P Tracking Table'!$R383,'Loading Rates'!$B$1:$L$24,7,FALSE)+'BMP P Tracking Table'!$AT383*VLOOKUP('BMP P Tracking Table'!$R383,'Loading Rates'!$B$1:$L$24,8,FALSE)+'BMP P Tracking Table'!$AU383*VLOOKUP('BMP P Tracking Table'!$R383,'Loading Rates'!$B$1:$L$24,9,FALSE),'BMP P Tracking Table'!$AV383*VLOOKUP('BMP P Tracking Table'!$R383,'Loading Rates'!$B$1:$L$24,10,FALSE))),"")</f>
        <v/>
      </c>
      <c r="BA383" s="104" t="str">
        <f>IFERROR(IF('BMP P Tracking Table'!$AM383="Yes",MIN(2,IF('BMP P Tracking Table'!$AQ383="Total Pervious",(-(3630*'BMP P Tracking Table'!$AP383+20.691*'BMP P Tracking Table'!$AV383)+SQRT((3630*'BMP P Tracking Table'!$AP383+20.691*'BMP P Tracking Table'!$AV383)^2-(4*(996.798*'BMP P Tracking Table'!$AV383)*-'BMP P Tracking Table'!$AX383)))/(2*(996.798*'BMP P Tracking Table'!$AV383)),IF(SUM('BMP P Tracking Table'!$AR383:$AU383)=0,'BMP P Tracking Table'!$AV383/(-3630*'BMP P Tracking Table'!$AP383),(-(3630*'BMP P Tracking Table'!$AP383+20.691*'BMP P Tracking Table'!$AU383-216.711*'BMP P Tracking Table'!$AT383-83.853*'BMP P Tracking Table'!$AS383-42.834*'BMP P Tracking Table'!$AR383)+SQRT((3630*'BMP P Tracking Table'!$AP383+20.691*'BMP P Tracking Table'!$AU383-216.711*'BMP P Tracking Table'!$AT383-83.853*'BMP P Tracking Table'!$AS383-42.834*'BMP P Tracking Table'!$AR383)^2-(4*(149.919*'BMP P Tracking Table'!$AR383+236.676*'BMP P Tracking Table'!$AS383+726*'BMP P Tracking Table'!$AT383+996.798*'BMP P Tracking Table'!$AU383)*-'BMP P Tracking Table'!$AX383)))/(2*(149.919*'BMP P Tracking Table'!$AR383+236.676*'BMP P Tracking Table'!$AS383+726*'BMP P Tracking Table'!$AT383+996.798*'BMP P Tracking Table'!$AU383))))),MIN(2,IF('BMP P Tracking Table'!$AQ383="Total Pervious",(-(3630*'BMP P Tracking Table'!$V383+20.691*'BMP P Tracking Table'!$AB383)+SQRT((3630*'BMP P Tracking Table'!$V383+20.691*'BMP P Tracking Table'!$AB383)^2-(4*(996.798*'BMP P Tracking Table'!$AB383)*-'BMP P Tracking Table'!$AX383)))/(2*(996.798*'BMP P Tracking Table'!$AB383)),IF(SUM('BMP P Tracking Table'!$X383:$AA383)=0,'BMP P Tracking Table'!$AX383/(-3630*'BMP P Tracking Table'!$V383),(-(3630*'BMP P Tracking Table'!$V383+20.691*'BMP P Tracking Table'!$AA383-216.711*'BMP P Tracking Table'!$Z383-83.853*'BMP P Tracking Table'!$Y383-42.834*'BMP P Tracking Table'!$X383)+SQRT((3630*'BMP P Tracking Table'!$V383+20.691*'BMP P Tracking Table'!$AA383-216.711*'BMP P Tracking Table'!$Z383-83.853*'BMP P Tracking Table'!$Y383-42.834*'BMP P Tracking Table'!$X383)^2-(4*(149.919*'BMP P Tracking Table'!$X383+236.676*'BMP P Tracking Table'!$Y383+726*'BMP P Tracking Table'!$Z383+996.798*'BMP P Tracking Table'!$AA383)*-'BMP P Tracking Table'!$AX383)))/(2*(149.919*'BMP P Tracking Table'!$X383+236.676*'BMP P Tracking Table'!$Y383+726*'BMP P Tracking Table'!$Z383+996.798*'BMP P Tracking Table'!$AA383)))))),"")</f>
        <v/>
      </c>
      <c r="BB383" s="102" t="str">
        <f>IFERROR((VLOOKUP(CONCATENATE('BMP P Tracking Table'!$AW383," ",'BMP P Tracking Table'!$AY383),'Performance Curves'!$C$1:$L$46,_xlfn.SINGLE(MATCH('BMP P Tracking Table'!$BA383,'Performance Curves'!$D$1:$L$1,1))+2,FALSE)-VLOOKUP(CONCATENATE('BMP P Tracking Table'!$AW383," ",'BMP P Tracking Table'!$AY383),'Performance Curves'!$C$1:$L$46,_xlfn.SINGLE(MATCH('BMP P Tracking Table'!$BA383,'Performance Curves'!$D$1:$L$1,1))+1,FALSE)),"")</f>
        <v/>
      </c>
      <c r="BC383" s="102" t="str">
        <f>IFERROR(('BMP P Tracking Table'!$BA383-INDEX('Performance Curves'!$D$1:$L$1,1,MATCH('BMP P Tracking Table'!$BA383,'Performance Curves'!$D$1:$L$1,1)))/(INDEX('Performance Curves'!$D$1:$L$1,1,MATCH('BMP P Tracking Table'!$BA383,'Performance Curves'!$D$1:$L$1,1)+1)-INDEX('Performance Curves'!$D$1:$L$1,1,MATCH('BMP P Tracking Table'!$BA383,'Performance Curves'!$D$1:$L$1,1))),"")</f>
        <v/>
      </c>
      <c r="BD383" s="103" t="str" cm="1">
        <f t="array" ref="BD383">IFERROR(IF('BMP P Tracking Table'!$BA383=2,VLOOKUP(CONCATENATE('BMP P Tracking Table'!$AW383," ",'BMP P Tracking Table'!$AY383),'Performance Curves'!$C$1:$L$44,_xlfn.SINGLE(MATCH('BMP P Tracking Table'!$BA383,'Performance Curves'!$D$1:$L$1,1))+1,FALSE),'BMP P Tracking Table'!$BB383*'BMP P Tracking Table'!$BC383+VLOOKUP(CONCATENATE('BMP P Tracking Table'!$AW383," ",'BMP P Tracking Table'!$AY383),'Performance Curves'!$C$1:$L$44,_xlfn.SINGLE(MATCH('BMP P Tracking Table'!$BA383,'Performance Curves'!$D$1:$L$1,1))+1,FALSE)),"")</f>
        <v/>
      </c>
      <c r="BE383" s="104" t="str">
        <f>IFERROR('BMP P Tracking Table'!$BD383*'BMP P Tracking Table'!$AZ383,"")</f>
        <v/>
      </c>
      <c r="BF383" s="92"/>
      <c r="BG383" s="37">
        <f t="shared" si="40"/>
        <v>0</v>
      </c>
    </row>
    <row r="384" spans="2:59" s="36" customFormat="1">
      <c r="B384" s="65"/>
      <c r="C384" s="65"/>
      <c r="D384" s="65"/>
      <c r="E384" s="65"/>
      <c r="F384" s="94"/>
      <c r="G384" s="94"/>
      <c r="H384" s="65"/>
      <c r="I384" s="65"/>
      <c r="J384" s="65"/>
      <c r="K384" s="95"/>
      <c r="L384" s="65"/>
      <c r="M384" s="65"/>
      <c r="N384" s="65"/>
      <c r="O384" s="65"/>
      <c r="P384" s="65"/>
      <c r="Q384" s="65"/>
      <c r="R384" s="65" t="str">
        <f>IFERROR(VLOOKUP('BMP P Tracking Table'!$Q384,Dropdowns!$C$2:$E$15,3,FALSE),"")</f>
        <v/>
      </c>
      <c r="S384" s="65" t="str">
        <f>IFERROR(VLOOKUP('BMP P Tracking Table'!$R384,Dropdowns!$Q$3:$R$23,2,FALSE),"")</f>
        <v/>
      </c>
      <c r="T384" s="65"/>
      <c r="U384" s="65"/>
      <c r="V384" s="65"/>
      <c r="W384" s="65"/>
      <c r="X384" s="65"/>
      <c r="Y384" s="65"/>
      <c r="Z384" s="65"/>
      <c r="AA384" s="65"/>
      <c r="AB384" s="65"/>
      <c r="AC384" s="97"/>
      <c r="AD384" s="65"/>
      <c r="AE384" s="104" t="str">
        <f>IFERROR('BMP P Tracking Table'!$V384*VLOOKUP('BMP P Tracking Table'!$R384,'Loading Rates'!$B$1:$L$24,4,FALSE)+IF('BMP P Tracking Table'!$W384="By HSG",'BMP P Tracking Table'!$X384*VLOOKUP('BMP P Tracking Table'!$R384,'Loading Rates'!$B$1:$L$24,6,FALSE)+'BMP P Tracking Table'!$Y384*VLOOKUP('BMP P Tracking Table'!$R384,'Loading Rates'!$B$1:$L$24,7,FALSE)+'BMP P Tracking Table'!$Z384*VLOOKUP('BMP P Tracking Table'!$R384,'Loading Rates'!$B$1:$L$24,8,FALSE)+'BMP P Tracking Table'!$AA384*VLOOKUP('BMP P Tracking Table'!$R384,'Loading Rates'!$B$1:$L$24,9,FALSE),'BMP P Tracking Table'!$AB384*VLOOKUP('BMP P Tracking Table'!$R384,'Loading Rates'!$B$1:$L$24,10,FALSE)),"")</f>
        <v/>
      </c>
      <c r="AF384" s="104" t="str">
        <f>IFERROR(MIN(2,IF('BMP P Tracking Table'!$W384="Total Pervious",(-(3630*'BMP P Tracking Table'!$V384+20.691*'BMP P Tracking Table'!$AB384)+SQRT((3630*'BMP P Tracking Table'!$V384+20.691*'BMP P Tracking Table'!$AB384)^2-(4*(996.798*'BMP P Tracking Table'!$AB384)*-'BMP P Tracking Table'!$AC384)))/(2*(996.798*'BMP P Tracking Table'!$AB384)),IF(SUM('BMP P Tracking Table'!$X384:$AA384)=0,'BMP P Tracking Table'!$AC384/(-3630*'BMP P Tracking Table'!$V384),(-(3630*'BMP P Tracking Table'!$V384+20.691*'BMP P Tracking Table'!$AA384-216.711*'BMP P Tracking Table'!$Z384-83.853*'BMP P Tracking Table'!$Y384-42.834*'BMP P Tracking Table'!$X384)+SQRT((3630*'BMP P Tracking Table'!$V384+20.691*'BMP P Tracking Table'!$AA384-216.711*'BMP P Tracking Table'!$Z384-83.853*'BMP P Tracking Table'!$Y384-42.834*'BMP P Tracking Table'!$X384)^2-(4*(149.919*'BMP P Tracking Table'!$X384+236.676*'BMP P Tracking Table'!$Y384+726*'BMP P Tracking Table'!$Z384+996.798*'BMP P Tracking Table'!$AA384)*-'BMP P Tracking Table'!$AC384)))/(2*(149.919*'BMP P Tracking Table'!$X384+236.676*'BMP P Tracking Table'!$Y384+726*'BMP P Tracking Table'!$Z384+996.798*'BMP P Tracking Table'!$AA384))))),"")</f>
        <v/>
      </c>
      <c r="AG384" s="104" t="str">
        <f>IFERROR((VLOOKUP(CONCATENATE('BMP P Tracking Table'!$U384," ",'BMP P Tracking Table'!$AD384),'Performance Curves'!$C$1:$L$46,_xlfn.SINGLE(MATCH('BMP P Tracking Table'!$AF384,'Performance Curves'!$D$1:$L$1,1))+2,FALSE)-VLOOKUP(CONCATENATE('BMP P Tracking Table'!$U384," ",'BMP P Tracking Table'!$AD384),'Performance Curves'!$C$1:$L$46,_xlfn.SINGLE(MATCH('BMP P Tracking Table'!$AF384,'Performance Curves'!$D$1:$L$1,1))+1,FALSE)),"")</f>
        <v/>
      </c>
      <c r="AH384" s="104" t="str">
        <f>IFERROR(('BMP P Tracking Table'!$AF384-INDEX('Performance Curves'!$D$1:$L$1,1,MATCH('BMP P Tracking Table'!$AF384,'Performance Curves'!$D$1:$L$1,1)))/(INDEX('Performance Curves'!$D$1:$L$1,1,MATCH('BMP P Tracking Table'!$AF384,'Performance Curves'!$D$1:$L$1,1)+1)-INDEX('Performance Curves'!$D$1:$L$1,1,MATCH('BMP P Tracking Table'!$AF384,'Performance Curves'!$D$1:$L$1,1))),"")</f>
        <v/>
      </c>
      <c r="AI384" s="103" t="str">
        <f>IFERROR(IF('BMP P Tracking Table'!$AF384=2,VLOOKUP(CONCATENATE('BMP P Tracking Table'!$U384," ",'BMP P Tracking Table'!$AD384),'Performance Curves'!$C$1:$L$46,_xlfn.SINGLE(MATCH('BMP P Tracking Table'!$AF384,'Performance Curves'!$D$1:$L$1,1))+1,FALSE),'BMP P Tracking Table'!$AG384*'BMP P Tracking Table'!$AH384+VLOOKUP(CONCATENATE('BMP P Tracking Table'!$U384," ",'BMP P Tracking Table'!$AD384),'Performance Curves'!$C$1:$L$46,_xlfn.SINGLE(MATCH('BMP P Tracking Table'!$AF384,'Performance Curves'!$D$1:$L$1,1))+1,FALSE)),"")</f>
        <v/>
      </c>
      <c r="AJ384" s="104" t="str">
        <f>IFERROR('BMP P Tracking Table'!$AI384*'BMP P Tracking Table'!$AE384,"")</f>
        <v/>
      </c>
      <c r="AK384" s="65"/>
      <c r="AL384" s="98"/>
      <c r="AM384" s="98"/>
      <c r="AN384" s="64">
        <v>1</v>
      </c>
      <c r="AO384" s="102" t="str">
        <f t="shared" si="39"/>
        <v/>
      </c>
      <c r="AP384" s="98"/>
      <c r="AQ384" s="98"/>
      <c r="AR384" s="98"/>
      <c r="AS384" s="98"/>
      <c r="AT384" s="98"/>
      <c r="AU384" s="98"/>
      <c r="AV384" s="98"/>
      <c r="AW384" s="65"/>
      <c r="AX384" s="99"/>
      <c r="AY384" s="99"/>
      <c r="AZ384" s="104" t="str">
        <f>IF('BMP P Tracking Table'!$AL384="Yes",IF('BMP P Tracking Table'!$AM384="No",'BMP P Tracking Table'!$V384*VLOOKUP('BMP P Tracking Table'!$R384,'Loading Rates'!$B$1:$L$24,4,FALSE)+IF('BMP P Tracking Table'!$W384="By HSG",'BMP P Tracking Table'!$X384*VLOOKUP('BMP P Tracking Table'!$R384,'Loading Rates'!$B$1:$L$24,6,FALSE)+'BMP P Tracking Table'!$Y384*VLOOKUP('BMP P Tracking Table'!$R384,'Loading Rates'!$B$1:$L$24,7,FALSE)+'BMP P Tracking Table'!$Z384*VLOOKUP('BMP P Tracking Table'!$R384,'Loading Rates'!$B$1:$L$24,8,FALSE)+'BMP P Tracking Table'!$AA384*VLOOKUP('BMP P Tracking Table'!$R384,'Loading Rates'!$B$1:$L$24,9,FALSE),'BMP P Tracking Table'!$AB384*VLOOKUP('BMP P Tracking Table'!$R384,'Loading Rates'!$B$1:$L$24,10,FALSE)),'BMP P Tracking Table'!$AP384*VLOOKUP('BMP P Tracking Table'!$R384,'Loading Rates'!$B$1:$L$24,4,FALSE)+IF('BMP P Tracking Table'!$AQ384="By HSG",'BMP P Tracking Table'!$AR384*VLOOKUP('BMP P Tracking Table'!$R384,'Loading Rates'!$B$1:$L$24,6,FALSE)+'BMP P Tracking Table'!$AS384*VLOOKUP('BMP P Tracking Table'!$R384,'Loading Rates'!$B$1:$L$24,7,FALSE)+'BMP P Tracking Table'!$AT384*VLOOKUP('BMP P Tracking Table'!$R384,'Loading Rates'!$B$1:$L$24,8,FALSE)+'BMP P Tracking Table'!$AU384*VLOOKUP('BMP P Tracking Table'!$R384,'Loading Rates'!$B$1:$L$24,9,FALSE),'BMP P Tracking Table'!$AV384*VLOOKUP('BMP P Tracking Table'!$R384,'Loading Rates'!$B$1:$L$24,10,FALSE))),"")</f>
        <v/>
      </c>
      <c r="BA384" s="104" t="str">
        <f>IFERROR(IF('BMP P Tracking Table'!$AM384="Yes",MIN(2,IF('BMP P Tracking Table'!$AQ384="Total Pervious",(-(3630*'BMP P Tracking Table'!$AP384+20.691*'BMP P Tracking Table'!$AV384)+SQRT((3630*'BMP P Tracking Table'!$AP384+20.691*'BMP P Tracking Table'!$AV384)^2-(4*(996.798*'BMP P Tracking Table'!$AV384)*-'BMP P Tracking Table'!$AX384)))/(2*(996.798*'BMP P Tracking Table'!$AV384)),IF(SUM('BMP P Tracking Table'!$AR384:$AU384)=0,'BMP P Tracking Table'!$AV384/(-3630*'BMP P Tracking Table'!$AP384),(-(3630*'BMP P Tracking Table'!$AP384+20.691*'BMP P Tracking Table'!$AU384-216.711*'BMP P Tracking Table'!$AT384-83.853*'BMP P Tracking Table'!$AS384-42.834*'BMP P Tracking Table'!$AR384)+SQRT((3630*'BMP P Tracking Table'!$AP384+20.691*'BMP P Tracking Table'!$AU384-216.711*'BMP P Tracking Table'!$AT384-83.853*'BMP P Tracking Table'!$AS384-42.834*'BMP P Tracking Table'!$AR384)^2-(4*(149.919*'BMP P Tracking Table'!$AR384+236.676*'BMP P Tracking Table'!$AS384+726*'BMP P Tracking Table'!$AT384+996.798*'BMP P Tracking Table'!$AU384)*-'BMP P Tracking Table'!$AX384)))/(2*(149.919*'BMP P Tracking Table'!$AR384+236.676*'BMP P Tracking Table'!$AS384+726*'BMP P Tracking Table'!$AT384+996.798*'BMP P Tracking Table'!$AU384))))),MIN(2,IF('BMP P Tracking Table'!$AQ384="Total Pervious",(-(3630*'BMP P Tracking Table'!$V384+20.691*'BMP P Tracking Table'!$AB384)+SQRT((3630*'BMP P Tracking Table'!$V384+20.691*'BMP P Tracking Table'!$AB384)^2-(4*(996.798*'BMP P Tracking Table'!$AB384)*-'BMP P Tracking Table'!$AX384)))/(2*(996.798*'BMP P Tracking Table'!$AB384)),IF(SUM('BMP P Tracking Table'!$X384:$AA384)=0,'BMP P Tracking Table'!$AX384/(-3630*'BMP P Tracking Table'!$V384),(-(3630*'BMP P Tracking Table'!$V384+20.691*'BMP P Tracking Table'!$AA384-216.711*'BMP P Tracking Table'!$Z384-83.853*'BMP P Tracking Table'!$Y384-42.834*'BMP P Tracking Table'!$X384)+SQRT((3630*'BMP P Tracking Table'!$V384+20.691*'BMP P Tracking Table'!$AA384-216.711*'BMP P Tracking Table'!$Z384-83.853*'BMP P Tracking Table'!$Y384-42.834*'BMP P Tracking Table'!$X384)^2-(4*(149.919*'BMP P Tracking Table'!$X384+236.676*'BMP P Tracking Table'!$Y384+726*'BMP P Tracking Table'!$Z384+996.798*'BMP P Tracking Table'!$AA384)*-'BMP P Tracking Table'!$AX384)))/(2*(149.919*'BMP P Tracking Table'!$X384+236.676*'BMP P Tracking Table'!$Y384+726*'BMP P Tracking Table'!$Z384+996.798*'BMP P Tracking Table'!$AA384)))))),"")</f>
        <v/>
      </c>
      <c r="BB384" s="102" t="str">
        <f>IFERROR((VLOOKUP(CONCATENATE('BMP P Tracking Table'!$AW384," ",'BMP P Tracking Table'!$AY384),'Performance Curves'!$C$1:$L$46,_xlfn.SINGLE(MATCH('BMP P Tracking Table'!$BA384,'Performance Curves'!$D$1:$L$1,1))+2,FALSE)-VLOOKUP(CONCATENATE('BMP P Tracking Table'!$AW384," ",'BMP P Tracking Table'!$AY384),'Performance Curves'!$C$1:$L$46,_xlfn.SINGLE(MATCH('BMP P Tracking Table'!$BA384,'Performance Curves'!$D$1:$L$1,1))+1,FALSE)),"")</f>
        <v/>
      </c>
      <c r="BC384" s="102" t="str">
        <f>IFERROR(('BMP P Tracking Table'!$BA384-INDEX('Performance Curves'!$D$1:$L$1,1,MATCH('BMP P Tracking Table'!$BA384,'Performance Curves'!$D$1:$L$1,1)))/(INDEX('Performance Curves'!$D$1:$L$1,1,MATCH('BMP P Tracking Table'!$BA384,'Performance Curves'!$D$1:$L$1,1)+1)-INDEX('Performance Curves'!$D$1:$L$1,1,MATCH('BMP P Tracking Table'!$BA384,'Performance Curves'!$D$1:$L$1,1))),"")</f>
        <v/>
      </c>
      <c r="BD384" s="103" t="str" cm="1">
        <f t="array" ref="BD384">IFERROR(IF('BMP P Tracking Table'!$BA384=2,VLOOKUP(CONCATENATE('BMP P Tracking Table'!$AW384," ",'BMP P Tracking Table'!$AY384),'Performance Curves'!$C$1:$L$44,_xlfn.SINGLE(MATCH('BMP P Tracking Table'!$BA384,'Performance Curves'!$D$1:$L$1,1))+1,FALSE),'BMP P Tracking Table'!$BB384*'BMP P Tracking Table'!$BC384+VLOOKUP(CONCATENATE('BMP P Tracking Table'!$AW384," ",'BMP P Tracking Table'!$AY384),'Performance Curves'!$C$1:$L$44,_xlfn.SINGLE(MATCH('BMP P Tracking Table'!$BA384,'Performance Curves'!$D$1:$L$1,1))+1,FALSE)),"")</f>
        <v/>
      </c>
      <c r="BE384" s="104" t="str">
        <f>IFERROR('BMP P Tracking Table'!$BD384*'BMP P Tracking Table'!$AZ384,"")</f>
        <v/>
      </c>
      <c r="BF384" s="98"/>
      <c r="BG384" s="37">
        <f t="shared" si="40"/>
        <v>0</v>
      </c>
    </row>
    <row r="385" spans="2:59" s="36" customFormat="1">
      <c r="B385" s="65"/>
      <c r="C385" s="65"/>
      <c r="D385" s="65"/>
      <c r="E385" s="65"/>
      <c r="F385" s="94"/>
      <c r="G385" s="94"/>
      <c r="H385" s="65"/>
      <c r="I385" s="65"/>
      <c r="J385" s="65"/>
      <c r="K385" s="95"/>
      <c r="L385" s="65"/>
      <c r="M385" s="65"/>
      <c r="N385" s="65"/>
      <c r="O385" s="65"/>
      <c r="P385" s="65"/>
      <c r="Q385" s="65"/>
      <c r="R385" s="65" t="str">
        <f>IFERROR(VLOOKUP('BMP P Tracking Table'!$Q385,Dropdowns!$C$2:$E$15,3,FALSE),"")</f>
        <v/>
      </c>
      <c r="S385" s="65" t="str">
        <f>IFERROR(VLOOKUP('BMP P Tracking Table'!$R385,Dropdowns!$Q$3:$R$23,2,FALSE),"")</f>
        <v/>
      </c>
      <c r="T385" s="65"/>
      <c r="U385" s="65"/>
      <c r="V385" s="65"/>
      <c r="W385" s="65"/>
      <c r="X385" s="65"/>
      <c r="Y385" s="65"/>
      <c r="Z385" s="65"/>
      <c r="AA385" s="65"/>
      <c r="AB385" s="65"/>
      <c r="AC385" s="97"/>
      <c r="AD385" s="65"/>
      <c r="AE385" s="104" t="str">
        <f>IFERROR('BMP P Tracking Table'!$V385*VLOOKUP('BMP P Tracking Table'!$R385,'Loading Rates'!$B$1:$L$24,4,FALSE)+IF('BMP P Tracking Table'!$W385="By HSG",'BMP P Tracking Table'!$X385*VLOOKUP('BMP P Tracking Table'!$R385,'Loading Rates'!$B$1:$L$24,6,FALSE)+'BMP P Tracking Table'!$Y385*VLOOKUP('BMP P Tracking Table'!$R385,'Loading Rates'!$B$1:$L$24,7,FALSE)+'BMP P Tracking Table'!$Z385*VLOOKUP('BMP P Tracking Table'!$R385,'Loading Rates'!$B$1:$L$24,8,FALSE)+'BMP P Tracking Table'!$AA385*VLOOKUP('BMP P Tracking Table'!$R385,'Loading Rates'!$B$1:$L$24,9,FALSE),'BMP P Tracking Table'!$AB385*VLOOKUP('BMP P Tracking Table'!$R385,'Loading Rates'!$B$1:$L$24,10,FALSE)),"")</f>
        <v/>
      </c>
      <c r="AF385" s="104" t="str">
        <f>IFERROR(MIN(2,IF('BMP P Tracking Table'!$W385="Total Pervious",(-(3630*'BMP P Tracking Table'!$V385+20.691*'BMP P Tracking Table'!$AB385)+SQRT((3630*'BMP P Tracking Table'!$V385+20.691*'BMP P Tracking Table'!$AB385)^2-(4*(996.798*'BMP P Tracking Table'!$AB385)*-'BMP P Tracking Table'!$AC385)))/(2*(996.798*'BMP P Tracking Table'!$AB385)),IF(SUM('BMP P Tracking Table'!$X385:$AA385)=0,'BMP P Tracking Table'!$AC385/(-3630*'BMP P Tracking Table'!$V385),(-(3630*'BMP P Tracking Table'!$V385+20.691*'BMP P Tracking Table'!$AA385-216.711*'BMP P Tracking Table'!$Z385-83.853*'BMP P Tracking Table'!$Y385-42.834*'BMP P Tracking Table'!$X385)+SQRT((3630*'BMP P Tracking Table'!$V385+20.691*'BMP P Tracking Table'!$AA385-216.711*'BMP P Tracking Table'!$Z385-83.853*'BMP P Tracking Table'!$Y385-42.834*'BMP P Tracking Table'!$X385)^2-(4*(149.919*'BMP P Tracking Table'!$X385+236.676*'BMP P Tracking Table'!$Y385+726*'BMP P Tracking Table'!$Z385+996.798*'BMP P Tracking Table'!$AA385)*-'BMP P Tracking Table'!$AC385)))/(2*(149.919*'BMP P Tracking Table'!$X385+236.676*'BMP P Tracking Table'!$Y385+726*'BMP P Tracking Table'!$Z385+996.798*'BMP P Tracking Table'!$AA385))))),"")</f>
        <v/>
      </c>
      <c r="AG385" s="104" t="str">
        <f>IFERROR((VLOOKUP(CONCATENATE('BMP P Tracking Table'!$U385," ",'BMP P Tracking Table'!$AD385),'Performance Curves'!$C$1:$L$46,_xlfn.SINGLE(MATCH('BMP P Tracking Table'!$AF385,'Performance Curves'!$D$1:$L$1,1))+2,FALSE)-VLOOKUP(CONCATENATE('BMP P Tracking Table'!$U385," ",'BMP P Tracking Table'!$AD385),'Performance Curves'!$C$1:$L$46,_xlfn.SINGLE(MATCH('BMP P Tracking Table'!$AF385,'Performance Curves'!$D$1:$L$1,1))+1,FALSE)),"")</f>
        <v/>
      </c>
      <c r="AH385" s="104" t="str">
        <f>IFERROR(('BMP P Tracking Table'!$AF385-INDEX('Performance Curves'!$D$1:$L$1,1,MATCH('BMP P Tracking Table'!$AF385,'Performance Curves'!$D$1:$L$1,1)))/(INDEX('Performance Curves'!$D$1:$L$1,1,MATCH('BMP P Tracking Table'!$AF385,'Performance Curves'!$D$1:$L$1,1)+1)-INDEX('Performance Curves'!$D$1:$L$1,1,MATCH('BMP P Tracking Table'!$AF385,'Performance Curves'!$D$1:$L$1,1))),"")</f>
        <v/>
      </c>
      <c r="AI385" s="103" t="str">
        <f>IFERROR(IF('BMP P Tracking Table'!$AF385=2,VLOOKUP(CONCATENATE('BMP P Tracking Table'!$U385," ",'BMP P Tracking Table'!$AD385),'Performance Curves'!$C$1:$L$46,_xlfn.SINGLE(MATCH('BMP P Tracking Table'!$AF385,'Performance Curves'!$D$1:$L$1,1))+1,FALSE),'BMP P Tracking Table'!$AG385*'BMP P Tracking Table'!$AH385+VLOOKUP(CONCATENATE('BMP P Tracking Table'!$U385," ",'BMP P Tracking Table'!$AD385),'Performance Curves'!$C$1:$L$46,_xlfn.SINGLE(MATCH('BMP P Tracking Table'!$AF385,'Performance Curves'!$D$1:$L$1,1))+1,FALSE)),"")</f>
        <v/>
      </c>
      <c r="AJ385" s="104" t="str">
        <f>IFERROR('BMP P Tracking Table'!$AI385*'BMP P Tracking Table'!$AE385,"")</f>
        <v/>
      </c>
      <c r="AK385" s="65"/>
      <c r="AL385" s="98"/>
      <c r="AM385" s="98"/>
      <c r="AN385" s="64">
        <v>1</v>
      </c>
      <c r="AO385" s="102" t="str">
        <f t="shared" si="39"/>
        <v/>
      </c>
      <c r="AP385" s="98"/>
      <c r="AQ385" s="98"/>
      <c r="AR385" s="98"/>
      <c r="AS385" s="98"/>
      <c r="AT385" s="98"/>
      <c r="AU385" s="98"/>
      <c r="AV385" s="98"/>
      <c r="AW385" s="65"/>
      <c r="AX385" s="99"/>
      <c r="AY385" s="99"/>
      <c r="AZ385" s="104" t="str">
        <f>IF('BMP P Tracking Table'!$AL385="Yes",IF('BMP P Tracking Table'!$AM385="No",'BMP P Tracking Table'!$V385*VLOOKUP('BMP P Tracking Table'!$R385,'Loading Rates'!$B$1:$L$24,4,FALSE)+IF('BMP P Tracking Table'!$W385="By HSG",'BMP P Tracking Table'!$X385*VLOOKUP('BMP P Tracking Table'!$R385,'Loading Rates'!$B$1:$L$24,6,FALSE)+'BMP P Tracking Table'!$Y385*VLOOKUP('BMP P Tracking Table'!$R385,'Loading Rates'!$B$1:$L$24,7,FALSE)+'BMP P Tracking Table'!$Z385*VLOOKUP('BMP P Tracking Table'!$R385,'Loading Rates'!$B$1:$L$24,8,FALSE)+'BMP P Tracking Table'!$AA385*VLOOKUP('BMP P Tracking Table'!$R385,'Loading Rates'!$B$1:$L$24,9,FALSE),'BMP P Tracking Table'!$AB385*VLOOKUP('BMP P Tracking Table'!$R385,'Loading Rates'!$B$1:$L$24,10,FALSE)),'BMP P Tracking Table'!$AP385*VLOOKUP('BMP P Tracking Table'!$R385,'Loading Rates'!$B$1:$L$24,4,FALSE)+IF('BMP P Tracking Table'!$AQ385="By HSG",'BMP P Tracking Table'!$AR385*VLOOKUP('BMP P Tracking Table'!$R385,'Loading Rates'!$B$1:$L$24,6,FALSE)+'BMP P Tracking Table'!$AS385*VLOOKUP('BMP P Tracking Table'!$R385,'Loading Rates'!$B$1:$L$24,7,FALSE)+'BMP P Tracking Table'!$AT385*VLOOKUP('BMP P Tracking Table'!$R385,'Loading Rates'!$B$1:$L$24,8,FALSE)+'BMP P Tracking Table'!$AU385*VLOOKUP('BMP P Tracking Table'!$R385,'Loading Rates'!$B$1:$L$24,9,FALSE),'BMP P Tracking Table'!$AV385*VLOOKUP('BMP P Tracking Table'!$R385,'Loading Rates'!$B$1:$L$24,10,FALSE))),"")</f>
        <v/>
      </c>
      <c r="BA385" s="104" t="str">
        <f>IFERROR(IF('BMP P Tracking Table'!$AM385="Yes",MIN(2,IF('BMP P Tracking Table'!$AQ385="Total Pervious",(-(3630*'BMP P Tracking Table'!$AP385+20.691*'BMP P Tracking Table'!$AV385)+SQRT((3630*'BMP P Tracking Table'!$AP385+20.691*'BMP P Tracking Table'!$AV385)^2-(4*(996.798*'BMP P Tracking Table'!$AV385)*-'BMP P Tracking Table'!$AX385)))/(2*(996.798*'BMP P Tracking Table'!$AV385)),IF(SUM('BMP P Tracking Table'!$AR385:$AU385)=0,'BMP P Tracking Table'!$AV385/(-3630*'BMP P Tracking Table'!$AP385),(-(3630*'BMP P Tracking Table'!$AP385+20.691*'BMP P Tracking Table'!$AU385-216.711*'BMP P Tracking Table'!$AT385-83.853*'BMP P Tracking Table'!$AS385-42.834*'BMP P Tracking Table'!$AR385)+SQRT((3630*'BMP P Tracking Table'!$AP385+20.691*'BMP P Tracking Table'!$AU385-216.711*'BMP P Tracking Table'!$AT385-83.853*'BMP P Tracking Table'!$AS385-42.834*'BMP P Tracking Table'!$AR385)^2-(4*(149.919*'BMP P Tracking Table'!$AR385+236.676*'BMP P Tracking Table'!$AS385+726*'BMP P Tracking Table'!$AT385+996.798*'BMP P Tracking Table'!$AU385)*-'BMP P Tracking Table'!$AX385)))/(2*(149.919*'BMP P Tracking Table'!$AR385+236.676*'BMP P Tracking Table'!$AS385+726*'BMP P Tracking Table'!$AT385+996.798*'BMP P Tracking Table'!$AU385))))),MIN(2,IF('BMP P Tracking Table'!$AQ385="Total Pervious",(-(3630*'BMP P Tracking Table'!$V385+20.691*'BMP P Tracking Table'!$AB385)+SQRT((3630*'BMP P Tracking Table'!$V385+20.691*'BMP P Tracking Table'!$AB385)^2-(4*(996.798*'BMP P Tracking Table'!$AB385)*-'BMP P Tracking Table'!$AX385)))/(2*(996.798*'BMP P Tracking Table'!$AB385)),IF(SUM('BMP P Tracking Table'!$X385:$AA385)=0,'BMP P Tracking Table'!$AX385/(-3630*'BMP P Tracking Table'!$V385),(-(3630*'BMP P Tracking Table'!$V385+20.691*'BMP P Tracking Table'!$AA385-216.711*'BMP P Tracking Table'!$Z385-83.853*'BMP P Tracking Table'!$Y385-42.834*'BMP P Tracking Table'!$X385)+SQRT((3630*'BMP P Tracking Table'!$V385+20.691*'BMP P Tracking Table'!$AA385-216.711*'BMP P Tracking Table'!$Z385-83.853*'BMP P Tracking Table'!$Y385-42.834*'BMP P Tracking Table'!$X385)^2-(4*(149.919*'BMP P Tracking Table'!$X385+236.676*'BMP P Tracking Table'!$Y385+726*'BMP P Tracking Table'!$Z385+996.798*'BMP P Tracking Table'!$AA385)*-'BMP P Tracking Table'!$AX385)))/(2*(149.919*'BMP P Tracking Table'!$X385+236.676*'BMP P Tracking Table'!$Y385+726*'BMP P Tracking Table'!$Z385+996.798*'BMP P Tracking Table'!$AA385)))))),"")</f>
        <v/>
      </c>
      <c r="BB385" s="102" t="str">
        <f>IFERROR((VLOOKUP(CONCATENATE('BMP P Tracking Table'!$AW385," ",'BMP P Tracking Table'!$AY385),'Performance Curves'!$C$1:$L$46,_xlfn.SINGLE(MATCH('BMP P Tracking Table'!$BA385,'Performance Curves'!$D$1:$L$1,1))+2,FALSE)-VLOOKUP(CONCATENATE('BMP P Tracking Table'!$AW385," ",'BMP P Tracking Table'!$AY385),'Performance Curves'!$C$1:$L$46,_xlfn.SINGLE(MATCH('BMP P Tracking Table'!$BA385,'Performance Curves'!$D$1:$L$1,1))+1,FALSE)),"")</f>
        <v/>
      </c>
      <c r="BC385" s="102" t="str">
        <f>IFERROR(('BMP P Tracking Table'!$BA385-INDEX('Performance Curves'!$D$1:$L$1,1,MATCH('BMP P Tracking Table'!$BA385,'Performance Curves'!$D$1:$L$1,1)))/(INDEX('Performance Curves'!$D$1:$L$1,1,MATCH('BMP P Tracking Table'!$BA385,'Performance Curves'!$D$1:$L$1,1)+1)-INDEX('Performance Curves'!$D$1:$L$1,1,MATCH('BMP P Tracking Table'!$BA385,'Performance Curves'!$D$1:$L$1,1))),"")</f>
        <v/>
      </c>
      <c r="BD385" s="103" t="str" cm="1">
        <f t="array" ref="BD385">IFERROR(IF('BMP P Tracking Table'!$BA385=2,VLOOKUP(CONCATENATE('BMP P Tracking Table'!$AW385," ",'BMP P Tracking Table'!$AY385),'Performance Curves'!$C$1:$L$44,_xlfn.SINGLE(MATCH('BMP P Tracking Table'!$BA385,'Performance Curves'!$D$1:$L$1,1))+1,FALSE),'BMP P Tracking Table'!$BB385*'BMP P Tracking Table'!$BC385+VLOOKUP(CONCATENATE('BMP P Tracking Table'!$AW385," ",'BMP P Tracking Table'!$AY385),'Performance Curves'!$C$1:$L$44,_xlfn.SINGLE(MATCH('BMP P Tracking Table'!$BA385,'Performance Curves'!$D$1:$L$1,1))+1,FALSE)),"")</f>
        <v/>
      </c>
      <c r="BE385" s="104" t="str">
        <f>IFERROR('BMP P Tracking Table'!$BD385*'BMP P Tracking Table'!$AZ385,"")</f>
        <v/>
      </c>
      <c r="BF385" s="98"/>
      <c r="BG385" s="37">
        <f t="shared" si="40"/>
        <v>0</v>
      </c>
    </row>
    <row r="386" spans="2:59" s="36" customFormat="1">
      <c r="B386" s="65"/>
      <c r="C386" s="65"/>
      <c r="D386" s="65"/>
      <c r="E386" s="65"/>
      <c r="F386" s="94"/>
      <c r="G386" s="94"/>
      <c r="H386" s="65"/>
      <c r="I386" s="65"/>
      <c r="J386" s="65"/>
      <c r="K386" s="95"/>
      <c r="L386" s="65"/>
      <c r="M386" s="65"/>
      <c r="N386" s="65"/>
      <c r="O386" s="65"/>
      <c r="P386" s="65"/>
      <c r="Q386" s="65"/>
      <c r="R386" s="65" t="str">
        <f>IFERROR(VLOOKUP('BMP P Tracking Table'!$Q386,Dropdowns!$C$2:$E$15,3,FALSE),"")</f>
        <v/>
      </c>
      <c r="S386" s="65" t="str">
        <f>IFERROR(VLOOKUP('BMP P Tracking Table'!$R386,Dropdowns!$Q$3:$R$23,2,FALSE),"")</f>
        <v/>
      </c>
      <c r="T386" s="65"/>
      <c r="U386" s="65"/>
      <c r="V386" s="65"/>
      <c r="W386" s="65"/>
      <c r="X386" s="65"/>
      <c r="Y386" s="65"/>
      <c r="Z386" s="65"/>
      <c r="AA386" s="65"/>
      <c r="AB386" s="65"/>
      <c r="AC386" s="97"/>
      <c r="AD386" s="65"/>
      <c r="AE386" s="104" t="str">
        <f>IFERROR('BMP P Tracking Table'!$V386*VLOOKUP('BMP P Tracking Table'!$R386,'Loading Rates'!$B$1:$L$24,4,FALSE)+IF('BMP P Tracking Table'!$W386="By HSG",'BMP P Tracking Table'!$X386*VLOOKUP('BMP P Tracking Table'!$R386,'Loading Rates'!$B$1:$L$24,6,FALSE)+'BMP P Tracking Table'!$Y386*VLOOKUP('BMP P Tracking Table'!$R386,'Loading Rates'!$B$1:$L$24,7,FALSE)+'BMP P Tracking Table'!$Z386*VLOOKUP('BMP P Tracking Table'!$R386,'Loading Rates'!$B$1:$L$24,8,FALSE)+'BMP P Tracking Table'!$AA386*VLOOKUP('BMP P Tracking Table'!$R386,'Loading Rates'!$B$1:$L$24,9,FALSE),'BMP P Tracking Table'!$AB386*VLOOKUP('BMP P Tracking Table'!$R386,'Loading Rates'!$B$1:$L$24,10,FALSE)),"")</f>
        <v/>
      </c>
      <c r="AF386" s="104" t="str">
        <f>IFERROR(MIN(2,IF('BMP P Tracking Table'!$W386="Total Pervious",(-(3630*'BMP P Tracking Table'!$V386+20.691*'BMP P Tracking Table'!$AB386)+SQRT((3630*'BMP P Tracking Table'!$V386+20.691*'BMP P Tracking Table'!$AB386)^2-(4*(996.798*'BMP P Tracking Table'!$AB386)*-'BMP P Tracking Table'!$AC386)))/(2*(996.798*'BMP P Tracking Table'!$AB386)),IF(SUM('BMP P Tracking Table'!$X386:$AA386)=0,'BMP P Tracking Table'!$AC386/(-3630*'BMP P Tracking Table'!$V386),(-(3630*'BMP P Tracking Table'!$V386+20.691*'BMP P Tracking Table'!$AA386-216.711*'BMP P Tracking Table'!$Z386-83.853*'BMP P Tracking Table'!$Y386-42.834*'BMP P Tracking Table'!$X386)+SQRT((3630*'BMP P Tracking Table'!$V386+20.691*'BMP P Tracking Table'!$AA386-216.711*'BMP P Tracking Table'!$Z386-83.853*'BMP P Tracking Table'!$Y386-42.834*'BMP P Tracking Table'!$X386)^2-(4*(149.919*'BMP P Tracking Table'!$X386+236.676*'BMP P Tracking Table'!$Y386+726*'BMP P Tracking Table'!$Z386+996.798*'BMP P Tracking Table'!$AA386)*-'BMP P Tracking Table'!$AC386)))/(2*(149.919*'BMP P Tracking Table'!$X386+236.676*'BMP P Tracking Table'!$Y386+726*'BMP P Tracking Table'!$Z386+996.798*'BMP P Tracking Table'!$AA386))))),"")</f>
        <v/>
      </c>
      <c r="AG386" s="104" t="str">
        <f>IFERROR((VLOOKUP(CONCATENATE('BMP P Tracking Table'!$U386," ",'BMP P Tracking Table'!$AD386),'Performance Curves'!$C$1:$L$46,_xlfn.SINGLE(MATCH('BMP P Tracking Table'!$AF386,'Performance Curves'!$D$1:$L$1,1))+2,FALSE)-VLOOKUP(CONCATENATE('BMP P Tracking Table'!$U386," ",'BMP P Tracking Table'!$AD386),'Performance Curves'!$C$1:$L$46,_xlfn.SINGLE(MATCH('BMP P Tracking Table'!$AF386,'Performance Curves'!$D$1:$L$1,1))+1,FALSE)),"")</f>
        <v/>
      </c>
      <c r="AH386" s="104" t="str">
        <f>IFERROR(('BMP P Tracking Table'!$AF386-INDEX('Performance Curves'!$D$1:$L$1,1,MATCH('BMP P Tracking Table'!$AF386,'Performance Curves'!$D$1:$L$1,1)))/(INDEX('Performance Curves'!$D$1:$L$1,1,MATCH('BMP P Tracking Table'!$AF386,'Performance Curves'!$D$1:$L$1,1)+1)-INDEX('Performance Curves'!$D$1:$L$1,1,MATCH('BMP P Tracking Table'!$AF386,'Performance Curves'!$D$1:$L$1,1))),"")</f>
        <v/>
      </c>
      <c r="AI386" s="103" t="str">
        <f>IFERROR(IF('BMP P Tracking Table'!$AF386=2,VLOOKUP(CONCATENATE('BMP P Tracking Table'!$U386," ",'BMP P Tracking Table'!$AD386),'Performance Curves'!$C$1:$L$46,_xlfn.SINGLE(MATCH('BMP P Tracking Table'!$AF386,'Performance Curves'!$D$1:$L$1,1))+1,FALSE),'BMP P Tracking Table'!$AG386*'BMP P Tracking Table'!$AH386+VLOOKUP(CONCATENATE('BMP P Tracking Table'!$U386," ",'BMP P Tracking Table'!$AD386),'Performance Curves'!$C$1:$L$46,_xlfn.SINGLE(MATCH('BMP P Tracking Table'!$AF386,'Performance Curves'!$D$1:$L$1,1))+1,FALSE)),"")</f>
        <v/>
      </c>
      <c r="AJ386" s="104" t="str">
        <f>IFERROR('BMP P Tracking Table'!$AI386*'BMP P Tracking Table'!$AE386,"")</f>
        <v/>
      </c>
      <c r="AK386" s="65"/>
      <c r="AL386" s="98"/>
      <c r="AM386" s="98"/>
      <c r="AN386" s="64">
        <v>1</v>
      </c>
      <c r="AO386" s="102" t="str">
        <f t="shared" si="39"/>
        <v/>
      </c>
      <c r="AP386" s="98"/>
      <c r="AQ386" s="98"/>
      <c r="AR386" s="98"/>
      <c r="AS386" s="98"/>
      <c r="AT386" s="98"/>
      <c r="AU386" s="98"/>
      <c r="AV386" s="98"/>
      <c r="AW386" s="65"/>
      <c r="AX386" s="99"/>
      <c r="AY386" s="99"/>
      <c r="AZ386" s="104" t="str">
        <f>IF('BMP P Tracking Table'!$AL386="Yes",IF('BMP P Tracking Table'!$AM386="No",'BMP P Tracking Table'!$V386*VLOOKUP('BMP P Tracking Table'!$R386,'Loading Rates'!$B$1:$L$24,4,FALSE)+IF('BMP P Tracking Table'!$W386="By HSG",'BMP P Tracking Table'!$X386*VLOOKUP('BMP P Tracking Table'!$R386,'Loading Rates'!$B$1:$L$24,6,FALSE)+'BMP P Tracking Table'!$Y386*VLOOKUP('BMP P Tracking Table'!$R386,'Loading Rates'!$B$1:$L$24,7,FALSE)+'BMP P Tracking Table'!$Z386*VLOOKUP('BMP P Tracking Table'!$R386,'Loading Rates'!$B$1:$L$24,8,FALSE)+'BMP P Tracking Table'!$AA386*VLOOKUP('BMP P Tracking Table'!$R386,'Loading Rates'!$B$1:$L$24,9,FALSE),'BMP P Tracking Table'!$AB386*VLOOKUP('BMP P Tracking Table'!$R386,'Loading Rates'!$B$1:$L$24,10,FALSE)),'BMP P Tracking Table'!$AP386*VLOOKUP('BMP P Tracking Table'!$R386,'Loading Rates'!$B$1:$L$24,4,FALSE)+IF('BMP P Tracking Table'!$AQ386="By HSG",'BMP P Tracking Table'!$AR386*VLOOKUP('BMP P Tracking Table'!$R386,'Loading Rates'!$B$1:$L$24,6,FALSE)+'BMP P Tracking Table'!$AS386*VLOOKUP('BMP P Tracking Table'!$R386,'Loading Rates'!$B$1:$L$24,7,FALSE)+'BMP P Tracking Table'!$AT386*VLOOKUP('BMP P Tracking Table'!$R386,'Loading Rates'!$B$1:$L$24,8,FALSE)+'BMP P Tracking Table'!$AU386*VLOOKUP('BMP P Tracking Table'!$R386,'Loading Rates'!$B$1:$L$24,9,FALSE),'BMP P Tracking Table'!$AV386*VLOOKUP('BMP P Tracking Table'!$R386,'Loading Rates'!$B$1:$L$24,10,FALSE))),"")</f>
        <v/>
      </c>
      <c r="BA386" s="104" t="str">
        <f>IFERROR(IF('BMP P Tracking Table'!$AM386="Yes",MIN(2,IF('BMP P Tracking Table'!$AQ386="Total Pervious",(-(3630*'BMP P Tracking Table'!$AP386+20.691*'BMP P Tracking Table'!$AV386)+SQRT((3630*'BMP P Tracking Table'!$AP386+20.691*'BMP P Tracking Table'!$AV386)^2-(4*(996.798*'BMP P Tracking Table'!$AV386)*-'BMP P Tracking Table'!$AX386)))/(2*(996.798*'BMP P Tracking Table'!$AV386)),IF(SUM('BMP P Tracking Table'!$AR386:$AU386)=0,'BMP P Tracking Table'!$AV386/(-3630*'BMP P Tracking Table'!$AP386),(-(3630*'BMP P Tracking Table'!$AP386+20.691*'BMP P Tracking Table'!$AU386-216.711*'BMP P Tracking Table'!$AT386-83.853*'BMP P Tracking Table'!$AS386-42.834*'BMP P Tracking Table'!$AR386)+SQRT((3630*'BMP P Tracking Table'!$AP386+20.691*'BMP P Tracking Table'!$AU386-216.711*'BMP P Tracking Table'!$AT386-83.853*'BMP P Tracking Table'!$AS386-42.834*'BMP P Tracking Table'!$AR386)^2-(4*(149.919*'BMP P Tracking Table'!$AR386+236.676*'BMP P Tracking Table'!$AS386+726*'BMP P Tracking Table'!$AT386+996.798*'BMP P Tracking Table'!$AU386)*-'BMP P Tracking Table'!$AX386)))/(2*(149.919*'BMP P Tracking Table'!$AR386+236.676*'BMP P Tracking Table'!$AS386+726*'BMP P Tracking Table'!$AT386+996.798*'BMP P Tracking Table'!$AU386))))),MIN(2,IF('BMP P Tracking Table'!$AQ386="Total Pervious",(-(3630*'BMP P Tracking Table'!$V386+20.691*'BMP P Tracking Table'!$AB386)+SQRT((3630*'BMP P Tracking Table'!$V386+20.691*'BMP P Tracking Table'!$AB386)^2-(4*(996.798*'BMP P Tracking Table'!$AB386)*-'BMP P Tracking Table'!$AX386)))/(2*(996.798*'BMP P Tracking Table'!$AB386)),IF(SUM('BMP P Tracking Table'!$X386:$AA386)=0,'BMP P Tracking Table'!$AX386/(-3630*'BMP P Tracking Table'!$V386),(-(3630*'BMP P Tracking Table'!$V386+20.691*'BMP P Tracking Table'!$AA386-216.711*'BMP P Tracking Table'!$Z386-83.853*'BMP P Tracking Table'!$Y386-42.834*'BMP P Tracking Table'!$X386)+SQRT((3630*'BMP P Tracking Table'!$V386+20.691*'BMP P Tracking Table'!$AA386-216.711*'BMP P Tracking Table'!$Z386-83.853*'BMP P Tracking Table'!$Y386-42.834*'BMP P Tracking Table'!$X386)^2-(4*(149.919*'BMP P Tracking Table'!$X386+236.676*'BMP P Tracking Table'!$Y386+726*'BMP P Tracking Table'!$Z386+996.798*'BMP P Tracking Table'!$AA386)*-'BMP P Tracking Table'!$AX386)))/(2*(149.919*'BMP P Tracking Table'!$X386+236.676*'BMP P Tracking Table'!$Y386+726*'BMP P Tracking Table'!$Z386+996.798*'BMP P Tracking Table'!$AA386)))))),"")</f>
        <v/>
      </c>
      <c r="BB386" s="102" t="str">
        <f>IFERROR((VLOOKUP(CONCATENATE('BMP P Tracking Table'!$AW386," ",'BMP P Tracking Table'!$AY386),'Performance Curves'!$C$1:$L$46,_xlfn.SINGLE(MATCH('BMP P Tracking Table'!$BA386,'Performance Curves'!$D$1:$L$1,1))+2,FALSE)-VLOOKUP(CONCATENATE('BMP P Tracking Table'!$AW386," ",'BMP P Tracking Table'!$AY386),'Performance Curves'!$C$1:$L$46,_xlfn.SINGLE(MATCH('BMP P Tracking Table'!$BA386,'Performance Curves'!$D$1:$L$1,1))+1,FALSE)),"")</f>
        <v/>
      </c>
      <c r="BC386" s="102" t="str">
        <f>IFERROR(('BMP P Tracking Table'!$BA386-INDEX('Performance Curves'!$D$1:$L$1,1,MATCH('BMP P Tracking Table'!$BA386,'Performance Curves'!$D$1:$L$1,1)))/(INDEX('Performance Curves'!$D$1:$L$1,1,MATCH('BMP P Tracking Table'!$BA386,'Performance Curves'!$D$1:$L$1,1)+1)-INDEX('Performance Curves'!$D$1:$L$1,1,MATCH('BMP P Tracking Table'!$BA386,'Performance Curves'!$D$1:$L$1,1))),"")</f>
        <v/>
      </c>
      <c r="BD386" s="103" t="str" cm="1">
        <f t="array" ref="BD386">IFERROR(IF('BMP P Tracking Table'!$BA386=2,VLOOKUP(CONCATENATE('BMP P Tracking Table'!$AW386," ",'BMP P Tracking Table'!$AY386),'Performance Curves'!$C$1:$L$44,_xlfn.SINGLE(MATCH('BMP P Tracking Table'!$BA386,'Performance Curves'!$D$1:$L$1,1))+1,FALSE),'BMP P Tracking Table'!$BB386*'BMP P Tracking Table'!$BC386+VLOOKUP(CONCATENATE('BMP P Tracking Table'!$AW386," ",'BMP P Tracking Table'!$AY386),'Performance Curves'!$C$1:$L$44,_xlfn.SINGLE(MATCH('BMP P Tracking Table'!$BA386,'Performance Curves'!$D$1:$L$1,1))+1,FALSE)),"")</f>
        <v/>
      </c>
      <c r="BE386" s="104" t="str">
        <f>IFERROR('BMP P Tracking Table'!$BD386*'BMP P Tracking Table'!$AZ386,"")</f>
        <v/>
      </c>
      <c r="BF386" s="98"/>
      <c r="BG386" s="37">
        <f t="shared" si="40"/>
        <v>0</v>
      </c>
    </row>
    <row r="387" spans="2:59" s="36" customFormat="1">
      <c r="B387" s="65"/>
      <c r="C387" s="65"/>
      <c r="D387" s="65"/>
      <c r="E387" s="65"/>
      <c r="F387" s="94"/>
      <c r="G387" s="94"/>
      <c r="H387" s="65"/>
      <c r="I387" s="65"/>
      <c r="J387" s="65"/>
      <c r="K387" s="95"/>
      <c r="L387" s="65"/>
      <c r="M387" s="65"/>
      <c r="N387" s="65"/>
      <c r="O387" s="65"/>
      <c r="P387" s="65"/>
      <c r="Q387" s="65"/>
      <c r="R387" s="65" t="str">
        <f>IFERROR(VLOOKUP('BMP P Tracking Table'!$Q387,Dropdowns!$C$2:$E$15,3,FALSE),"")</f>
        <v/>
      </c>
      <c r="S387" s="65" t="str">
        <f>IFERROR(VLOOKUP('BMP P Tracking Table'!$R387,Dropdowns!$Q$3:$R$23,2,FALSE),"")</f>
        <v/>
      </c>
      <c r="T387" s="65"/>
      <c r="U387" s="65"/>
      <c r="V387" s="65"/>
      <c r="W387" s="65"/>
      <c r="X387" s="65"/>
      <c r="Y387" s="65"/>
      <c r="Z387" s="65"/>
      <c r="AA387" s="65"/>
      <c r="AB387" s="65"/>
      <c r="AC387" s="97"/>
      <c r="AD387" s="65"/>
      <c r="AE387" s="104" t="str">
        <f>IFERROR('BMP P Tracking Table'!$V387*VLOOKUP('BMP P Tracking Table'!$R387,'Loading Rates'!$B$1:$L$24,4,FALSE)+IF('BMP P Tracking Table'!$W387="By HSG",'BMP P Tracking Table'!$X387*VLOOKUP('BMP P Tracking Table'!$R387,'Loading Rates'!$B$1:$L$24,6,FALSE)+'BMP P Tracking Table'!$Y387*VLOOKUP('BMP P Tracking Table'!$R387,'Loading Rates'!$B$1:$L$24,7,FALSE)+'BMP P Tracking Table'!$Z387*VLOOKUP('BMP P Tracking Table'!$R387,'Loading Rates'!$B$1:$L$24,8,FALSE)+'BMP P Tracking Table'!$AA387*VLOOKUP('BMP P Tracking Table'!$R387,'Loading Rates'!$B$1:$L$24,9,FALSE),'BMP P Tracking Table'!$AB387*VLOOKUP('BMP P Tracking Table'!$R387,'Loading Rates'!$B$1:$L$24,10,FALSE)),"")</f>
        <v/>
      </c>
      <c r="AF387" s="104" t="str">
        <f>IFERROR(MIN(2,IF('BMP P Tracking Table'!$W387="Total Pervious",(-(3630*'BMP P Tracking Table'!$V387+20.691*'BMP P Tracking Table'!$AB387)+SQRT((3630*'BMP P Tracking Table'!$V387+20.691*'BMP P Tracking Table'!$AB387)^2-(4*(996.798*'BMP P Tracking Table'!$AB387)*-'BMP P Tracking Table'!$AC387)))/(2*(996.798*'BMP P Tracking Table'!$AB387)),IF(SUM('BMP P Tracking Table'!$X387:$AA387)=0,'BMP P Tracking Table'!$AC387/(-3630*'BMP P Tracking Table'!$V387),(-(3630*'BMP P Tracking Table'!$V387+20.691*'BMP P Tracking Table'!$AA387-216.711*'BMP P Tracking Table'!$Z387-83.853*'BMP P Tracking Table'!$Y387-42.834*'BMP P Tracking Table'!$X387)+SQRT((3630*'BMP P Tracking Table'!$V387+20.691*'BMP P Tracking Table'!$AA387-216.711*'BMP P Tracking Table'!$Z387-83.853*'BMP P Tracking Table'!$Y387-42.834*'BMP P Tracking Table'!$X387)^2-(4*(149.919*'BMP P Tracking Table'!$X387+236.676*'BMP P Tracking Table'!$Y387+726*'BMP P Tracking Table'!$Z387+996.798*'BMP P Tracking Table'!$AA387)*-'BMP P Tracking Table'!$AC387)))/(2*(149.919*'BMP P Tracking Table'!$X387+236.676*'BMP P Tracking Table'!$Y387+726*'BMP P Tracking Table'!$Z387+996.798*'BMP P Tracking Table'!$AA387))))),"")</f>
        <v/>
      </c>
      <c r="AG387" s="104" t="str">
        <f>IFERROR((VLOOKUP(CONCATENATE('BMP P Tracking Table'!$U387," ",'BMP P Tracking Table'!$AD387),'Performance Curves'!$C$1:$L$46,_xlfn.SINGLE(MATCH('BMP P Tracking Table'!$AF387,'Performance Curves'!$D$1:$L$1,1))+2,FALSE)-VLOOKUP(CONCATENATE('BMP P Tracking Table'!$U387," ",'BMP P Tracking Table'!$AD387),'Performance Curves'!$C$1:$L$46,_xlfn.SINGLE(MATCH('BMP P Tracking Table'!$AF387,'Performance Curves'!$D$1:$L$1,1))+1,FALSE)),"")</f>
        <v/>
      </c>
      <c r="AH387" s="104" t="str">
        <f>IFERROR(('BMP P Tracking Table'!$AF387-INDEX('Performance Curves'!$D$1:$L$1,1,MATCH('BMP P Tracking Table'!$AF387,'Performance Curves'!$D$1:$L$1,1)))/(INDEX('Performance Curves'!$D$1:$L$1,1,MATCH('BMP P Tracking Table'!$AF387,'Performance Curves'!$D$1:$L$1,1)+1)-INDEX('Performance Curves'!$D$1:$L$1,1,MATCH('BMP P Tracking Table'!$AF387,'Performance Curves'!$D$1:$L$1,1))),"")</f>
        <v/>
      </c>
      <c r="AI387" s="103" t="str">
        <f>IFERROR(IF('BMP P Tracking Table'!$AF387=2,VLOOKUP(CONCATENATE('BMP P Tracking Table'!$U387," ",'BMP P Tracking Table'!$AD387),'Performance Curves'!$C$1:$L$46,_xlfn.SINGLE(MATCH('BMP P Tracking Table'!$AF387,'Performance Curves'!$D$1:$L$1,1))+1,FALSE),'BMP P Tracking Table'!$AG387*'BMP P Tracking Table'!$AH387+VLOOKUP(CONCATENATE('BMP P Tracking Table'!$U387," ",'BMP P Tracking Table'!$AD387),'Performance Curves'!$C$1:$L$46,_xlfn.SINGLE(MATCH('BMP P Tracking Table'!$AF387,'Performance Curves'!$D$1:$L$1,1))+1,FALSE)),"")</f>
        <v/>
      </c>
      <c r="AJ387" s="104" t="str">
        <f>IFERROR('BMP P Tracking Table'!$AI387*'BMP P Tracking Table'!$AE387,"")</f>
        <v/>
      </c>
      <c r="AK387" s="65"/>
      <c r="AL387" s="98"/>
      <c r="AM387" s="98"/>
      <c r="AN387" s="64">
        <v>1</v>
      </c>
      <c r="AO387" s="102" t="str">
        <f t="shared" si="39"/>
        <v/>
      </c>
      <c r="AP387" s="98"/>
      <c r="AQ387" s="98"/>
      <c r="AR387" s="98"/>
      <c r="AS387" s="98"/>
      <c r="AT387" s="98"/>
      <c r="AU387" s="98"/>
      <c r="AV387" s="98"/>
      <c r="AW387" s="65"/>
      <c r="AX387" s="99"/>
      <c r="AY387" s="99"/>
      <c r="AZ387" s="104" t="str">
        <f>IF('BMP P Tracking Table'!$AL387="Yes",IF('BMP P Tracking Table'!$AM387="No",'BMP P Tracking Table'!$V387*VLOOKUP('BMP P Tracking Table'!$R387,'Loading Rates'!$B$1:$L$24,4,FALSE)+IF('BMP P Tracking Table'!$W387="By HSG",'BMP P Tracking Table'!$X387*VLOOKUP('BMP P Tracking Table'!$R387,'Loading Rates'!$B$1:$L$24,6,FALSE)+'BMP P Tracking Table'!$Y387*VLOOKUP('BMP P Tracking Table'!$R387,'Loading Rates'!$B$1:$L$24,7,FALSE)+'BMP P Tracking Table'!$Z387*VLOOKUP('BMP P Tracking Table'!$R387,'Loading Rates'!$B$1:$L$24,8,FALSE)+'BMP P Tracking Table'!$AA387*VLOOKUP('BMP P Tracking Table'!$R387,'Loading Rates'!$B$1:$L$24,9,FALSE),'BMP P Tracking Table'!$AB387*VLOOKUP('BMP P Tracking Table'!$R387,'Loading Rates'!$B$1:$L$24,10,FALSE)),'BMP P Tracking Table'!$AP387*VLOOKUP('BMP P Tracking Table'!$R387,'Loading Rates'!$B$1:$L$24,4,FALSE)+IF('BMP P Tracking Table'!$AQ387="By HSG",'BMP P Tracking Table'!$AR387*VLOOKUP('BMP P Tracking Table'!$R387,'Loading Rates'!$B$1:$L$24,6,FALSE)+'BMP P Tracking Table'!$AS387*VLOOKUP('BMP P Tracking Table'!$R387,'Loading Rates'!$B$1:$L$24,7,FALSE)+'BMP P Tracking Table'!$AT387*VLOOKUP('BMP P Tracking Table'!$R387,'Loading Rates'!$B$1:$L$24,8,FALSE)+'BMP P Tracking Table'!$AU387*VLOOKUP('BMP P Tracking Table'!$R387,'Loading Rates'!$B$1:$L$24,9,FALSE),'BMP P Tracking Table'!$AV387*VLOOKUP('BMP P Tracking Table'!$R387,'Loading Rates'!$B$1:$L$24,10,FALSE))),"")</f>
        <v/>
      </c>
      <c r="BA387" s="104" t="str">
        <f>IFERROR(IF('BMP P Tracking Table'!$AM387="Yes",MIN(2,IF('BMP P Tracking Table'!$AQ387="Total Pervious",(-(3630*'BMP P Tracking Table'!$AP387+20.691*'BMP P Tracking Table'!$AV387)+SQRT((3630*'BMP P Tracking Table'!$AP387+20.691*'BMP P Tracking Table'!$AV387)^2-(4*(996.798*'BMP P Tracking Table'!$AV387)*-'BMP P Tracking Table'!$AX387)))/(2*(996.798*'BMP P Tracking Table'!$AV387)),IF(SUM('BMP P Tracking Table'!$AR387:$AU387)=0,'BMP P Tracking Table'!$AV387/(-3630*'BMP P Tracking Table'!$AP387),(-(3630*'BMP P Tracking Table'!$AP387+20.691*'BMP P Tracking Table'!$AU387-216.711*'BMP P Tracking Table'!$AT387-83.853*'BMP P Tracking Table'!$AS387-42.834*'BMP P Tracking Table'!$AR387)+SQRT((3630*'BMP P Tracking Table'!$AP387+20.691*'BMP P Tracking Table'!$AU387-216.711*'BMP P Tracking Table'!$AT387-83.853*'BMP P Tracking Table'!$AS387-42.834*'BMP P Tracking Table'!$AR387)^2-(4*(149.919*'BMP P Tracking Table'!$AR387+236.676*'BMP P Tracking Table'!$AS387+726*'BMP P Tracking Table'!$AT387+996.798*'BMP P Tracking Table'!$AU387)*-'BMP P Tracking Table'!$AX387)))/(2*(149.919*'BMP P Tracking Table'!$AR387+236.676*'BMP P Tracking Table'!$AS387+726*'BMP P Tracking Table'!$AT387+996.798*'BMP P Tracking Table'!$AU387))))),MIN(2,IF('BMP P Tracking Table'!$AQ387="Total Pervious",(-(3630*'BMP P Tracking Table'!$V387+20.691*'BMP P Tracking Table'!$AB387)+SQRT((3630*'BMP P Tracking Table'!$V387+20.691*'BMP P Tracking Table'!$AB387)^2-(4*(996.798*'BMP P Tracking Table'!$AB387)*-'BMP P Tracking Table'!$AX387)))/(2*(996.798*'BMP P Tracking Table'!$AB387)),IF(SUM('BMP P Tracking Table'!$X387:$AA387)=0,'BMP P Tracking Table'!$AX387/(-3630*'BMP P Tracking Table'!$V387),(-(3630*'BMP P Tracking Table'!$V387+20.691*'BMP P Tracking Table'!$AA387-216.711*'BMP P Tracking Table'!$Z387-83.853*'BMP P Tracking Table'!$Y387-42.834*'BMP P Tracking Table'!$X387)+SQRT((3630*'BMP P Tracking Table'!$V387+20.691*'BMP P Tracking Table'!$AA387-216.711*'BMP P Tracking Table'!$Z387-83.853*'BMP P Tracking Table'!$Y387-42.834*'BMP P Tracking Table'!$X387)^2-(4*(149.919*'BMP P Tracking Table'!$X387+236.676*'BMP P Tracking Table'!$Y387+726*'BMP P Tracking Table'!$Z387+996.798*'BMP P Tracking Table'!$AA387)*-'BMP P Tracking Table'!$AX387)))/(2*(149.919*'BMP P Tracking Table'!$X387+236.676*'BMP P Tracking Table'!$Y387+726*'BMP P Tracking Table'!$Z387+996.798*'BMP P Tracking Table'!$AA387)))))),"")</f>
        <v/>
      </c>
      <c r="BB387" s="102" t="str">
        <f>IFERROR((VLOOKUP(CONCATENATE('BMP P Tracking Table'!$AW387," ",'BMP P Tracking Table'!$AY387),'Performance Curves'!$C$1:$L$46,_xlfn.SINGLE(MATCH('BMP P Tracking Table'!$BA387,'Performance Curves'!$D$1:$L$1,1))+2,FALSE)-VLOOKUP(CONCATENATE('BMP P Tracking Table'!$AW387," ",'BMP P Tracking Table'!$AY387),'Performance Curves'!$C$1:$L$46,_xlfn.SINGLE(MATCH('BMP P Tracking Table'!$BA387,'Performance Curves'!$D$1:$L$1,1))+1,FALSE)),"")</f>
        <v/>
      </c>
      <c r="BC387" s="102" t="str">
        <f>IFERROR(('BMP P Tracking Table'!$BA387-INDEX('Performance Curves'!$D$1:$L$1,1,MATCH('BMP P Tracking Table'!$BA387,'Performance Curves'!$D$1:$L$1,1)))/(INDEX('Performance Curves'!$D$1:$L$1,1,MATCH('BMP P Tracking Table'!$BA387,'Performance Curves'!$D$1:$L$1,1)+1)-INDEX('Performance Curves'!$D$1:$L$1,1,MATCH('BMP P Tracking Table'!$BA387,'Performance Curves'!$D$1:$L$1,1))),"")</f>
        <v/>
      </c>
      <c r="BD387" s="103" t="str" cm="1">
        <f t="array" ref="BD387">IFERROR(IF('BMP P Tracking Table'!$BA387=2,VLOOKUP(CONCATENATE('BMP P Tracking Table'!$AW387," ",'BMP P Tracking Table'!$AY387),'Performance Curves'!$C$1:$L$44,_xlfn.SINGLE(MATCH('BMP P Tracking Table'!$BA387,'Performance Curves'!$D$1:$L$1,1))+1,FALSE),'BMP P Tracking Table'!$BB387*'BMP P Tracking Table'!$BC387+VLOOKUP(CONCATENATE('BMP P Tracking Table'!$AW387," ",'BMP P Tracking Table'!$AY387),'Performance Curves'!$C$1:$L$44,_xlfn.SINGLE(MATCH('BMP P Tracking Table'!$BA387,'Performance Curves'!$D$1:$L$1,1))+1,FALSE)),"")</f>
        <v/>
      </c>
      <c r="BE387" s="104" t="str">
        <f>IFERROR('BMP P Tracking Table'!$BD387*'BMP P Tracking Table'!$AZ387,"")</f>
        <v/>
      </c>
      <c r="BF387" s="98"/>
      <c r="BG387" s="37">
        <f t="shared" si="40"/>
        <v>0</v>
      </c>
    </row>
    <row r="388" spans="2:59" s="36" customFormat="1">
      <c r="B388" s="65"/>
      <c r="C388" s="65"/>
      <c r="D388" s="65"/>
      <c r="E388" s="65"/>
      <c r="F388" s="94"/>
      <c r="G388" s="94"/>
      <c r="H388" s="65"/>
      <c r="I388" s="65"/>
      <c r="J388" s="65"/>
      <c r="K388" s="95"/>
      <c r="L388" s="65"/>
      <c r="M388" s="65"/>
      <c r="N388" s="65"/>
      <c r="O388" s="65"/>
      <c r="P388" s="65"/>
      <c r="Q388" s="65"/>
      <c r="R388" s="65" t="str">
        <f>IFERROR(VLOOKUP('BMP P Tracking Table'!$Q388,Dropdowns!$C$2:$E$15,3,FALSE),"")</f>
        <v/>
      </c>
      <c r="S388" s="65" t="str">
        <f>IFERROR(VLOOKUP('BMP P Tracking Table'!$R388,Dropdowns!$Q$3:$R$23,2,FALSE),"")</f>
        <v/>
      </c>
      <c r="T388" s="65"/>
      <c r="U388" s="65"/>
      <c r="V388" s="65"/>
      <c r="W388" s="65"/>
      <c r="X388" s="65"/>
      <c r="Y388" s="65"/>
      <c r="Z388" s="65"/>
      <c r="AA388" s="65"/>
      <c r="AB388" s="65"/>
      <c r="AC388" s="97"/>
      <c r="AD388" s="65"/>
      <c r="AE388" s="104" t="str">
        <f>IFERROR('BMP P Tracking Table'!$V388*VLOOKUP('BMP P Tracking Table'!$R388,'Loading Rates'!$B$1:$L$24,4,FALSE)+IF('BMP P Tracking Table'!$W388="By HSG",'BMP P Tracking Table'!$X388*VLOOKUP('BMP P Tracking Table'!$R388,'Loading Rates'!$B$1:$L$24,6,FALSE)+'BMP P Tracking Table'!$Y388*VLOOKUP('BMP P Tracking Table'!$R388,'Loading Rates'!$B$1:$L$24,7,FALSE)+'BMP P Tracking Table'!$Z388*VLOOKUP('BMP P Tracking Table'!$R388,'Loading Rates'!$B$1:$L$24,8,FALSE)+'BMP P Tracking Table'!$AA388*VLOOKUP('BMP P Tracking Table'!$R388,'Loading Rates'!$B$1:$L$24,9,FALSE),'BMP P Tracking Table'!$AB388*VLOOKUP('BMP P Tracking Table'!$R388,'Loading Rates'!$B$1:$L$24,10,FALSE)),"")</f>
        <v/>
      </c>
      <c r="AF388" s="104" t="str">
        <f>IFERROR(MIN(2,IF('BMP P Tracking Table'!$W388="Total Pervious",(-(3630*'BMP P Tracking Table'!$V388+20.691*'BMP P Tracking Table'!$AB388)+SQRT((3630*'BMP P Tracking Table'!$V388+20.691*'BMP P Tracking Table'!$AB388)^2-(4*(996.798*'BMP P Tracking Table'!$AB388)*-'BMP P Tracking Table'!$AC388)))/(2*(996.798*'BMP P Tracking Table'!$AB388)),IF(SUM('BMP P Tracking Table'!$X388:$AA388)=0,'BMP P Tracking Table'!$AC388/(-3630*'BMP P Tracking Table'!$V388),(-(3630*'BMP P Tracking Table'!$V388+20.691*'BMP P Tracking Table'!$AA388-216.711*'BMP P Tracking Table'!$Z388-83.853*'BMP P Tracking Table'!$Y388-42.834*'BMP P Tracking Table'!$X388)+SQRT((3630*'BMP P Tracking Table'!$V388+20.691*'BMP P Tracking Table'!$AA388-216.711*'BMP P Tracking Table'!$Z388-83.853*'BMP P Tracking Table'!$Y388-42.834*'BMP P Tracking Table'!$X388)^2-(4*(149.919*'BMP P Tracking Table'!$X388+236.676*'BMP P Tracking Table'!$Y388+726*'BMP P Tracking Table'!$Z388+996.798*'BMP P Tracking Table'!$AA388)*-'BMP P Tracking Table'!$AC388)))/(2*(149.919*'BMP P Tracking Table'!$X388+236.676*'BMP P Tracking Table'!$Y388+726*'BMP P Tracking Table'!$Z388+996.798*'BMP P Tracking Table'!$AA388))))),"")</f>
        <v/>
      </c>
      <c r="AG388" s="104" t="str">
        <f>IFERROR((VLOOKUP(CONCATENATE('BMP P Tracking Table'!$U388," ",'BMP P Tracking Table'!$AD388),'Performance Curves'!$C$1:$L$46,_xlfn.SINGLE(MATCH('BMP P Tracking Table'!$AF388,'Performance Curves'!$D$1:$L$1,1))+2,FALSE)-VLOOKUP(CONCATENATE('BMP P Tracking Table'!$U388," ",'BMP P Tracking Table'!$AD388),'Performance Curves'!$C$1:$L$46,_xlfn.SINGLE(MATCH('BMP P Tracking Table'!$AF388,'Performance Curves'!$D$1:$L$1,1))+1,FALSE)),"")</f>
        <v/>
      </c>
      <c r="AH388" s="104" t="str">
        <f>IFERROR(('BMP P Tracking Table'!$AF388-INDEX('Performance Curves'!$D$1:$L$1,1,MATCH('BMP P Tracking Table'!$AF388,'Performance Curves'!$D$1:$L$1,1)))/(INDEX('Performance Curves'!$D$1:$L$1,1,MATCH('BMP P Tracking Table'!$AF388,'Performance Curves'!$D$1:$L$1,1)+1)-INDEX('Performance Curves'!$D$1:$L$1,1,MATCH('BMP P Tracking Table'!$AF388,'Performance Curves'!$D$1:$L$1,1))),"")</f>
        <v/>
      </c>
      <c r="AI388" s="103" t="str">
        <f>IFERROR(IF('BMP P Tracking Table'!$AF388=2,VLOOKUP(CONCATENATE('BMP P Tracking Table'!$U388," ",'BMP P Tracking Table'!$AD388),'Performance Curves'!$C$1:$L$46,_xlfn.SINGLE(MATCH('BMP P Tracking Table'!$AF388,'Performance Curves'!$D$1:$L$1,1))+1,FALSE),'BMP P Tracking Table'!$AG388*'BMP P Tracking Table'!$AH388+VLOOKUP(CONCATENATE('BMP P Tracking Table'!$U388," ",'BMP P Tracking Table'!$AD388),'Performance Curves'!$C$1:$L$46,_xlfn.SINGLE(MATCH('BMP P Tracking Table'!$AF388,'Performance Curves'!$D$1:$L$1,1))+1,FALSE)),"")</f>
        <v/>
      </c>
      <c r="AJ388" s="104" t="str">
        <f>IFERROR('BMP P Tracking Table'!$AI388*'BMP P Tracking Table'!$AE388,"")</f>
        <v/>
      </c>
      <c r="AK388" s="65"/>
      <c r="AL388" s="98"/>
      <c r="AM388" s="98"/>
      <c r="AN388" s="64">
        <v>1</v>
      </c>
      <c r="AO388" s="102" t="str">
        <f t="shared" si="39"/>
        <v/>
      </c>
      <c r="AP388" s="98"/>
      <c r="AQ388" s="98"/>
      <c r="AR388" s="98"/>
      <c r="AS388" s="98"/>
      <c r="AT388" s="98"/>
      <c r="AU388" s="98"/>
      <c r="AV388" s="98"/>
      <c r="AW388" s="65"/>
      <c r="AX388" s="99"/>
      <c r="AY388" s="99"/>
      <c r="AZ388" s="104" t="str">
        <f>IF('BMP P Tracking Table'!$AL388="Yes",IF('BMP P Tracking Table'!$AM388="No",'BMP P Tracking Table'!$V388*VLOOKUP('BMP P Tracking Table'!$R388,'Loading Rates'!$B$1:$L$24,4,FALSE)+IF('BMP P Tracking Table'!$W388="By HSG",'BMP P Tracking Table'!$X388*VLOOKUP('BMP P Tracking Table'!$R388,'Loading Rates'!$B$1:$L$24,6,FALSE)+'BMP P Tracking Table'!$Y388*VLOOKUP('BMP P Tracking Table'!$R388,'Loading Rates'!$B$1:$L$24,7,FALSE)+'BMP P Tracking Table'!$Z388*VLOOKUP('BMP P Tracking Table'!$R388,'Loading Rates'!$B$1:$L$24,8,FALSE)+'BMP P Tracking Table'!$AA388*VLOOKUP('BMP P Tracking Table'!$R388,'Loading Rates'!$B$1:$L$24,9,FALSE),'BMP P Tracking Table'!$AB388*VLOOKUP('BMP P Tracking Table'!$R388,'Loading Rates'!$B$1:$L$24,10,FALSE)),'BMP P Tracking Table'!$AP388*VLOOKUP('BMP P Tracking Table'!$R388,'Loading Rates'!$B$1:$L$24,4,FALSE)+IF('BMP P Tracking Table'!$AQ388="By HSG",'BMP P Tracking Table'!$AR388*VLOOKUP('BMP P Tracking Table'!$R388,'Loading Rates'!$B$1:$L$24,6,FALSE)+'BMP P Tracking Table'!$AS388*VLOOKUP('BMP P Tracking Table'!$R388,'Loading Rates'!$B$1:$L$24,7,FALSE)+'BMP P Tracking Table'!$AT388*VLOOKUP('BMP P Tracking Table'!$R388,'Loading Rates'!$B$1:$L$24,8,FALSE)+'BMP P Tracking Table'!$AU388*VLOOKUP('BMP P Tracking Table'!$R388,'Loading Rates'!$B$1:$L$24,9,FALSE),'BMP P Tracking Table'!$AV388*VLOOKUP('BMP P Tracking Table'!$R388,'Loading Rates'!$B$1:$L$24,10,FALSE))),"")</f>
        <v/>
      </c>
      <c r="BA388" s="104" t="str">
        <f>IFERROR(IF('BMP P Tracking Table'!$AM388="Yes",MIN(2,IF('BMP P Tracking Table'!$AQ388="Total Pervious",(-(3630*'BMP P Tracking Table'!$AP388+20.691*'BMP P Tracking Table'!$AV388)+SQRT((3630*'BMP P Tracking Table'!$AP388+20.691*'BMP P Tracking Table'!$AV388)^2-(4*(996.798*'BMP P Tracking Table'!$AV388)*-'BMP P Tracking Table'!$AX388)))/(2*(996.798*'BMP P Tracking Table'!$AV388)),IF(SUM('BMP P Tracking Table'!$AR388:$AU388)=0,'BMP P Tracking Table'!$AV388/(-3630*'BMP P Tracking Table'!$AP388),(-(3630*'BMP P Tracking Table'!$AP388+20.691*'BMP P Tracking Table'!$AU388-216.711*'BMP P Tracking Table'!$AT388-83.853*'BMP P Tracking Table'!$AS388-42.834*'BMP P Tracking Table'!$AR388)+SQRT((3630*'BMP P Tracking Table'!$AP388+20.691*'BMP P Tracking Table'!$AU388-216.711*'BMP P Tracking Table'!$AT388-83.853*'BMP P Tracking Table'!$AS388-42.834*'BMP P Tracking Table'!$AR388)^2-(4*(149.919*'BMP P Tracking Table'!$AR388+236.676*'BMP P Tracking Table'!$AS388+726*'BMP P Tracking Table'!$AT388+996.798*'BMP P Tracking Table'!$AU388)*-'BMP P Tracking Table'!$AX388)))/(2*(149.919*'BMP P Tracking Table'!$AR388+236.676*'BMP P Tracking Table'!$AS388+726*'BMP P Tracking Table'!$AT388+996.798*'BMP P Tracking Table'!$AU388))))),MIN(2,IF('BMP P Tracking Table'!$AQ388="Total Pervious",(-(3630*'BMP P Tracking Table'!$V388+20.691*'BMP P Tracking Table'!$AB388)+SQRT((3630*'BMP P Tracking Table'!$V388+20.691*'BMP P Tracking Table'!$AB388)^2-(4*(996.798*'BMP P Tracking Table'!$AB388)*-'BMP P Tracking Table'!$AX388)))/(2*(996.798*'BMP P Tracking Table'!$AB388)),IF(SUM('BMP P Tracking Table'!$X388:$AA388)=0,'BMP P Tracking Table'!$AX388/(-3630*'BMP P Tracking Table'!$V388),(-(3630*'BMP P Tracking Table'!$V388+20.691*'BMP P Tracking Table'!$AA388-216.711*'BMP P Tracking Table'!$Z388-83.853*'BMP P Tracking Table'!$Y388-42.834*'BMP P Tracking Table'!$X388)+SQRT((3630*'BMP P Tracking Table'!$V388+20.691*'BMP P Tracking Table'!$AA388-216.711*'BMP P Tracking Table'!$Z388-83.853*'BMP P Tracking Table'!$Y388-42.834*'BMP P Tracking Table'!$X388)^2-(4*(149.919*'BMP P Tracking Table'!$X388+236.676*'BMP P Tracking Table'!$Y388+726*'BMP P Tracking Table'!$Z388+996.798*'BMP P Tracking Table'!$AA388)*-'BMP P Tracking Table'!$AX388)))/(2*(149.919*'BMP P Tracking Table'!$X388+236.676*'BMP P Tracking Table'!$Y388+726*'BMP P Tracking Table'!$Z388+996.798*'BMP P Tracking Table'!$AA388)))))),"")</f>
        <v/>
      </c>
      <c r="BB388" s="102" t="str">
        <f>IFERROR((VLOOKUP(CONCATENATE('BMP P Tracking Table'!$AW388," ",'BMP P Tracking Table'!$AY388),'Performance Curves'!$C$1:$L$46,_xlfn.SINGLE(MATCH('BMP P Tracking Table'!$BA388,'Performance Curves'!$D$1:$L$1,1))+2,FALSE)-VLOOKUP(CONCATENATE('BMP P Tracking Table'!$AW388," ",'BMP P Tracking Table'!$AY388),'Performance Curves'!$C$1:$L$46,_xlfn.SINGLE(MATCH('BMP P Tracking Table'!$BA388,'Performance Curves'!$D$1:$L$1,1))+1,FALSE)),"")</f>
        <v/>
      </c>
      <c r="BC388" s="102" t="str">
        <f>IFERROR(('BMP P Tracking Table'!$BA388-INDEX('Performance Curves'!$D$1:$L$1,1,MATCH('BMP P Tracking Table'!$BA388,'Performance Curves'!$D$1:$L$1,1)))/(INDEX('Performance Curves'!$D$1:$L$1,1,MATCH('BMP P Tracking Table'!$BA388,'Performance Curves'!$D$1:$L$1,1)+1)-INDEX('Performance Curves'!$D$1:$L$1,1,MATCH('BMP P Tracking Table'!$BA388,'Performance Curves'!$D$1:$L$1,1))),"")</f>
        <v/>
      </c>
      <c r="BD388" s="103" t="str" cm="1">
        <f t="array" ref="BD388">IFERROR(IF('BMP P Tracking Table'!$BA388=2,VLOOKUP(CONCATENATE('BMP P Tracking Table'!$AW388," ",'BMP P Tracking Table'!$AY388),'Performance Curves'!$C$1:$L$44,_xlfn.SINGLE(MATCH('BMP P Tracking Table'!$BA388,'Performance Curves'!$D$1:$L$1,1))+1,FALSE),'BMP P Tracking Table'!$BB388*'BMP P Tracking Table'!$BC388+VLOOKUP(CONCATENATE('BMP P Tracking Table'!$AW388," ",'BMP P Tracking Table'!$AY388),'Performance Curves'!$C$1:$L$44,_xlfn.SINGLE(MATCH('BMP P Tracking Table'!$BA388,'Performance Curves'!$D$1:$L$1,1))+1,FALSE)),"")</f>
        <v/>
      </c>
      <c r="BE388" s="104" t="str">
        <f>IFERROR('BMP P Tracking Table'!$BD388*'BMP P Tracking Table'!$AZ388,"")</f>
        <v/>
      </c>
      <c r="BF388" s="98"/>
      <c r="BG388" s="37">
        <f t="shared" si="40"/>
        <v>0</v>
      </c>
    </row>
    <row r="389" spans="2:59" s="36" customFormat="1">
      <c r="B389" s="65"/>
      <c r="C389" s="65"/>
      <c r="D389" s="65"/>
      <c r="E389" s="65"/>
      <c r="F389" s="94"/>
      <c r="G389" s="94"/>
      <c r="H389" s="65"/>
      <c r="I389" s="65"/>
      <c r="J389" s="65"/>
      <c r="K389" s="95"/>
      <c r="L389" s="65"/>
      <c r="M389" s="65"/>
      <c r="N389" s="65"/>
      <c r="O389" s="65"/>
      <c r="P389" s="65"/>
      <c r="Q389" s="65"/>
      <c r="R389" s="65" t="str">
        <f>IFERROR(VLOOKUP('BMP P Tracking Table'!$Q389,Dropdowns!$C$2:$E$15,3,FALSE),"")</f>
        <v/>
      </c>
      <c r="S389" s="65" t="str">
        <f>IFERROR(VLOOKUP('BMP P Tracking Table'!$R389,Dropdowns!$Q$3:$R$23,2,FALSE),"")</f>
        <v/>
      </c>
      <c r="T389" s="65"/>
      <c r="U389" s="65"/>
      <c r="V389" s="65"/>
      <c r="W389" s="65"/>
      <c r="X389" s="65"/>
      <c r="Y389" s="65"/>
      <c r="Z389" s="65"/>
      <c r="AA389" s="65"/>
      <c r="AB389" s="65"/>
      <c r="AC389" s="97"/>
      <c r="AD389" s="65"/>
      <c r="AE389" s="104" t="str">
        <f>IFERROR('BMP P Tracking Table'!$V389*VLOOKUP('BMP P Tracking Table'!$R389,'Loading Rates'!$B$1:$L$24,4,FALSE)+IF('BMP P Tracking Table'!$W389="By HSG",'BMP P Tracking Table'!$X389*VLOOKUP('BMP P Tracking Table'!$R389,'Loading Rates'!$B$1:$L$24,6,FALSE)+'BMP P Tracking Table'!$Y389*VLOOKUP('BMP P Tracking Table'!$R389,'Loading Rates'!$B$1:$L$24,7,FALSE)+'BMP P Tracking Table'!$Z389*VLOOKUP('BMP P Tracking Table'!$R389,'Loading Rates'!$B$1:$L$24,8,FALSE)+'BMP P Tracking Table'!$AA389*VLOOKUP('BMP P Tracking Table'!$R389,'Loading Rates'!$B$1:$L$24,9,FALSE),'BMP P Tracking Table'!$AB389*VLOOKUP('BMP P Tracking Table'!$R389,'Loading Rates'!$B$1:$L$24,10,FALSE)),"")</f>
        <v/>
      </c>
      <c r="AF389" s="104" t="str">
        <f>IFERROR(MIN(2,IF('BMP P Tracking Table'!$W389="Total Pervious",(-(3630*'BMP P Tracking Table'!$V389+20.691*'BMP P Tracking Table'!$AB389)+SQRT((3630*'BMP P Tracking Table'!$V389+20.691*'BMP P Tracking Table'!$AB389)^2-(4*(996.798*'BMP P Tracking Table'!$AB389)*-'BMP P Tracking Table'!$AC389)))/(2*(996.798*'BMP P Tracking Table'!$AB389)),IF(SUM('BMP P Tracking Table'!$X389:$AA389)=0,'BMP P Tracking Table'!$AC389/(-3630*'BMP P Tracking Table'!$V389),(-(3630*'BMP P Tracking Table'!$V389+20.691*'BMP P Tracking Table'!$AA389-216.711*'BMP P Tracking Table'!$Z389-83.853*'BMP P Tracking Table'!$Y389-42.834*'BMP P Tracking Table'!$X389)+SQRT((3630*'BMP P Tracking Table'!$V389+20.691*'BMP P Tracking Table'!$AA389-216.711*'BMP P Tracking Table'!$Z389-83.853*'BMP P Tracking Table'!$Y389-42.834*'BMP P Tracking Table'!$X389)^2-(4*(149.919*'BMP P Tracking Table'!$X389+236.676*'BMP P Tracking Table'!$Y389+726*'BMP P Tracking Table'!$Z389+996.798*'BMP P Tracking Table'!$AA389)*-'BMP P Tracking Table'!$AC389)))/(2*(149.919*'BMP P Tracking Table'!$X389+236.676*'BMP P Tracking Table'!$Y389+726*'BMP P Tracking Table'!$Z389+996.798*'BMP P Tracking Table'!$AA389))))),"")</f>
        <v/>
      </c>
      <c r="AG389" s="104" t="str">
        <f>IFERROR((VLOOKUP(CONCATENATE('BMP P Tracking Table'!$U389," ",'BMP P Tracking Table'!$AD389),'Performance Curves'!$C$1:$L$46,_xlfn.SINGLE(MATCH('BMP P Tracking Table'!$AF389,'Performance Curves'!$D$1:$L$1,1))+2,FALSE)-VLOOKUP(CONCATENATE('BMP P Tracking Table'!$U389," ",'BMP P Tracking Table'!$AD389),'Performance Curves'!$C$1:$L$46,_xlfn.SINGLE(MATCH('BMP P Tracking Table'!$AF389,'Performance Curves'!$D$1:$L$1,1))+1,FALSE)),"")</f>
        <v/>
      </c>
      <c r="AH389" s="104" t="str">
        <f>IFERROR(('BMP P Tracking Table'!$AF389-INDEX('Performance Curves'!$D$1:$L$1,1,MATCH('BMP P Tracking Table'!$AF389,'Performance Curves'!$D$1:$L$1,1)))/(INDEX('Performance Curves'!$D$1:$L$1,1,MATCH('BMP P Tracking Table'!$AF389,'Performance Curves'!$D$1:$L$1,1)+1)-INDEX('Performance Curves'!$D$1:$L$1,1,MATCH('BMP P Tracking Table'!$AF389,'Performance Curves'!$D$1:$L$1,1))),"")</f>
        <v/>
      </c>
      <c r="AI389" s="103" t="str">
        <f>IFERROR(IF('BMP P Tracking Table'!$AF389=2,VLOOKUP(CONCATENATE('BMP P Tracking Table'!$U389," ",'BMP P Tracking Table'!$AD389),'Performance Curves'!$C$1:$L$46,_xlfn.SINGLE(MATCH('BMP P Tracking Table'!$AF389,'Performance Curves'!$D$1:$L$1,1))+1,FALSE),'BMP P Tracking Table'!$AG389*'BMP P Tracking Table'!$AH389+VLOOKUP(CONCATENATE('BMP P Tracking Table'!$U389," ",'BMP P Tracking Table'!$AD389),'Performance Curves'!$C$1:$L$46,_xlfn.SINGLE(MATCH('BMP P Tracking Table'!$AF389,'Performance Curves'!$D$1:$L$1,1))+1,FALSE)),"")</f>
        <v/>
      </c>
      <c r="AJ389" s="104" t="str">
        <f>IFERROR('BMP P Tracking Table'!$AI389*'BMP P Tracking Table'!$AE389,"")</f>
        <v/>
      </c>
      <c r="AK389" s="65"/>
      <c r="AL389" s="98"/>
      <c r="AM389" s="98"/>
      <c r="AN389" s="64">
        <v>1</v>
      </c>
      <c r="AO389" s="102" t="str">
        <f t="shared" si="39"/>
        <v/>
      </c>
      <c r="AP389" s="98"/>
      <c r="AQ389" s="98"/>
      <c r="AR389" s="98"/>
      <c r="AS389" s="98"/>
      <c r="AT389" s="98"/>
      <c r="AU389" s="98"/>
      <c r="AV389" s="98"/>
      <c r="AW389" s="65"/>
      <c r="AX389" s="99"/>
      <c r="AY389" s="99"/>
      <c r="AZ389" s="104" t="str">
        <f>IF('BMP P Tracking Table'!$AL389="Yes",IF('BMP P Tracking Table'!$AM389="No",'BMP P Tracking Table'!$V389*VLOOKUP('BMP P Tracking Table'!$R389,'Loading Rates'!$B$1:$L$24,4,FALSE)+IF('BMP P Tracking Table'!$W389="By HSG",'BMP P Tracking Table'!$X389*VLOOKUP('BMP P Tracking Table'!$R389,'Loading Rates'!$B$1:$L$24,6,FALSE)+'BMP P Tracking Table'!$Y389*VLOOKUP('BMP P Tracking Table'!$R389,'Loading Rates'!$B$1:$L$24,7,FALSE)+'BMP P Tracking Table'!$Z389*VLOOKUP('BMP P Tracking Table'!$R389,'Loading Rates'!$B$1:$L$24,8,FALSE)+'BMP P Tracking Table'!$AA389*VLOOKUP('BMP P Tracking Table'!$R389,'Loading Rates'!$B$1:$L$24,9,FALSE),'BMP P Tracking Table'!$AB389*VLOOKUP('BMP P Tracking Table'!$R389,'Loading Rates'!$B$1:$L$24,10,FALSE)),'BMP P Tracking Table'!$AP389*VLOOKUP('BMP P Tracking Table'!$R389,'Loading Rates'!$B$1:$L$24,4,FALSE)+IF('BMP P Tracking Table'!$AQ389="By HSG",'BMP P Tracking Table'!$AR389*VLOOKUP('BMP P Tracking Table'!$R389,'Loading Rates'!$B$1:$L$24,6,FALSE)+'BMP P Tracking Table'!$AS389*VLOOKUP('BMP P Tracking Table'!$R389,'Loading Rates'!$B$1:$L$24,7,FALSE)+'BMP P Tracking Table'!$AT389*VLOOKUP('BMP P Tracking Table'!$R389,'Loading Rates'!$B$1:$L$24,8,FALSE)+'BMP P Tracking Table'!$AU389*VLOOKUP('BMP P Tracking Table'!$R389,'Loading Rates'!$B$1:$L$24,9,FALSE),'BMP P Tracking Table'!$AV389*VLOOKUP('BMP P Tracking Table'!$R389,'Loading Rates'!$B$1:$L$24,10,FALSE))),"")</f>
        <v/>
      </c>
      <c r="BA389" s="104" t="str">
        <f>IFERROR(IF('BMP P Tracking Table'!$AM389="Yes",MIN(2,IF('BMP P Tracking Table'!$AQ389="Total Pervious",(-(3630*'BMP P Tracking Table'!$AP389+20.691*'BMP P Tracking Table'!$AV389)+SQRT((3630*'BMP P Tracking Table'!$AP389+20.691*'BMP P Tracking Table'!$AV389)^2-(4*(996.798*'BMP P Tracking Table'!$AV389)*-'BMP P Tracking Table'!$AX389)))/(2*(996.798*'BMP P Tracking Table'!$AV389)),IF(SUM('BMP P Tracking Table'!$AR389:$AU389)=0,'BMP P Tracking Table'!$AV389/(-3630*'BMP P Tracking Table'!$AP389),(-(3630*'BMP P Tracking Table'!$AP389+20.691*'BMP P Tracking Table'!$AU389-216.711*'BMP P Tracking Table'!$AT389-83.853*'BMP P Tracking Table'!$AS389-42.834*'BMP P Tracking Table'!$AR389)+SQRT((3630*'BMP P Tracking Table'!$AP389+20.691*'BMP P Tracking Table'!$AU389-216.711*'BMP P Tracking Table'!$AT389-83.853*'BMP P Tracking Table'!$AS389-42.834*'BMP P Tracking Table'!$AR389)^2-(4*(149.919*'BMP P Tracking Table'!$AR389+236.676*'BMP P Tracking Table'!$AS389+726*'BMP P Tracking Table'!$AT389+996.798*'BMP P Tracking Table'!$AU389)*-'BMP P Tracking Table'!$AX389)))/(2*(149.919*'BMP P Tracking Table'!$AR389+236.676*'BMP P Tracking Table'!$AS389+726*'BMP P Tracking Table'!$AT389+996.798*'BMP P Tracking Table'!$AU389))))),MIN(2,IF('BMP P Tracking Table'!$AQ389="Total Pervious",(-(3630*'BMP P Tracking Table'!$V389+20.691*'BMP P Tracking Table'!$AB389)+SQRT((3630*'BMP P Tracking Table'!$V389+20.691*'BMP P Tracking Table'!$AB389)^2-(4*(996.798*'BMP P Tracking Table'!$AB389)*-'BMP P Tracking Table'!$AX389)))/(2*(996.798*'BMP P Tracking Table'!$AB389)),IF(SUM('BMP P Tracking Table'!$X389:$AA389)=0,'BMP P Tracking Table'!$AX389/(-3630*'BMP P Tracking Table'!$V389),(-(3630*'BMP P Tracking Table'!$V389+20.691*'BMP P Tracking Table'!$AA389-216.711*'BMP P Tracking Table'!$Z389-83.853*'BMP P Tracking Table'!$Y389-42.834*'BMP P Tracking Table'!$X389)+SQRT((3630*'BMP P Tracking Table'!$V389+20.691*'BMP P Tracking Table'!$AA389-216.711*'BMP P Tracking Table'!$Z389-83.853*'BMP P Tracking Table'!$Y389-42.834*'BMP P Tracking Table'!$X389)^2-(4*(149.919*'BMP P Tracking Table'!$X389+236.676*'BMP P Tracking Table'!$Y389+726*'BMP P Tracking Table'!$Z389+996.798*'BMP P Tracking Table'!$AA389)*-'BMP P Tracking Table'!$AX389)))/(2*(149.919*'BMP P Tracking Table'!$X389+236.676*'BMP P Tracking Table'!$Y389+726*'BMP P Tracking Table'!$Z389+996.798*'BMP P Tracking Table'!$AA389)))))),"")</f>
        <v/>
      </c>
      <c r="BB389" s="102" t="str">
        <f>IFERROR((VLOOKUP(CONCATENATE('BMP P Tracking Table'!$AW389," ",'BMP P Tracking Table'!$AY389),'Performance Curves'!$C$1:$L$46,_xlfn.SINGLE(MATCH('BMP P Tracking Table'!$BA389,'Performance Curves'!$D$1:$L$1,1))+2,FALSE)-VLOOKUP(CONCATENATE('BMP P Tracking Table'!$AW389," ",'BMP P Tracking Table'!$AY389),'Performance Curves'!$C$1:$L$46,_xlfn.SINGLE(MATCH('BMP P Tracking Table'!$BA389,'Performance Curves'!$D$1:$L$1,1))+1,FALSE)),"")</f>
        <v/>
      </c>
      <c r="BC389" s="102" t="str">
        <f>IFERROR(('BMP P Tracking Table'!$BA389-INDEX('Performance Curves'!$D$1:$L$1,1,MATCH('BMP P Tracking Table'!$BA389,'Performance Curves'!$D$1:$L$1,1)))/(INDEX('Performance Curves'!$D$1:$L$1,1,MATCH('BMP P Tracking Table'!$BA389,'Performance Curves'!$D$1:$L$1,1)+1)-INDEX('Performance Curves'!$D$1:$L$1,1,MATCH('BMP P Tracking Table'!$BA389,'Performance Curves'!$D$1:$L$1,1))),"")</f>
        <v/>
      </c>
      <c r="BD389" s="103" t="str" cm="1">
        <f t="array" ref="BD389">IFERROR(IF('BMP P Tracking Table'!$BA389=2,VLOOKUP(CONCATENATE('BMP P Tracking Table'!$AW389," ",'BMP P Tracking Table'!$AY389),'Performance Curves'!$C$1:$L$44,_xlfn.SINGLE(MATCH('BMP P Tracking Table'!$BA389,'Performance Curves'!$D$1:$L$1,1))+1,FALSE),'BMP P Tracking Table'!$BB389*'BMP P Tracking Table'!$BC389+VLOOKUP(CONCATENATE('BMP P Tracking Table'!$AW389," ",'BMP P Tracking Table'!$AY389),'Performance Curves'!$C$1:$L$44,_xlfn.SINGLE(MATCH('BMP P Tracking Table'!$BA389,'Performance Curves'!$D$1:$L$1,1))+1,FALSE)),"")</f>
        <v/>
      </c>
      <c r="BE389" s="104" t="str">
        <f>IFERROR('BMP P Tracking Table'!$BD389*'BMP P Tracking Table'!$AZ389,"")</f>
        <v/>
      </c>
      <c r="BF389" s="98"/>
      <c r="BG389" s="37">
        <f t="shared" si="40"/>
        <v>0</v>
      </c>
    </row>
    <row r="390" spans="2:59" s="36" customFormat="1">
      <c r="B390" s="65"/>
      <c r="C390" s="65"/>
      <c r="D390" s="65"/>
      <c r="E390" s="65"/>
      <c r="F390" s="94"/>
      <c r="G390" s="94"/>
      <c r="H390" s="65"/>
      <c r="I390" s="65"/>
      <c r="J390" s="65"/>
      <c r="K390" s="95"/>
      <c r="L390" s="65"/>
      <c r="M390" s="65"/>
      <c r="N390" s="65"/>
      <c r="O390" s="65"/>
      <c r="P390" s="65"/>
      <c r="Q390" s="65"/>
      <c r="R390" s="65" t="str">
        <f>IFERROR(VLOOKUP('BMP P Tracking Table'!$Q390,Dropdowns!$C$2:$E$15,3,FALSE),"")</f>
        <v/>
      </c>
      <c r="S390" s="65" t="str">
        <f>IFERROR(VLOOKUP('BMP P Tracking Table'!$R390,Dropdowns!$Q$3:$R$23,2,FALSE),"")</f>
        <v/>
      </c>
      <c r="T390" s="65"/>
      <c r="U390" s="65"/>
      <c r="V390" s="65"/>
      <c r="W390" s="65"/>
      <c r="X390" s="65"/>
      <c r="Y390" s="65"/>
      <c r="Z390" s="65"/>
      <c r="AA390" s="65"/>
      <c r="AB390" s="65"/>
      <c r="AC390" s="97"/>
      <c r="AD390" s="65"/>
      <c r="AE390" s="104" t="str">
        <f>IFERROR('BMP P Tracking Table'!$V390*VLOOKUP('BMP P Tracking Table'!$R390,'Loading Rates'!$B$1:$L$24,4,FALSE)+IF('BMP P Tracking Table'!$W390="By HSG",'BMP P Tracking Table'!$X390*VLOOKUP('BMP P Tracking Table'!$R390,'Loading Rates'!$B$1:$L$24,6,FALSE)+'BMP P Tracking Table'!$Y390*VLOOKUP('BMP P Tracking Table'!$R390,'Loading Rates'!$B$1:$L$24,7,FALSE)+'BMP P Tracking Table'!$Z390*VLOOKUP('BMP P Tracking Table'!$R390,'Loading Rates'!$B$1:$L$24,8,FALSE)+'BMP P Tracking Table'!$AA390*VLOOKUP('BMP P Tracking Table'!$R390,'Loading Rates'!$B$1:$L$24,9,FALSE),'BMP P Tracking Table'!$AB390*VLOOKUP('BMP P Tracking Table'!$R390,'Loading Rates'!$B$1:$L$24,10,FALSE)),"")</f>
        <v/>
      </c>
      <c r="AF390" s="104" t="str">
        <f>IFERROR(MIN(2,IF('BMP P Tracking Table'!$W390="Total Pervious",(-(3630*'BMP P Tracking Table'!$V390+20.691*'BMP P Tracking Table'!$AB390)+SQRT((3630*'BMP P Tracking Table'!$V390+20.691*'BMP P Tracking Table'!$AB390)^2-(4*(996.798*'BMP P Tracking Table'!$AB390)*-'BMP P Tracking Table'!$AC390)))/(2*(996.798*'BMP P Tracking Table'!$AB390)),IF(SUM('BMP P Tracking Table'!$X390:$AA390)=0,'BMP P Tracking Table'!$AC390/(-3630*'BMP P Tracking Table'!$V390),(-(3630*'BMP P Tracking Table'!$V390+20.691*'BMP P Tracking Table'!$AA390-216.711*'BMP P Tracking Table'!$Z390-83.853*'BMP P Tracking Table'!$Y390-42.834*'BMP P Tracking Table'!$X390)+SQRT((3630*'BMP P Tracking Table'!$V390+20.691*'BMP P Tracking Table'!$AA390-216.711*'BMP P Tracking Table'!$Z390-83.853*'BMP P Tracking Table'!$Y390-42.834*'BMP P Tracking Table'!$X390)^2-(4*(149.919*'BMP P Tracking Table'!$X390+236.676*'BMP P Tracking Table'!$Y390+726*'BMP P Tracking Table'!$Z390+996.798*'BMP P Tracking Table'!$AA390)*-'BMP P Tracking Table'!$AC390)))/(2*(149.919*'BMP P Tracking Table'!$X390+236.676*'BMP P Tracking Table'!$Y390+726*'BMP P Tracking Table'!$Z390+996.798*'BMP P Tracking Table'!$AA390))))),"")</f>
        <v/>
      </c>
      <c r="AG390" s="104" t="str">
        <f>IFERROR((VLOOKUP(CONCATENATE('BMP P Tracking Table'!$U390," ",'BMP P Tracking Table'!$AD390),'Performance Curves'!$C$1:$L$46,_xlfn.SINGLE(MATCH('BMP P Tracking Table'!$AF390,'Performance Curves'!$D$1:$L$1,1))+2,FALSE)-VLOOKUP(CONCATENATE('BMP P Tracking Table'!$U390," ",'BMP P Tracking Table'!$AD390),'Performance Curves'!$C$1:$L$46,_xlfn.SINGLE(MATCH('BMP P Tracking Table'!$AF390,'Performance Curves'!$D$1:$L$1,1))+1,FALSE)),"")</f>
        <v/>
      </c>
      <c r="AH390" s="104" t="str">
        <f>IFERROR(('BMP P Tracking Table'!$AF390-INDEX('Performance Curves'!$D$1:$L$1,1,MATCH('BMP P Tracking Table'!$AF390,'Performance Curves'!$D$1:$L$1,1)))/(INDEX('Performance Curves'!$D$1:$L$1,1,MATCH('BMP P Tracking Table'!$AF390,'Performance Curves'!$D$1:$L$1,1)+1)-INDEX('Performance Curves'!$D$1:$L$1,1,MATCH('BMP P Tracking Table'!$AF390,'Performance Curves'!$D$1:$L$1,1))),"")</f>
        <v/>
      </c>
      <c r="AI390" s="103" t="str">
        <f>IFERROR(IF('BMP P Tracking Table'!$AF390=2,VLOOKUP(CONCATENATE('BMP P Tracking Table'!$U390," ",'BMP P Tracking Table'!$AD390),'Performance Curves'!$C$1:$L$46,_xlfn.SINGLE(MATCH('BMP P Tracking Table'!$AF390,'Performance Curves'!$D$1:$L$1,1))+1,FALSE),'BMP P Tracking Table'!$AG390*'BMP P Tracking Table'!$AH390+VLOOKUP(CONCATENATE('BMP P Tracking Table'!$U390," ",'BMP P Tracking Table'!$AD390),'Performance Curves'!$C$1:$L$46,_xlfn.SINGLE(MATCH('BMP P Tracking Table'!$AF390,'Performance Curves'!$D$1:$L$1,1))+1,FALSE)),"")</f>
        <v/>
      </c>
      <c r="AJ390" s="104" t="str">
        <f>IFERROR('BMP P Tracking Table'!$AI390*'BMP P Tracking Table'!$AE390,"")</f>
        <v/>
      </c>
      <c r="AK390" s="65"/>
      <c r="AL390" s="98"/>
      <c r="AM390" s="98"/>
      <c r="AN390" s="64">
        <v>1</v>
      </c>
      <c r="AO390" s="102" t="str">
        <f t="shared" si="39"/>
        <v/>
      </c>
      <c r="AP390" s="98"/>
      <c r="AQ390" s="98"/>
      <c r="AR390" s="98"/>
      <c r="AS390" s="98"/>
      <c r="AT390" s="98"/>
      <c r="AU390" s="98"/>
      <c r="AV390" s="98"/>
      <c r="AW390" s="65"/>
      <c r="AX390" s="99"/>
      <c r="AY390" s="99"/>
      <c r="AZ390" s="104" t="str">
        <f>IF('BMP P Tracking Table'!$AL390="Yes",IF('BMP P Tracking Table'!$AM390="No",'BMP P Tracking Table'!$V390*VLOOKUP('BMP P Tracking Table'!$R390,'Loading Rates'!$B$1:$L$24,4,FALSE)+IF('BMP P Tracking Table'!$W390="By HSG",'BMP P Tracking Table'!$X390*VLOOKUP('BMP P Tracking Table'!$R390,'Loading Rates'!$B$1:$L$24,6,FALSE)+'BMP P Tracking Table'!$Y390*VLOOKUP('BMP P Tracking Table'!$R390,'Loading Rates'!$B$1:$L$24,7,FALSE)+'BMP P Tracking Table'!$Z390*VLOOKUP('BMP P Tracking Table'!$R390,'Loading Rates'!$B$1:$L$24,8,FALSE)+'BMP P Tracking Table'!$AA390*VLOOKUP('BMP P Tracking Table'!$R390,'Loading Rates'!$B$1:$L$24,9,FALSE),'BMP P Tracking Table'!$AB390*VLOOKUP('BMP P Tracking Table'!$R390,'Loading Rates'!$B$1:$L$24,10,FALSE)),'BMP P Tracking Table'!$AP390*VLOOKUP('BMP P Tracking Table'!$R390,'Loading Rates'!$B$1:$L$24,4,FALSE)+IF('BMP P Tracking Table'!$AQ390="By HSG",'BMP P Tracking Table'!$AR390*VLOOKUP('BMP P Tracking Table'!$R390,'Loading Rates'!$B$1:$L$24,6,FALSE)+'BMP P Tracking Table'!$AS390*VLOOKUP('BMP P Tracking Table'!$R390,'Loading Rates'!$B$1:$L$24,7,FALSE)+'BMP P Tracking Table'!$AT390*VLOOKUP('BMP P Tracking Table'!$R390,'Loading Rates'!$B$1:$L$24,8,FALSE)+'BMP P Tracking Table'!$AU390*VLOOKUP('BMP P Tracking Table'!$R390,'Loading Rates'!$B$1:$L$24,9,FALSE),'BMP P Tracking Table'!$AV390*VLOOKUP('BMP P Tracking Table'!$R390,'Loading Rates'!$B$1:$L$24,10,FALSE))),"")</f>
        <v/>
      </c>
      <c r="BA390" s="104" t="str">
        <f>IFERROR(IF('BMP P Tracking Table'!$AM390="Yes",MIN(2,IF('BMP P Tracking Table'!$AQ390="Total Pervious",(-(3630*'BMP P Tracking Table'!$AP390+20.691*'BMP P Tracking Table'!$AV390)+SQRT((3630*'BMP P Tracking Table'!$AP390+20.691*'BMP P Tracking Table'!$AV390)^2-(4*(996.798*'BMP P Tracking Table'!$AV390)*-'BMP P Tracking Table'!$AX390)))/(2*(996.798*'BMP P Tracking Table'!$AV390)),IF(SUM('BMP P Tracking Table'!$AR390:$AU390)=0,'BMP P Tracking Table'!$AV390/(-3630*'BMP P Tracking Table'!$AP390),(-(3630*'BMP P Tracking Table'!$AP390+20.691*'BMP P Tracking Table'!$AU390-216.711*'BMP P Tracking Table'!$AT390-83.853*'BMP P Tracking Table'!$AS390-42.834*'BMP P Tracking Table'!$AR390)+SQRT((3630*'BMP P Tracking Table'!$AP390+20.691*'BMP P Tracking Table'!$AU390-216.711*'BMP P Tracking Table'!$AT390-83.853*'BMP P Tracking Table'!$AS390-42.834*'BMP P Tracking Table'!$AR390)^2-(4*(149.919*'BMP P Tracking Table'!$AR390+236.676*'BMP P Tracking Table'!$AS390+726*'BMP P Tracking Table'!$AT390+996.798*'BMP P Tracking Table'!$AU390)*-'BMP P Tracking Table'!$AX390)))/(2*(149.919*'BMP P Tracking Table'!$AR390+236.676*'BMP P Tracking Table'!$AS390+726*'BMP P Tracking Table'!$AT390+996.798*'BMP P Tracking Table'!$AU390))))),MIN(2,IF('BMP P Tracking Table'!$AQ390="Total Pervious",(-(3630*'BMP P Tracking Table'!$V390+20.691*'BMP P Tracking Table'!$AB390)+SQRT((3630*'BMP P Tracking Table'!$V390+20.691*'BMP P Tracking Table'!$AB390)^2-(4*(996.798*'BMP P Tracking Table'!$AB390)*-'BMP P Tracking Table'!$AX390)))/(2*(996.798*'BMP P Tracking Table'!$AB390)),IF(SUM('BMP P Tracking Table'!$X390:$AA390)=0,'BMP P Tracking Table'!$AX390/(-3630*'BMP P Tracking Table'!$V390),(-(3630*'BMP P Tracking Table'!$V390+20.691*'BMP P Tracking Table'!$AA390-216.711*'BMP P Tracking Table'!$Z390-83.853*'BMP P Tracking Table'!$Y390-42.834*'BMP P Tracking Table'!$X390)+SQRT((3630*'BMP P Tracking Table'!$V390+20.691*'BMP P Tracking Table'!$AA390-216.711*'BMP P Tracking Table'!$Z390-83.853*'BMP P Tracking Table'!$Y390-42.834*'BMP P Tracking Table'!$X390)^2-(4*(149.919*'BMP P Tracking Table'!$X390+236.676*'BMP P Tracking Table'!$Y390+726*'BMP P Tracking Table'!$Z390+996.798*'BMP P Tracking Table'!$AA390)*-'BMP P Tracking Table'!$AX390)))/(2*(149.919*'BMP P Tracking Table'!$X390+236.676*'BMP P Tracking Table'!$Y390+726*'BMP P Tracking Table'!$Z390+996.798*'BMP P Tracking Table'!$AA390)))))),"")</f>
        <v/>
      </c>
      <c r="BB390" s="102" t="str">
        <f>IFERROR((VLOOKUP(CONCATENATE('BMP P Tracking Table'!$AW390," ",'BMP P Tracking Table'!$AY390),'Performance Curves'!$C$1:$L$46,_xlfn.SINGLE(MATCH('BMP P Tracking Table'!$BA390,'Performance Curves'!$D$1:$L$1,1))+2,FALSE)-VLOOKUP(CONCATENATE('BMP P Tracking Table'!$AW390," ",'BMP P Tracking Table'!$AY390),'Performance Curves'!$C$1:$L$46,_xlfn.SINGLE(MATCH('BMP P Tracking Table'!$BA390,'Performance Curves'!$D$1:$L$1,1))+1,FALSE)),"")</f>
        <v/>
      </c>
      <c r="BC390" s="102" t="str">
        <f>IFERROR(('BMP P Tracking Table'!$BA390-INDEX('Performance Curves'!$D$1:$L$1,1,MATCH('BMP P Tracking Table'!$BA390,'Performance Curves'!$D$1:$L$1,1)))/(INDEX('Performance Curves'!$D$1:$L$1,1,MATCH('BMP P Tracking Table'!$BA390,'Performance Curves'!$D$1:$L$1,1)+1)-INDEX('Performance Curves'!$D$1:$L$1,1,MATCH('BMP P Tracking Table'!$BA390,'Performance Curves'!$D$1:$L$1,1))),"")</f>
        <v/>
      </c>
      <c r="BD390" s="103" t="str" cm="1">
        <f t="array" ref="BD390">IFERROR(IF('BMP P Tracking Table'!$BA390=2,VLOOKUP(CONCATENATE('BMP P Tracking Table'!$AW390," ",'BMP P Tracking Table'!$AY390),'Performance Curves'!$C$1:$L$44,_xlfn.SINGLE(MATCH('BMP P Tracking Table'!$BA390,'Performance Curves'!$D$1:$L$1,1))+1,FALSE),'BMP P Tracking Table'!$BB390*'BMP P Tracking Table'!$BC390+VLOOKUP(CONCATENATE('BMP P Tracking Table'!$AW390," ",'BMP P Tracking Table'!$AY390),'Performance Curves'!$C$1:$L$44,_xlfn.SINGLE(MATCH('BMP P Tracking Table'!$BA390,'Performance Curves'!$D$1:$L$1,1))+1,FALSE)),"")</f>
        <v/>
      </c>
      <c r="BE390" s="104" t="str">
        <f>IFERROR('BMP P Tracking Table'!$BD390*'BMP P Tracking Table'!$AZ390,"")</f>
        <v/>
      </c>
      <c r="BF390" s="98"/>
      <c r="BG390" s="37">
        <f t="shared" si="40"/>
        <v>0</v>
      </c>
    </row>
    <row r="391" spans="2:59" s="36" customFormat="1">
      <c r="B391" s="65"/>
      <c r="C391" s="65"/>
      <c r="D391" s="65"/>
      <c r="E391" s="65"/>
      <c r="F391" s="94"/>
      <c r="G391" s="94"/>
      <c r="H391" s="65"/>
      <c r="I391" s="65"/>
      <c r="J391" s="65"/>
      <c r="K391" s="95"/>
      <c r="L391" s="65"/>
      <c r="M391" s="65"/>
      <c r="N391" s="65"/>
      <c r="O391" s="65"/>
      <c r="P391" s="65"/>
      <c r="Q391" s="65"/>
      <c r="R391" s="65" t="str">
        <f>IFERROR(VLOOKUP('BMP P Tracking Table'!$Q391,Dropdowns!$C$2:$E$15,3,FALSE),"")</f>
        <v/>
      </c>
      <c r="S391" s="65" t="str">
        <f>IFERROR(VLOOKUP('BMP P Tracking Table'!$R391,Dropdowns!$Q$3:$R$23,2,FALSE),"")</f>
        <v/>
      </c>
      <c r="T391" s="65"/>
      <c r="U391" s="65"/>
      <c r="V391" s="65"/>
      <c r="W391" s="65"/>
      <c r="X391" s="65"/>
      <c r="Y391" s="65"/>
      <c r="Z391" s="65"/>
      <c r="AA391" s="65"/>
      <c r="AB391" s="65"/>
      <c r="AC391" s="97"/>
      <c r="AD391" s="65"/>
      <c r="AE391" s="104" t="str">
        <f>IFERROR('BMP P Tracking Table'!$V391*VLOOKUP('BMP P Tracking Table'!$R391,'Loading Rates'!$B$1:$L$24,4,FALSE)+IF('BMP P Tracking Table'!$W391="By HSG",'BMP P Tracking Table'!$X391*VLOOKUP('BMP P Tracking Table'!$R391,'Loading Rates'!$B$1:$L$24,6,FALSE)+'BMP P Tracking Table'!$Y391*VLOOKUP('BMP P Tracking Table'!$R391,'Loading Rates'!$B$1:$L$24,7,FALSE)+'BMP P Tracking Table'!$Z391*VLOOKUP('BMP P Tracking Table'!$R391,'Loading Rates'!$B$1:$L$24,8,FALSE)+'BMP P Tracking Table'!$AA391*VLOOKUP('BMP P Tracking Table'!$R391,'Loading Rates'!$B$1:$L$24,9,FALSE),'BMP P Tracking Table'!$AB391*VLOOKUP('BMP P Tracking Table'!$R391,'Loading Rates'!$B$1:$L$24,10,FALSE)),"")</f>
        <v/>
      </c>
      <c r="AF391" s="104" t="str">
        <f>IFERROR(MIN(2,IF('BMP P Tracking Table'!$W391="Total Pervious",(-(3630*'BMP P Tracking Table'!$V391+20.691*'BMP P Tracking Table'!$AB391)+SQRT((3630*'BMP P Tracking Table'!$V391+20.691*'BMP P Tracking Table'!$AB391)^2-(4*(996.798*'BMP P Tracking Table'!$AB391)*-'BMP P Tracking Table'!$AC391)))/(2*(996.798*'BMP P Tracking Table'!$AB391)),IF(SUM('BMP P Tracking Table'!$X391:$AA391)=0,'BMP P Tracking Table'!$AC391/(-3630*'BMP P Tracking Table'!$V391),(-(3630*'BMP P Tracking Table'!$V391+20.691*'BMP P Tracking Table'!$AA391-216.711*'BMP P Tracking Table'!$Z391-83.853*'BMP P Tracking Table'!$Y391-42.834*'BMP P Tracking Table'!$X391)+SQRT((3630*'BMP P Tracking Table'!$V391+20.691*'BMP P Tracking Table'!$AA391-216.711*'BMP P Tracking Table'!$Z391-83.853*'BMP P Tracking Table'!$Y391-42.834*'BMP P Tracking Table'!$X391)^2-(4*(149.919*'BMP P Tracking Table'!$X391+236.676*'BMP P Tracking Table'!$Y391+726*'BMP P Tracking Table'!$Z391+996.798*'BMP P Tracking Table'!$AA391)*-'BMP P Tracking Table'!$AC391)))/(2*(149.919*'BMP P Tracking Table'!$X391+236.676*'BMP P Tracking Table'!$Y391+726*'BMP P Tracking Table'!$Z391+996.798*'BMP P Tracking Table'!$AA391))))),"")</f>
        <v/>
      </c>
      <c r="AG391" s="104" t="str">
        <f>IFERROR((VLOOKUP(CONCATENATE('BMP P Tracking Table'!$U391," ",'BMP P Tracking Table'!$AD391),'Performance Curves'!$C$1:$L$46,_xlfn.SINGLE(MATCH('BMP P Tracking Table'!$AF391,'Performance Curves'!$D$1:$L$1,1))+2,FALSE)-VLOOKUP(CONCATENATE('BMP P Tracking Table'!$U391," ",'BMP P Tracking Table'!$AD391),'Performance Curves'!$C$1:$L$46,_xlfn.SINGLE(MATCH('BMP P Tracking Table'!$AF391,'Performance Curves'!$D$1:$L$1,1))+1,FALSE)),"")</f>
        <v/>
      </c>
      <c r="AH391" s="104" t="str">
        <f>IFERROR(('BMP P Tracking Table'!$AF391-INDEX('Performance Curves'!$D$1:$L$1,1,MATCH('BMP P Tracking Table'!$AF391,'Performance Curves'!$D$1:$L$1,1)))/(INDEX('Performance Curves'!$D$1:$L$1,1,MATCH('BMP P Tracking Table'!$AF391,'Performance Curves'!$D$1:$L$1,1)+1)-INDEX('Performance Curves'!$D$1:$L$1,1,MATCH('BMP P Tracking Table'!$AF391,'Performance Curves'!$D$1:$L$1,1))),"")</f>
        <v/>
      </c>
      <c r="AI391" s="103" t="str">
        <f>IFERROR(IF('BMP P Tracking Table'!$AF391=2,VLOOKUP(CONCATENATE('BMP P Tracking Table'!$U391," ",'BMP P Tracking Table'!$AD391),'Performance Curves'!$C$1:$L$46,_xlfn.SINGLE(MATCH('BMP P Tracking Table'!$AF391,'Performance Curves'!$D$1:$L$1,1))+1,FALSE),'BMP P Tracking Table'!$AG391*'BMP P Tracking Table'!$AH391+VLOOKUP(CONCATENATE('BMP P Tracking Table'!$U391," ",'BMP P Tracking Table'!$AD391),'Performance Curves'!$C$1:$L$46,_xlfn.SINGLE(MATCH('BMP P Tracking Table'!$AF391,'Performance Curves'!$D$1:$L$1,1))+1,FALSE)),"")</f>
        <v/>
      </c>
      <c r="AJ391" s="104" t="str">
        <f>IFERROR('BMP P Tracking Table'!$AI391*'BMP P Tracking Table'!$AE391,"")</f>
        <v/>
      </c>
      <c r="AK391" s="65"/>
      <c r="AL391" s="98"/>
      <c r="AM391" s="98"/>
      <c r="AN391" s="64">
        <v>1</v>
      </c>
      <c r="AO391" s="102" t="str">
        <f t="shared" si="39"/>
        <v/>
      </c>
      <c r="AP391" s="98"/>
      <c r="AQ391" s="98"/>
      <c r="AR391" s="98"/>
      <c r="AS391" s="98"/>
      <c r="AT391" s="98"/>
      <c r="AU391" s="98"/>
      <c r="AV391" s="98"/>
      <c r="AW391" s="65"/>
      <c r="AX391" s="99"/>
      <c r="AY391" s="99"/>
      <c r="AZ391" s="104" t="str">
        <f>IF('BMP P Tracking Table'!$AL391="Yes",IF('BMP P Tracking Table'!$AM391="No",'BMP P Tracking Table'!$V391*VLOOKUP('BMP P Tracking Table'!$R391,'Loading Rates'!$B$1:$L$24,4,FALSE)+IF('BMP P Tracking Table'!$W391="By HSG",'BMP P Tracking Table'!$X391*VLOOKUP('BMP P Tracking Table'!$R391,'Loading Rates'!$B$1:$L$24,6,FALSE)+'BMP P Tracking Table'!$Y391*VLOOKUP('BMP P Tracking Table'!$R391,'Loading Rates'!$B$1:$L$24,7,FALSE)+'BMP P Tracking Table'!$Z391*VLOOKUP('BMP P Tracking Table'!$R391,'Loading Rates'!$B$1:$L$24,8,FALSE)+'BMP P Tracking Table'!$AA391*VLOOKUP('BMP P Tracking Table'!$R391,'Loading Rates'!$B$1:$L$24,9,FALSE),'BMP P Tracking Table'!$AB391*VLOOKUP('BMP P Tracking Table'!$R391,'Loading Rates'!$B$1:$L$24,10,FALSE)),'BMP P Tracking Table'!$AP391*VLOOKUP('BMP P Tracking Table'!$R391,'Loading Rates'!$B$1:$L$24,4,FALSE)+IF('BMP P Tracking Table'!$AQ391="By HSG",'BMP P Tracking Table'!$AR391*VLOOKUP('BMP P Tracking Table'!$R391,'Loading Rates'!$B$1:$L$24,6,FALSE)+'BMP P Tracking Table'!$AS391*VLOOKUP('BMP P Tracking Table'!$R391,'Loading Rates'!$B$1:$L$24,7,FALSE)+'BMP P Tracking Table'!$AT391*VLOOKUP('BMP P Tracking Table'!$R391,'Loading Rates'!$B$1:$L$24,8,FALSE)+'BMP P Tracking Table'!$AU391*VLOOKUP('BMP P Tracking Table'!$R391,'Loading Rates'!$B$1:$L$24,9,FALSE),'BMP P Tracking Table'!$AV391*VLOOKUP('BMP P Tracking Table'!$R391,'Loading Rates'!$B$1:$L$24,10,FALSE))),"")</f>
        <v/>
      </c>
      <c r="BA391" s="104" t="str">
        <f>IFERROR(IF('BMP P Tracking Table'!$AM391="Yes",MIN(2,IF('BMP P Tracking Table'!$AQ391="Total Pervious",(-(3630*'BMP P Tracking Table'!$AP391+20.691*'BMP P Tracking Table'!$AV391)+SQRT((3630*'BMP P Tracking Table'!$AP391+20.691*'BMP P Tracking Table'!$AV391)^2-(4*(996.798*'BMP P Tracking Table'!$AV391)*-'BMP P Tracking Table'!$AX391)))/(2*(996.798*'BMP P Tracking Table'!$AV391)),IF(SUM('BMP P Tracking Table'!$AR391:$AU391)=0,'BMP P Tracking Table'!$AV391/(-3630*'BMP P Tracking Table'!$AP391),(-(3630*'BMP P Tracking Table'!$AP391+20.691*'BMP P Tracking Table'!$AU391-216.711*'BMP P Tracking Table'!$AT391-83.853*'BMP P Tracking Table'!$AS391-42.834*'BMP P Tracking Table'!$AR391)+SQRT((3630*'BMP P Tracking Table'!$AP391+20.691*'BMP P Tracking Table'!$AU391-216.711*'BMP P Tracking Table'!$AT391-83.853*'BMP P Tracking Table'!$AS391-42.834*'BMP P Tracking Table'!$AR391)^2-(4*(149.919*'BMP P Tracking Table'!$AR391+236.676*'BMP P Tracking Table'!$AS391+726*'BMP P Tracking Table'!$AT391+996.798*'BMP P Tracking Table'!$AU391)*-'BMP P Tracking Table'!$AX391)))/(2*(149.919*'BMP P Tracking Table'!$AR391+236.676*'BMP P Tracking Table'!$AS391+726*'BMP P Tracking Table'!$AT391+996.798*'BMP P Tracking Table'!$AU391))))),MIN(2,IF('BMP P Tracking Table'!$AQ391="Total Pervious",(-(3630*'BMP P Tracking Table'!$V391+20.691*'BMP P Tracking Table'!$AB391)+SQRT((3630*'BMP P Tracking Table'!$V391+20.691*'BMP P Tracking Table'!$AB391)^2-(4*(996.798*'BMP P Tracking Table'!$AB391)*-'BMP P Tracking Table'!$AX391)))/(2*(996.798*'BMP P Tracking Table'!$AB391)),IF(SUM('BMP P Tracking Table'!$X391:$AA391)=0,'BMP P Tracking Table'!$AX391/(-3630*'BMP P Tracking Table'!$V391),(-(3630*'BMP P Tracking Table'!$V391+20.691*'BMP P Tracking Table'!$AA391-216.711*'BMP P Tracking Table'!$Z391-83.853*'BMP P Tracking Table'!$Y391-42.834*'BMP P Tracking Table'!$X391)+SQRT((3630*'BMP P Tracking Table'!$V391+20.691*'BMP P Tracking Table'!$AA391-216.711*'BMP P Tracking Table'!$Z391-83.853*'BMP P Tracking Table'!$Y391-42.834*'BMP P Tracking Table'!$X391)^2-(4*(149.919*'BMP P Tracking Table'!$X391+236.676*'BMP P Tracking Table'!$Y391+726*'BMP P Tracking Table'!$Z391+996.798*'BMP P Tracking Table'!$AA391)*-'BMP P Tracking Table'!$AX391)))/(2*(149.919*'BMP P Tracking Table'!$X391+236.676*'BMP P Tracking Table'!$Y391+726*'BMP P Tracking Table'!$Z391+996.798*'BMP P Tracking Table'!$AA391)))))),"")</f>
        <v/>
      </c>
      <c r="BB391" s="102" t="str">
        <f>IFERROR((VLOOKUP(CONCATENATE('BMP P Tracking Table'!$AW391," ",'BMP P Tracking Table'!$AY391),'Performance Curves'!$C$1:$L$46,_xlfn.SINGLE(MATCH('BMP P Tracking Table'!$BA391,'Performance Curves'!$D$1:$L$1,1))+2,FALSE)-VLOOKUP(CONCATENATE('BMP P Tracking Table'!$AW391," ",'BMP P Tracking Table'!$AY391),'Performance Curves'!$C$1:$L$46,_xlfn.SINGLE(MATCH('BMP P Tracking Table'!$BA391,'Performance Curves'!$D$1:$L$1,1))+1,FALSE)),"")</f>
        <v/>
      </c>
      <c r="BC391" s="102" t="str">
        <f>IFERROR(('BMP P Tracking Table'!$BA391-INDEX('Performance Curves'!$D$1:$L$1,1,MATCH('BMP P Tracking Table'!$BA391,'Performance Curves'!$D$1:$L$1,1)))/(INDEX('Performance Curves'!$D$1:$L$1,1,MATCH('BMP P Tracking Table'!$BA391,'Performance Curves'!$D$1:$L$1,1)+1)-INDEX('Performance Curves'!$D$1:$L$1,1,MATCH('BMP P Tracking Table'!$BA391,'Performance Curves'!$D$1:$L$1,1))),"")</f>
        <v/>
      </c>
      <c r="BD391" s="103" t="str" cm="1">
        <f t="array" ref="BD391">IFERROR(IF('BMP P Tracking Table'!$BA391=2,VLOOKUP(CONCATENATE('BMP P Tracking Table'!$AW391," ",'BMP P Tracking Table'!$AY391),'Performance Curves'!$C$1:$L$44,_xlfn.SINGLE(MATCH('BMP P Tracking Table'!$BA391,'Performance Curves'!$D$1:$L$1,1))+1,FALSE),'BMP P Tracking Table'!$BB391*'BMP P Tracking Table'!$BC391+VLOOKUP(CONCATENATE('BMP P Tracking Table'!$AW391," ",'BMP P Tracking Table'!$AY391),'Performance Curves'!$C$1:$L$44,_xlfn.SINGLE(MATCH('BMP P Tracking Table'!$BA391,'Performance Curves'!$D$1:$L$1,1))+1,FALSE)),"")</f>
        <v/>
      </c>
      <c r="BE391" s="104" t="str">
        <f>IFERROR('BMP P Tracking Table'!$BD391*'BMP P Tracking Table'!$AZ391,"")</f>
        <v/>
      </c>
      <c r="BF391" s="98"/>
      <c r="BG391" s="37">
        <f t="shared" si="40"/>
        <v>0</v>
      </c>
    </row>
    <row r="392" spans="2:59" s="36" customFormat="1">
      <c r="B392" s="65"/>
      <c r="C392" s="65"/>
      <c r="D392" s="65"/>
      <c r="E392" s="65"/>
      <c r="F392" s="94"/>
      <c r="G392" s="94"/>
      <c r="H392" s="65"/>
      <c r="I392" s="65"/>
      <c r="J392" s="65"/>
      <c r="K392" s="95"/>
      <c r="L392" s="65"/>
      <c r="M392" s="65"/>
      <c r="N392" s="65"/>
      <c r="O392" s="65"/>
      <c r="P392" s="65"/>
      <c r="Q392" s="65"/>
      <c r="R392" s="65" t="str">
        <f>IFERROR(VLOOKUP('BMP P Tracking Table'!$Q392,Dropdowns!$C$2:$E$15,3,FALSE),"")</f>
        <v/>
      </c>
      <c r="S392" s="65" t="str">
        <f>IFERROR(VLOOKUP('BMP P Tracking Table'!$R392,Dropdowns!$Q$3:$R$23,2,FALSE),"")</f>
        <v/>
      </c>
      <c r="T392" s="65"/>
      <c r="U392" s="65"/>
      <c r="V392" s="65"/>
      <c r="W392" s="65"/>
      <c r="X392" s="65"/>
      <c r="Y392" s="65"/>
      <c r="Z392" s="65"/>
      <c r="AA392" s="65"/>
      <c r="AB392" s="65"/>
      <c r="AC392" s="97"/>
      <c r="AD392" s="65"/>
      <c r="AE392" s="104" t="str">
        <f>IFERROR('BMP P Tracking Table'!$V392*VLOOKUP('BMP P Tracking Table'!$R392,'Loading Rates'!$B$1:$L$24,4,FALSE)+IF('BMP P Tracking Table'!$W392="By HSG",'BMP P Tracking Table'!$X392*VLOOKUP('BMP P Tracking Table'!$R392,'Loading Rates'!$B$1:$L$24,6,FALSE)+'BMP P Tracking Table'!$Y392*VLOOKUP('BMP P Tracking Table'!$R392,'Loading Rates'!$B$1:$L$24,7,FALSE)+'BMP P Tracking Table'!$Z392*VLOOKUP('BMP P Tracking Table'!$R392,'Loading Rates'!$B$1:$L$24,8,FALSE)+'BMP P Tracking Table'!$AA392*VLOOKUP('BMP P Tracking Table'!$R392,'Loading Rates'!$B$1:$L$24,9,FALSE),'BMP P Tracking Table'!$AB392*VLOOKUP('BMP P Tracking Table'!$R392,'Loading Rates'!$B$1:$L$24,10,FALSE)),"")</f>
        <v/>
      </c>
      <c r="AF392" s="104" t="str">
        <f>IFERROR(MIN(2,IF('BMP P Tracking Table'!$W392="Total Pervious",(-(3630*'BMP P Tracking Table'!$V392+20.691*'BMP P Tracking Table'!$AB392)+SQRT((3630*'BMP P Tracking Table'!$V392+20.691*'BMP P Tracking Table'!$AB392)^2-(4*(996.798*'BMP P Tracking Table'!$AB392)*-'BMP P Tracking Table'!$AC392)))/(2*(996.798*'BMP P Tracking Table'!$AB392)),IF(SUM('BMP P Tracking Table'!$X392:$AA392)=0,'BMP P Tracking Table'!$AC392/(-3630*'BMP P Tracking Table'!$V392),(-(3630*'BMP P Tracking Table'!$V392+20.691*'BMP P Tracking Table'!$AA392-216.711*'BMP P Tracking Table'!$Z392-83.853*'BMP P Tracking Table'!$Y392-42.834*'BMP P Tracking Table'!$X392)+SQRT((3630*'BMP P Tracking Table'!$V392+20.691*'BMP P Tracking Table'!$AA392-216.711*'BMP P Tracking Table'!$Z392-83.853*'BMP P Tracking Table'!$Y392-42.834*'BMP P Tracking Table'!$X392)^2-(4*(149.919*'BMP P Tracking Table'!$X392+236.676*'BMP P Tracking Table'!$Y392+726*'BMP P Tracking Table'!$Z392+996.798*'BMP P Tracking Table'!$AA392)*-'BMP P Tracking Table'!$AC392)))/(2*(149.919*'BMP P Tracking Table'!$X392+236.676*'BMP P Tracking Table'!$Y392+726*'BMP P Tracking Table'!$Z392+996.798*'BMP P Tracking Table'!$AA392))))),"")</f>
        <v/>
      </c>
      <c r="AG392" s="104" t="str">
        <f>IFERROR((VLOOKUP(CONCATENATE('BMP P Tracking Table'!$U392," ",'BMP P Tracking Table'!$AD392),'Performance Curves'!$C$1:$L$46,_xlfn.SINGLE(MATCH('BMP P Tracking Table'!$AF392,'Performance Curves'!$D$1:$L$1,1))+2,FALSE)-VLOOKUP(CONCATENATE('BMP P Tracking Table'!$U392," ",'BMP P Tracking Table'!$AD392),'Performance Curves'!$C$1:$L$46,_xlfn.SINGLE(MATCH('BMP P Tracking Table'!$AF392,'Performance Curves'!$D$1:$L$1,1))+1,FALSE)),"")</f>
        <v/>
      </c>
      <c r="AH392" s="104" t="str">
        <f>IFERROR(('BMP P Tracking Table'!$AF392-INDEX('Performance Curves'!$D$1:$L$1,1,MATCH('BMP P Tracking Table'!$AF392,'Performance Curves'!$D$1:$L$1,1)))/(INDEX('Performance Curves'!$D$1:$L$1,1,MATCH('BMP P Tracking Table'!$AF392,'Performance Curves'!$D$1:$L$1,1)+1)-INDEX('Performance Curves'!$D$1:$L$1,1,MATCH('BMP P Tracking Table'!$AF392,'Performance Curves'!$D$1:$L$1,1))),"")</f>
        <v/>
      </c>
      <c r="AI392" s="103" t="str">
        <f>IFERROR(IF('BMP P Tracking Table'!$AF392=2,VLOOKUP(CONCATENATE('BMP P Tracking Table'!$U392," ",'BMP P Tracking Table'!$AD392),'Performance Curves'!$C$1:$L$46,_xlfn.SINGLE(MATCH('BMP P Tracking Table'!$AF392,'Performance Curves'!$D$1:$L$1,1))+1,FALSE),'BMP P Tracking Table'!$AG392*'BMP P Tracking Table'!$AH392+VLOOKUP(CONCATENATE('BMP P Tracking Table'!$U392," ",'BMP P Tracking Table'!$AD392),'Performance Curves'!$C$1:$L$46,_xlfn.SINGLE(MATCH('BMP P Tracking Table'!$AF392,'Performance Curves'!$D$1:$L$1,1))+1,FALSE)),"")</f>
        <v/>
      </c>
      <c r="AJ392" s="104" t="str">
        <f>IFERROR('BMP P Tracking Table'!$AI392*'BMP P Tracking Table'!$AE392,"")</f>
        <v/>
      </c>
      <c r="AK392" s="65"/>
      <c r="AL392" s="98"/>
      <c r="AM392" s="98"/>
      <c r="AN392" s="64">
        <v>1</v>
      </c>
      <c r="AO392" s="102" t="str">
        <f t="shared" si="39"/>
        <v/>
      </c>
      <c r="AP392" s="98"/>
      <c r="AQ392" s="98"/>
      <c r="AR392" s="98"/>
      <c r="AS392" s="98"/>
      <c r="AT392" s="98"/>
      <c r="AU392" s="98"/>
      <c r="AV392" s="98"/>
      <c r="AW392" s="65"/>
      <c r="AX392" s="99"/>
      <c r="AY392" s="99"/>
      <c r="AZ392" s="104" t="str">
        <f>IF('BMP P Tracking Table'!$AL392="Yes",IF('BMP P Tracking Table'!$AM392="No",'BMP P Tracking Table'!$V392*VLOOKUP('BMP P Tracking Table'!$R392,'Loading Rates'!$B$1:$L$24,4,FALSE)+IF('BMP P Tracking Table'!$W392="By HSG",'BMP P Tracking Table'!$X392*VLOOKUP('BMP P Tracking Table'!$R392,'Loading Rates'!$B$1:$L$24,6,FALSE)+'BMP P Tracking Table'!$Y392*VLOOKUP('BMP P Tracking Table'!$R392,'Loading Rates'!$B$1:$L$24,7,FALSE)+'BMP P Tracking Table'!$Z392*VLOOKUP('BMP P Tracking Table'!$R392,'Loading Rates'!$B$1:$L$24,8,FALSE)+'BMP P Tracking Table'!$AA392*VLOOKUP('BMP P Tracking Table'!$R392,'Loading Rates'!$B$1:$L$24,9,FALSE),'BMP P Tracking Table'!$AB392*VLOOKUP('BMP P Tracking Table'!$R392,'Loading Rates'!$B$1:$L$24,10,FALSE)),'BMP P Tracking Table'!$AP392*VLOOKUP('BMP P Tracking Table'!$R392,'Loading Rates'!$B$1:$L$24,4,FALSE)+IF('BMP P Tracking Table'!$AQ392="By HSG",'BMP P Tracking Table'!$AR392*VLOOKUP('BMP P Tracking Table'!$R392,'Loading Rates'!$B$1:$L$24,6,FALSE)+'BMP P Tracking Table'!$AS392*VLOOKUP('BMP P Tracking Table'!$R392,'Loading Rates'!$B$1:$L$24,7,FALSE)+'BMP P Tracking Table'!$AT392*VLOOKUP('BMP P Tracking Table'!$R392,'Loading Rates'!$B$1:$L$24,8,FALSE)+'BMP P Tracking Table'!$AU392*VLOOKUP('BMP P Tracking Table'!$R392,'Loading Rates'!$B$1:$L$24,9,FALSE),'BMP P Tracking Table'!$AV392*VLOOKUP('BMP P Tracking Table'!$R392,'Loading Rates'!$B$1:$L$24,10,FALSE))),"")</f>
        <v/>
      </c>
      <c r="BA392" s="104" t="str">
        <f>IFERROR(IF('BMP P Tracking Table'!$AM392="Yes",MIN(2,IF('BMP P Tracking Table'!$AQ392="Total Pervious",(-(3630*'BMP P Tracking Table'!$AP392+20.691*'BMP P Tracking Table'!$AV392)+SQRT((3630*'BMP P Tracking Table'!$AP392+20.691*'BMP P Tracking Table'!$AV392)^2-(4*(996.798*'BMP P Tracking Table'!$AV392)*-'BMP P Tracking Table'!$AX392)))/(2*(996.798*'BMP P Tracking Table'!$AV392)),IF(SUM('BMP P Tracking Table'!$AR392:$AU392)=0,'BMP P Tracking Table'!$AV392/(-3630*'BMP P Tracking Table'!$AP392),(-(3630*'BMP P Tracking Table'!$AP392+20.691*'BMP P Tracking Table'!$AU392-216.711*'BMP P Tracking Table'!$AT392-83.853*'BMP P Tracking Table'!$AS392-42.834*'BMP P Tracking Table'!$AR392)+SQRT((3630*'BMP P Tracking Table'!$AP392+20.691*'BMP P Tracking Table'!$AU392-216.711*'BMP P Tracking Table'!$AT392-83.853*'BMP P Tracking Table'!$AS392-42.834*'BMP P Tracking Table'!$AR392)^2-(4*(149.919*'BMP P Tracking Table'!$AR392+236.676*'BMP P Tracking Table'!$AS392+726*'BMP P Tracking Table'!$AT392+996.798*'BMP P Tracking Table'!$AU392)*-'BMP P Tracking Table'!$AX392)))/(2*(149.919*'BMP P Tracking Table'!$AR392+236.676*'BMP P Tracking Table'!$AS392+726*'BMP P Tracking Table'!$AT392+996.798*'BMP P Tracking Table'!$AU392))))),MIN(2,IF('BMP P Tracking Table'!$AQ392="Total Pervious",(-(3630*'BMP P Tracking Table'!$V392+20.691*'BMP P Tracking Table'!$AB392)+SQRT((3630*'BMP P Tracking Table'!$V392+20.691*'BMP P Tracking Table'!$AB392)^2-(4*(996.798*'BMP P Tracking Table'!$AB392)*-'BMP P Tracking Table'!$AX392)))/(2*(996.798*'BMP P Tracking Table'!$AB392)),IF(SUM('BMP P Tracking Table'!$X392:$AA392)=0,'BMP P Tracking Table'!$AX392/(-3630*'BMP P Tracking Table'!$V392),(-(3630*'BMP P Tracking Table'!$V392+20.691*'BMP P Tracking Table'!$AA392-216.711*'BMP P Tracking Table'!$Z392-83.853*'BMP P Tracking Table'!$Y392-42.834*'BMP P Tracking Table'!$X392)+SQRT((3630*'BMP P Tracking Table'!$V392+20.691*'BMP P Tracking Table'!$AA392-216.711*'BMP P Tracking Table'!$Z392-83.853*'BMP P Tracking Table'!$Y392-42.834*'BMP P Tracking Table'!$X392)^2-(4*(149.919*'BMP P Tracking Table'!$X392+236.676*'BMP P Tracking Table'!$Y392+726*'BMP P Tracking Table'!$Z392+996.798*'BMP P Tracking Table'!$AA392)*-'BMP P Tracking Table'!$AX392)))/(2*(149.919*'BMP P Tracking Table'!$X392+236.676*'BMP P Tracking Table'!$Y392+726*'BMP P Tracking Table'!$Z392+996.798*'BMP P Tracking Table'!$AA392)))))),"")</f>
        <v/>
      </c>
      <c r="BB392" s="102" t="str">
        <f>IFERROR((VLOOKUP(CONCATENATE('BMP P Tracking Table'!$AW392," ",'BMP P Tracking Table'!$AY392),'Performance Curves'!$C$1:$L$46,_xlfn.SINGLE(MATCH('BMP P Tracking Table'!$BA392,'Performance Curves'!$D$1:$L$1,1))+2,FALSE)-VLOOKUP(CONCATENATE('BMP P Tracking Table'!$AW392," ",'BMP P Tracking Table'!$AY392),'Performance Curves'!$C$1:$L$46,_xlfn.SINGLE(MATCH('BMP P Tracking Table'!$BA392,'Performance Curves'!$D$1:$L$1,1))+1,FALSE)),"")</f>
        <v/>
      </c>
      <c r="BC392" s="102" t="str">
        <f>IFERROR(('BMP P Tracking Table'!$BA392-INDEX('Performance Curves'!$D$1:$L$1,1,MATCH('BMP P Tracking Table'!$BA392,'Performance Curves'!$D$1:$L$1,1)))/(INDEX('Performance Curves'!$D$1:$L$1,1,MATCH('BMP P Tracking Table'!$BA392,'Performance Curves'!$D$1:$L$1,1)+1)-INDEX('Performance Curves'!$D$1:$L$1,1,MATCH('BMP P Tracking Table'!$BA392,'Performance Curves'!$D$1:$L$1,1))),"")</f>
        <v/>
      </c>
      <c r="BD392" s="103" t="str" cm="1">
        <f t="array" ref="BD392">IFERROR(IF('BMP P Tracking Table'!$BA392=2,VLOOKUP(CONCATENATE('BMP P Tracking Table'!$AW392," ",'BMP P Tracking Table'!$AY392),'Performance Curves'!$C$1:$L$44,_xlfn.SINGLE(MATCH('BMP P Tracking Table'!$BA392,'Performance Curves'!$D$1:$L$1,1))+1,FALSE),'BMP P Tracking Table'!$BB392*'BMP P Tracking Table'!$BC392+VLOOKUP(CONCATENATE('BMP P Tracking Table'!$AW392," ",'BMP P Tracking Table'!$AY392),'Performance Curves'!$C$1:$L$44,_xlfn.SINGLE(MATCH('BMP P Tracking Table'!$BA392,'Performance Curves'!$D$1:$L$1,1))+1,FALSE)),"")</f>
        <v/>
      </c>
      <c r="BE392" s="104" t="str">
        <f>IFERROR('BMP P Tracking Table'!$BD392*'BMP P Tracking Table'!$AZ392,"")</f>
        <v/>
      </c>
      <c r="BF392" s="98"/>
      <c r="BG392" s="37">
        <f t="shared" si="40"/>
        <v>0</v>
      </c>
    </row>
    <row r="393" spans="2:59" s="36" customFormat="1">
      <c r="B393" s="65"/>
      <c r="C393" s="65"/>
      <c r="D393" s="65"/>
      <c r="E393" s="65"/>
      <c r="F393" s="94"/>
      <c r="G393" s="94"/>
      <c r="H393" s="65"/>
      <c r="I393" s="65"/>
      <c r="J393" s="65"/>
      <c r="K393" s="95"/>
      <c r="L393" s="65"/>
      <c r="M393" s="65"/>
      <c r="N393" s="65"/>
      <c r="O393" s="65"/>
      <c r="P393" s="65"/>
      <c r="Q393" s="65"/>
      <c r="R393" s="65" t="str">
        <f>IFERROR(VLOOKUP('BMP P Tracking Table'!$Q393,Dropdowns!$C$2:$E$15,3,FALSE),"")</f>
        <v/>
      </c>
      <c r="S393" s="65" t="str">
        <f>IFERROR(VLOOKUP('BMP P Tracking Table'!$R393,Dropdowns!$Q$3:$R$23,2,FALSE),"")</f>
        <v/>
      </c>
      <c r="T393" s="65"/>
      <c r="U393" s="65"/>
      <c r="V393" s="65"/>
      <c r="W393" s="65"/>
      <c r="X393" s="65"/>
      <c r="Y393" s="65"/>
      <c r="Z393" s="65"/>
      <c r="AA393" s="65"/>
      <c r="AB393" s="65"/>
      <c r="AC393" s="97"/>
      <c r="AD393" s="65"/>
      <c r="AE393" s="104" t="str">
        <f>IFERROR('BMP P Tracking Table'!$V393*VLOOKUP('BMP P Tracking Table'!$R393,'Loading Rates'!$B$1:$L$24,4,FALSE)+IF('BMP P Tracking Table'!$W393="By HSG",'BMP P Tracking Table'!$X393*VLOOKUP('BMP P Tracking Table'!$R393,'Loading Rates'!$B$1:$L$24,6,FALSE)+'BMP P Tracking Table'!$Y393*VLOOKUP('BMP P Tracking Table'!$R393,'Loading Rates'!$B$1:$L$24,7,FALSE)+'BMP P Tracking Table'!$Z393*VLOOKUP('BMP P Tracking Table'!$R393,'Loading Rates'!$B$1:$L$24,8,FALSE)+'BMP P Tracking Table'!$AA393*VLOOKUP('BMP P Tracking Table'!$R393,'Loading Rates'!$B$1:$L$24,9,FALSE),'BMP P Tracking Table'!$AB393*VLOOKUP('BMP P Tracking Table'!$R393,'Loading Rates'!$B$1:$L$24,10,FALSE)),"")</f>
        <v/>
      </c>
      <c r="AF393" s="104" t="str">
        <f>IFERROR(MIN(2,IF('BMP P Tracking Table'!$W393="Total Pervious",(-(3630*'BMP P Tracking Table'!$V393+20.691*'BMP P Tracking Table'!$AB393)+SQRT((3630*'BMP P Tracking Table'!$V393+20.691*'BMP P Tracking Table'!$AB393)^2-(4*(996.798*'BMP P Tracking Table'!$AB393)*-'BMP P Tracking Table'!$AC393)))/(2*(996.798*'BMP P Tracking Table'!$AB393)),IF(SUM('BMP P Tracking Table'!$X393:$AA393)=0,'BMP P Tracking Table'!$AC393/(-3630*'BMP P Tracking Table'!$V393),(-(3630*'BMP P Tracking Table'!$V393+20.691*'BMP P Tracking Table'!$AA393-216.711*'BMP P Tracking Table'!$Z393-83.853*'BMP P Tracking Table'!$Y393-42.834*'BMP P Tracking Table'!$X393)+SQRT((3630*'BMP P Tracking Table'!$V393+20.691*'BMP P Tracking Table'!$AA393-216.711*'BMP P Tracking Table'!$Z393-83.853*'BMP P Tracking Table'!$Y393-42.834*'BMP P Tracking Table'!$X393)^2-(4*(149.919*'BMP P Tracking Table'!$X393+236.676*'BMP P Tracking Table'!$Y393+726*'BMP P Tracking Table'!$Z393+996.798*'BMP P Tracking Table'!$AA393)*-'BMP P Tracking Table'!$AC393)))/(2*(149.919*'BMP P Tracking Table'!$X393+236.676*'BMP P Tracking Table'!$Y393+726*'BMP P Tracking Table'!$Z393+996.798*'BMP P Tracking Table'!$AA393))))),"")</f>
        <v/>
      </c>
      <c r="AG393" s="104" t="str">
        <f>IFERROR((VLOOKUP(CONCATENATE('BMP P Tracking Table'!$U393," ",'BMP P Tracking Table'!$AD393),'Performance Curves'!$C$1:$L$46,_xlfn.SINGLE(MATCH('BMP P Tracking Table'!$AF393,'Performance Curves'!$D$1:$L$1,1))+2,FALSE)-VLOOKUP(CONCATENATE('BMP P Tracking Table'!$U393," ",'BMP P Tracking Table'!$AD393),'Performance Curves'!$C$1:$L$46,_xlfn.SINGLE(MATCH('BMP P Tracking Table'!$AF393,'Performance Curves'!$D$1:$L$1,1))+1,FALSE)),"")</f>
        <v/>
      </c>
      <c r="AH393" s="104" t="str">
        <f>IFERROR(('BMP P Tracking Table'!$AF393-INDEX('Performance Curves'!$D$1:$L$1,1,MATCH('BMP P Tracking Table'!$AF393,'Performance Curves'!$D$1:$L$1,1)))/(INDEX('Performance Curves'!$D$1:$L$1,1,MATCH('BMP P Tracking Table'!$AF393,'Performance Curves'!$D$1:$L$1,1)+1)-INDEX('Performance Curves'!$D$1:$L$1,1,MATCH('BMP P Tracking Table'!$AF393,'Performance Curves'!$D$1:$L$1,1))),"")</f>
        <v/>
      </c>
      <c r="AI393" s="103" t="str">
        <f>IFERROR(IF('BMP P Tracking Table'!$AF393=2,VLOOKUP(CONCATENATE('BMP P Tracking Table'!$U393," ",'BMP P Tracking Table'!$AD393),'Performance Curves'!$C$1:$L$46,_xlfn.SINGLE(MATCH('BMP P Tracking Table'!$AF393,'Performance Curves'!$D$1:$L$1,1))+1,FALSE),'BMP P Tracking Table'!$AG393*'BMP P Tracking Table'!$AH393+VLOOKUP(CONCATENATE('BMP P Tracking Table'!$U393," ",'BMP P Tracking Table'!$AD393),'Performance Curves'!$C$1:$L$46,_xlfn.SINGLE(MATCH('BMP P Tracking Table'!$AF393,'Performance Curves'!$D$1:$L$1,1))+1,FALSE)),"")</f>
        <v/>
      </c>
      <c r="AJ393" s="104" t="str">
        <f>IFERROR('BMP P Tracking Table'!$AI393*'BMP P Tracking Table'!$AE393,"")</f>
        <v/>
      </c>
      <c r="AK393" s="65"/>
      <c r="AL393" s="98"/>
      <c r="AM393" s="98"/>
      <c r="AN393" s="64">
        <v>1</v>
      </c>
      <c r="AO393" s="102" t="str">
        <f t="shared" si="39"/>
        <v/>
      </c>
      <c r="AP393" s="98"/>
      <c r="AQ393" s="98"/>
      <c r="AR393" s="98"/>
      <c r="AS393" s="98"/>
      <c r="AT393" s="98"/>
      <c r="AU393" s="98"/>
      <c r="AV393" s="98"/>
      <c r="AW393" s="65"/>
      <c r="AX393" s="99"/>
      <c r="AY393" s="99"/>
      <c r="AZ393" s="104" t="str">
        <f>IF('BMP P Tracking Table'!$AL393="Yes",IF('BMP P Tracking Table'!$AM393="No",'BMP P Tracking Table'!$V393*VLOOKUP('BMP P Tracking Table'!$R393,'Loading Rates'!$B$1:$L$24,4,FALSE)+IF('BMP P Tracking Table'!$W393="By HSG",'BMP P Tracking Table'!$X393*VLOOKUP('BMP P Tracking Table'!$R393,'Loading Rates'!$B$1:$L$24,6,FALSE)+'BMP P Tracking Table'!$Y393*VLOOKUP('BMP P Tracking Table'!$R393,'Loading Rates'!$B$1:$L$24,7,FALSE)+'BMP P Tracking Table'!$Z393*VLOOKUP('BMP P Tracking Table'!$R393,'Loading Rates'!$B$1:$L$24,8,FALSE)+'BMP P Tracking Table'!$AA393*VLOOKUP('BMP P Tracking Table'!$R393,'Loading Rates'!$B$1:$L$24,9,FALSE),'BMP P Tracking Table'!$AB393*VLOOKUP('BMP P Tracking Table'!$R393,'Loading Rates'!$B$1:$L$24,10,FALSE)),'BMP P Tracking Table'!$AP393*VLOOKUP('BMP P Tracking Table'!$R393,'Loading Rates'!$B$1:$L$24,4,FALSE)+IF('BMP P Tracking Table'!$AQ393="By HSG",'BMP P Tracking Table'!$AR393*VLOOKUP('BMP P Tracking Table'!$R393,'Loading Rates'!$B$1:$L$24,6,FALSE)+'BMP P Tracking Table'!$AS393*VLOOKUP('BMP P Tracking Table'!$R393,'Loading Rates'!$B$1:$L$24,7,FALSE)+'BMP P Tracking Table'!$AT393*VLOOKUP('BMP P Tracking Table'!$R393,'Loading Rates'!$B$1:$L$24,8,FALSE)+'BMP P Tracking Table'!$AU393*VLOOKUP('BMP P Tracking Table'!$R393,'Loading Rates'!$B$1:$L$24,9,FALSE),'BMP P Tracking Table'!$AV393*VLOOKUP('BMP P Tracking Table'!$R393,'Loading Rates'!$B$1:$L$24,10,FALSE))),"")</f>
        <v/>
      </c>
      <c r="BA393" s="104" t="str">
        <f>IFERROR(IF('BMP P Tracking Table'!$AM393="Yes",MIN(2,IF('BMP P Tracking Table'!$AQ393="Total Pervious",(-(3630*'BMP P Tracking Table'!$AP393+20.691*'BMP P Tracking Table'!$AV393)+SQRT((3630*'BMP P Tracking Table'!$AP393+20.691*'BMP P Tracking Table'!$AV393)^2-(4*(996.798*'BMP P Tracking Table'!$AV393)*-'BMP P Tracking Table'!$AX393)))/(2*(996.798*'BMP P Tracking Table'!$AV393)),IF(SUM('BMP P Tracking Table'!$AR393:$AU393)=0,'BMP P Tracking Table'!$AV393/(-3630*'BMP P Tracking Table'!$AP393),(-(3630*'BMP P Tracking Table'!$AP393+20.691*'BMP P Tracking Table'!$AU393-216.711*'BMP P Tracking Table'!$AT393-83.853*'BMP P Tracking Table'!$AS393-42.834*'BMP P Tracking Table'!$AR393)+SQRT((3630*'BMP P Tracking Table'!$AP393+20.691*'BMP P Tracking Table'!$AU393-216.711*'BMP P Tracking Table'!$AT393-83.853*'BMP P Tracking Table'!$AS393-42.834*'BMP P Tracking Table'!$AR393)^2-(4*(149.919*'BMP P Tracking Table'!$AR393+236.676*'BMP P Tracking Table'!$AS393+726*'BMP P Tracking Table'!$AT393+996.798*'BMP P Tracking Table'!$AU393)*-'BMP P Tracking Table'!$AX393)))/(2*(149.919*'BMP P Tracking Table'!$AR393+236.676*'BMP P Tracking Table'!$AS393+726*'BMP P Tracking Table'!$AT393+996.798*'BMP P Tracking Table'!$AU393))))),MIN(2,IF('BMP P Tracking Table'!$AQ393="Total Pervious",(-(3630*'BMP P Tracking Table'!$V393+20.691*'BMP P Tracking Table'!$AB393)+SQRT((3630*'BMP P Tracking Table'!$V393+20.691*'BMP P Tracking Table'!$AB393)^2-(4*(996.798*'BMP P Tracking Table'!$AB393)*-'BMP P Tracking Table'!$AX393)))/(2*(996.798*'BMP P Tracking Table'!$AB393)),IF(SUM('BMP P Tracking Table'!$X393:$AA393)=0,'BMP P Tracking Table'!$AX393/(-3630*'BMP P Tracking Table'!$V393),(-(3630*'BMP P Tracking Table'!$V393+20.691*'BMP P Tracking Table'!$AA393-216.711*'BMP P Tracking Table'!$Z393-83.853*'BMP P Tracking Table'!$Y393-42.834*'BMP P Tracking Table'!$X393)+SQRT((3630*'BMP P Tracking Table'!$V393+20.691*'BMP P Tracking Table'!$AA393-216.711*'BMP P Tracking Table'!$Z393-83.853*'BMP P Tracking Table'!$Y393-42.834*'BMP P Tracking Table'!$X393)^2-(4*(149.919*'BMP P Tracking Table'!$X393+236.676*'BMP P Tracking Table'!$Y393+726*'BMP P Tracking Table'!$Z393+996.798*'BMP P Tracking Table'!$AA393)*-'BMP P Tracking Table'!$AX393)))/(2*(149.919*'BMP P Tracking Table'!$X393+236.676*'BMP P Tracking Table'!$Y393+726*'BMP P Tracking Table'!$Z393+996.798*'BMP P Tracking Table'!$AA393)))))),"")</f>
        <v/>
      </c>
      <c r="BB393" s="102" t="str">
        <f>IFERROR((VLOOKUP(CONCATENATE('BMP P Tracking Table'!$AW393," ",'BMP P Tracking Table'!$AY393),'Performance Curves'!$C$1:$L$46,_xlfn.SINGLE(MATCH('BMP P Tracking Table'!$BA393,'Performance Curves'!$D$1:$L$1,1))+2,FALSE)-VLOOKUP(CONCATENATE('BMP P Tracking Table'!$AW393," ",'BMP P Tracking Table'!$AY393),'Performance Curves'!$C$1:$L$46,_xlfn.SINGLE(MATCH('BMP P Tracking Table'!$BA393,'Performance Curves'!$D$1:$L$1,1))+1,FALSE)),"")</f>
        <v/>
      </c>
      <c r="BC393" s="102" t="str">
        <f>IFERROR(('BMP P Tracking Table'!$BA393-INDEX('Performance Curves'!$D$1:$L$1,1,MATCH('BMP P Tracking Table'!$BA393,'Performance Curves'!$D$1:$L$1,1)))/(INDEX('Performance Curves'!$D$1:$L$1,1,MATCH('BMP P Tracking Table'!$BA393,'Performance Curves'!$D$1:$L$1,1)+1)-INDEX('Performance Curves'!$D$1:$L$1,1,MATCH('BMP P Tracking Table'!$BA393,'Performance Curves'!$D$1:$L$1,1))),"")</f>
        <v/>
      </c>
      <c r="BD393" s="103" t="str" cm="1">
        <f t="array" ref="BD393">IFERROR(IF('BMP P Tracking Table'!$BA393=2,VLOOKUP(CONCATENATE('BMP P Tracking Table'!$AW393," ",'BMP P Tracking Table'!$AY393),'Performance Curves'!$C$1:$L$44,_xlfn.SINGLE(MATCH('BMP P Tracking Table'!$BA393,'Performance Curves'!$D$1:$L$1,1))+1,FALSE),'BMP P Tracking Table'!$BB393*'BMP P Tracking Table'!$BC393+VLOOKUP(CONCATENATE('BMP P Tracking Table'!$AW393," ",'BMP P Tracking Table'!$AY393),'Performance Curves'!$C$1:$L$44,_xlfn.SINGLE(MATCH('BMP P Tracking Table'!$BA393,'Performance Curves'!$D$1:$L$1,1))+1,FALSE)),"")</f>
        <v/>
      </c>
      <c r="BE393" s="104" t="str">
        <f>IFERROR('BMP P Tracking Table'!$BD393*'BMP P Tracking Table'!$AZ393,"")</f>
        <v/>
      </c>
      <c r="BF393" s="98"/>
      <c r="BG393" s="37">
        <f t="shared" si="40"/>
        <v>0</v>
      </c>
    </row>
    <row r="394" spans="2:59" s="36" customFormat="1">
      <c r="B394" s="65"/>
      <c r="C394" s="65"/>
      <c r="D394" s="65"/>
      <c r="E394" s="65"/>
      <c r="F394" s="94"/>
      <c r="G394" s="94"/>
      <c r="H394" s="65"/>
      <c r="I394" s="65"/>
      <c r="J394" s="65"/>
      <c r="K394" s="95"/>
      <c r="L394" s="65"/>
      <c r="M394" s="65"/>
      <c r="N394" s="65"/>
      <c r="O394" s="65"/>
      <c r="P394" s="65"/>
      <c r="Q394" s="65"/>
      <c r="R394" s="65" t="str">
        <f>IFERROR(VLOOKUP('BMP P Tracking Table'!$Q394,Dropdowns!$C$2:$E$15,3,FALSE),"")</f>
        <v/>
      </c>
      <c r="S394" s="65" t="str">
        <f>IFERROR(VLOOKUP('BMP P Tracking Table'!$R394,Dropdowns!$Q$3:$R$23,2,FALSE),"")</f>
        <v/>
      </c>
      <c r="T394" s="65"/>
      <c r="U394" s="65"/>
      <c r="V394" s="65"/>
      <c r="W394" s="65"/>
      <c r="X394" s="65"/>
      <c r="Y394" s="65"/>
      <c r="Z394" s="65"/>
      <c r="AA394" s="65"/>
      <c r="AB394" s="65"/>
      <c r="AC394" s="97"/>
      <c r="AD394" s="65"/>
      <c r="AE394" s="104" t="str">
        <f>IFERROR('BMP P Tracking Table'!$V394*VLOOKUP('BMP P Tracking Table'!$R394,'Loading Rates'!$B$1:$L$24,4,FALSE)+IF('BMP P Tracking Table'!$W394="By HSG",'BMP P Tracking Table'!$X394*VLOOKUP('BMP P Tracking Table'!$R394,'Loading Rates'!$B$1:$L$24,6,FALSE)+'BMP P Tracking Table'!$Y394*VLOOKUP('BMP P Tracking Table'!$R394,'Loading Rates'!$B$1:$L$24,7,FALSE)+'BMP P Tracking Table'!$Z394*VLOOKUP('BMP P Tracking Table'!$R394,'Loading Rates'!$B$1:$L$24,8,FALSE)+'BMP P Tracking Table'!$AA394*VLOOKUP('BMP P Tracking Table'!$R394,'Loading Rates'!$B$1:$L$24,9,FALSE),'BMP P Tracking Table'!$AB394*VLOOKUP('BMP P Tracking Table'!$R394,'Loading Rates'!$B$1:$L$24,10,FALSE)),"")</f>
        <v/>
      </c>
      <c r="AF394" s="104" t="str">
        <f>IFERROR(MIN(2,IF('BMP P Tracking Table'!$W394="Total Pervious",(-(3630*'BMP P Tracking Table'!$V394+20.691*'BMP P Tracking Table'!$AB394)+SQRT((3630*'BMP P Tracking Table'!$V394+20.691*'BMP P Tracking Table'!$AB394)^2-(4*(996.798*'BMP P Tracking Table'!$AB394)*-'BMP P Tracking Table'!$AC394)))/(2*(996.798*'BMP P Tracking Table'!$AB394)),IF(SUM('BMP P Tracking Table'!$X394:$AA394)=0,'BMP P Tracking Table'!$AC394/(-3630*'BMP P Tracking Table'!$V394),(-(3630*'BMP P Tracking Table'!$V394+20.691*'BMP P Tracking Table'!$AA394-216.711*'BMP P Tracking Table'!$Z394-83.853*'BMP P Tracking Table'!$Y394-42.834*'BMP P Tracking Table'!$X394)+SQRT((3630*'BMP P Tracking Table'!$V394+20.691*'BMP P Tracking Table'!$AA394-216.711*'BMP P Tracking Table'!$Z394-83.853*'BMP P Tracking Table'!$Y394-42.834*'BMP P Tracking Table'!$X394)^2-(4*(149.919*'BMP P Tracking Table'!$X394+236.676*'BMP P Tracking Table'!$Y394+726*'BMP P Tracking Table'!$Z394+996.798*'BMP P Tracking Table'!$AA394)*-'BMP P Tracking Table'!$AC394)))/(2*(149.919*'BMP P Tracking Table'!$X394+236.676*'BMP P Tracking Table'!$Y394+726*'BMP P Tracking Table'!$Z394+996.798*'BMP P Tracking Table'!$AA394))))),"")</f>
        <v/>
      </c>
      <c r="AG394" s="104" t="str">
        <f>IFERROR((VLOOKUP(CONCATENATE('BMP P Tracking Table'!$U394," ",'BMP P Tracking Table'!$AD394),'Performance Curves'!$C$1:$L$46,_xlfn.SINGLE(MATCH('BMP P Tracking Table'!$AF394,'Performance Curves'!$D$1:$L$1,1))+2,FALSE)-VLOOKUP(CONCATENATE('BMP P Tracking Table'!$U394," ",'BMP P Tracking Table'!$AD394),'Performance Curves'!$C$1:$L$46,_xlfn.SINGLE(MATCH('BMP P Tracking Table'!$AF394,'Performance Curves'!$D$1:$L$1,1))+1,FALSE)),"")</f>
        <v/>
      </c>
      <c r="AH394" s="104" t="str">
        <f>IFERROR(('BMP P Tracking Table'!$AF394-INDEX('Performance Curves'!$D$1:$L$1,1,MATCH('BMP P Tracking Table'!$AF394,'Performance Curves'!$D$1:$L$1,1)))/(INDEX('Performance Curves'!$D$1:$L$1,1,MATCH('BMP P Tracking Table'!$AF394,'Performance Curves'!$D$1:$L$1,1)+1)-INDEX('Performance Curves'!$D$1:$L$1,1,MATCH('BMP P Tracking Table'!$AF394,'Performance Curves'!$D$1:$L$1,1))),"")</f>
        <v/>
      </c>
      <c r="AI394" s="103" t="str">
        <f>IFERROR(IF('BMP P Tracking Table'!$AF394=2,VLOOKUP(CONCATENATE('BMP P Tracking Table'!$U394," ",'BMP P Tracking Table'!$AD394),'Performance Curves'!$C$1:$L$46,_xlfn.SINGLE(MATCH('BMP P Tracking Table'!$AF394,'Performance Curves'!$D$1:$L$1,1))+1,FALSE),'BMP P Tracking Table'!$AG394*'BMP P Tracking Table'!$AH394+VLOOKUP(CONCATENATE('BMP P Tracking Table'!$U394," ",'BMP P Tracking Table'!$AD394),'Performance Curves'!$C$1:$L$46,_xlfn.SINGLE(MATCH('BMP P Tracking Table'!$AF394,'Performance Curves'!$D$1:$L$1,1))+1,FALSE)),"")</f>
        <v/>
      </c>
      <c r="AJ394" s="104" t="str">
        <f>IFERROR('BMP P Tracking Table'!$AI394*'BMP P Tracking Table'!$AE394,"")</f>
        <v/>
      </c>
      <c r="AK394" s="65"/>
      <c r="AL394" s="98"/>
      <c r="AM394" s="98"/>
      <c r="AN394" s="64">
        <v>1</v>
      </c>
      <c r="AO394" s="102" t="str">
        <f t="shared" si="39"/>
        <v/>
      </c>
      <c r="AP394" s="98"/>
      <c r="AQ394" s="98"/>
      <c r="AR394" s="98"/>
      <c r="AS394" s="98"/>
      <c r="AT394" s="98"/>
      <c r="AU394" s="98"/>
      <c r="AV394" s="98"/>
      <c r="AW394" s="65"/>
      <c r="AX394" s="99"/>
      <c r="AY394" s="99"/>
      <c r="AZ394" s="104" t="str">
        <f>IF('BMP P Tracking Table'!$AL394="Yes",IF('BMP P Tracking Table'!$AM394="No",'BMP P Tracking Table'!$V394*VLOOKUP('BMP P Tracking Table'!$R394,'Loading Rates'!$B$1:$L$24,4,FALSE)+IF('BMP P Tracking Table'!$W394="By HSG",'BMP P Tracking Table'!$X394*VLOOKUP('BMP P Tracking Table'!$R394,'Loading Rates'!$B$1:$L$24,6,FALSE)+'BMP P Tracking Table'!$Y394*VLOOKUP('BMP P Tracking Table'!$R394,'Loading Rates'!$B$1:$L$24,7,FALSE)+'BMP P Tracking Table'!$Z394*VLOOKUP('BMP P Tracking Table'!$R394,'Loading Rates'!$B$1:$L$24,8,FALSE)+'BMP P Tracking Table'!$AA394*VLOOKUP('BMP P Tracking Table'!$R394,'Loading Rates'!$B$1:$L$24,9,FALSE),'BMP P Tracking Table'!$AB394*VLOOKUP('BMP P Tracking Table'!$R394,'Loading Rates'!$B$1:$L$24,10,FALSE)),'BMP P Tracking Table'!$AP394*VLOOKUP('BMP P Tracking Table'!$R394,'Loading Rates'!$B$1:$L$24,4,FALSE)+IF('BMP P Tracking Table'!$AQ394="By HSG",'BMP P Tracking Table'!$AR394*VLOOKUP('BMP P Tracking Table'!$R394,'Loading Rates'!$B$1:$L$24,6,FALSE)+'BMP P Tracking Table'!$AS394*VLOOKUP('BMP P Tracking Table'!$R394,'Loading Rates'!$B$1:$L$24,7,FALSE)+'BMP P Tracking Table'!$AT394*VLOOKUP('BMP P Tracking Table'!$R394,'Loading Rates'!$B$1:$L$24,8,FALSE)+'BMP P Tracking Table'!$AU394*VLOOKUP('BMP P Tracking Table'!$R394,'Loading Rates'!$B$1:$L$24,9,FALSE),'BMP P Tracking Table'!$AV394*VLOOKUP('BMP P Tracking Table'!$R394,'Loading Rates'!$B$1:$L$24,10,FALSE))),"")</f>
        <v/>
      </c>
      <c r="BA394" s="104" t="str">
        <f>IFERROR(IF('BMP P Tracking Table'!$AM394="Yes",MIN(2,IF('BMP P Tracking Table'!$AQ394="Total Pervious",(-(3630*'BMP P Tracking Table'!$AP394+20.691*'BMP P Tracking Table'!$AV394)+SQRT((3630*'BMP P Tracking Table'!$AP394+20.691*'BMP P Tracking Table'!$AV394)^2-(4*(996.798*'BMP P Tracking Table'!$AV394)*-'BMP P Tracking Table'!$AX394)))/(2*(996.798*'BMP P Tracking Table'!$AV394)),IF(SUM('BMP P Tracking Table'!$AR394:$AU394)=0,'BMP P Tracking Table'!$AV394/(-3630*'BMP P Tracking Table'!$AP394),(-(3630*'BMP P Tracking Table'!$AP394+20.691*'BMP P Tracking Table'!$AU394-216.711*'BMP P Tracking Table'!$AT394-83.853*'BMP P Tracking Table'!$AS394-42.834*'BMP P Tracking Table'!$AR394)+SQRT((3630*'BMP P Tracking Table'!$AP394+20.691*'BMP P Tracking Table'!$AU394-216.711*'BMP P Tracking Table'!$AT394-83.853*'BMP P Tracking Table'!$AS394-42.834*'BMP P Tracking Table'!$AR394)^2-(4*(149.919*'BMP P Tracking Table'!$AR394+236.676*'BMP P Tracking Table'!$AS394+726*'BMP P Tracking Table'!$AT394+996.798*'BMP P Tracking Table'!$AU394)*-'BMP P Tracking Table'!$AX394)))/(2*(149.919*'BMP P Tracking Table'!$AR394+236.676*'BMP P Tracking Table'!$AS394+726*'BMP P Tracking Table'!$AT394+996.798*'BMP P Tracking Table'!$AU394))))),MIN(2,IF('BMP P Tracking Table'!$AQ394="Total Pervious",(-(3630*'BMP P Tracking Table'!$V394+20.691*'BMP P Tracking Table'!$AB394)+SQRT((3630*'BMP P Tracking Table'!$V394+20.691*'BMP P Tracking Table'!$AB394)^2-(4*(996.798*'BMP P Tracking Table'!$AB394)*-'BMP P Tracking Table'!$AX394)))/(2*(996.798*'BMP P Tracking Table'!$AB394)),IF(SUM('BMP P Tracking Table'!$X394:$AA394)=0,'BMP P Tracking Table'!$AX394/(-3630*'BMP P Tracking Table'!$V394),(-(3630*'BMP P Tracking Table'!$V394+20.691*'BMP P Tracking Table'!$AA394-216.711*'BMP P Tracking Table'!$Z394-83.853*'BMP P Tracking Table'!$Y394-42.834*'BMP P Tracking Table'!$X394)+SQRT((3630*'BMP P Tracking Table'!$V394+20.691*'BMP P Tracking Table'!$AA394-216.711*'BMP P Tracking Table'!$Z394-83.853*'BMP P Tracking Table'!$Y394-42.834*'BMP P Tracking Table'!$X394)^2-(4*(149.919*'BMP P Tracking Table'!$X394+236.676*'BMP P Tracking Table'!$Y394+726*'BMP P Tracking Table'!$Z394+996.798*'BMP P Tracking Table'!$AA394)*-'BMP P Tracking Table'!$AX394)))/(2*(149.919*'BMP P Tracking Table'!$X394+236.676*'BMP P Tracking Table'!$Y394+726*'BMP P Tracking Table'!$Z394+996.798*'BMP P Tracking Table'!$AA394)))))),"")</f>
        <v/>
      </c>
      <c r="BB394" s="102" t="str">
        <f>IFERROR((VLOOKUP(CONCATENATE('BMP P Tracking Table'!$AW394," ",'BMP P Tracking Table'!$AY394),'Performance Curves'!$C$1:$L$46,_xlfn.SINGLE(MATCH('BMP P Tracking Table'!$BA394,'Performance Curves'!$D$1:$L$1,1))+2,FALSE)-VLOOKUP(CONCATENATE('BMP P Tracking Table'!$AW394," ",'BMP P Tracking Table'!$AY394),'Performance Curves'!$C$1:$L$46,_xlfn.SINGLE(MATCH('BMP P Tracking Table'!$BA394,'Performance Curves'!$D$1:$L$1,1))+1,FALSE)),"")</f>
        <v/>
      </c>
      <c r="BC394" s="102" t="str">
        <f>IFERROR(('BMP P Tracking Table'!$BA394-INDEX('Performance Curves'!$D$1:$L$1,1,MATCH('BMP P Tracking Table'!$BA394,'Performance Curves'!$D$1:$L$1,1)))/(INDEX('Performance Curves'!$D$1:$L$1,1,MATCH('BMP P Tracking Table'!$BA394,'Performance Curves'!$D$1:$L$1,1)+1)-INDEX('Performance Curves'!$D$1:$L$1,1,MATCH('BMP P Tracking Table'!$BA394,'Performance Curves'!$D$1:$L$1,1))),"")</f>
        <v/>
      </c>
      <c r="BD394" s="103" t="str" cm="1">
        <f t="array" ref="BD394">IFERROR(IF('BMP P Tracking Table'!$BA394=2,VLOOKUP(CONCATENATE('BMP P Tracking Table'!$AW394," ",'BMP P Tracking Table'!$AY394),'Performance Curves'!$C$1:$L$44,_xlfn.SINGLE(MATCH('BMP P Tracking Table'!$BA394,'Performance Curves'!$D$1:$L$1,1))+1,FALSE),'BMP P Tracking Table'!$BB394*'BMP P Tracking Table'!$BC394+VLOOKUP(CONCATENATE('BMP P Tracking Table'!$AW394," ",'BMP P Tracking Table'!$AY394),'Performance Curves'!$C$1:$L$44,_xlfn.SINGLE(MATCH('BMP P Tracking Table'!$BA394,'Performance Curves'!$D$1:$L$1,1))+1,FALSE)),"")</f>
        <v/>
      </c>
      <c r="BE394" s="104" t="str">
        <f>IFERROR('BMP P Tracking Table'!$BD394*'BMP P Tracking Table'!$AZ394,"")</f>
        <v/>
      </c>
      <c r="BF394" s="98"/>
      <c r="BG394" s="37">
        <f t="shared" si="40"/>
        <v>0</v>
      </c>
    </row>
    <row r="395" spans="2:59" s="36" customFormat="1">
      <c r="B395" s="65"/>
      <c r="C395" s="65"/>
      <c r="D395" s="65"/>
      <c r="E395" s="65"/>
      <c r="F395" s="94"/>
      <c r="G395" s="94"/>
      <c r="H395" s="65"/>
      <c r="I395" s="65"/>
      <c r="J395" s="65"/>
      <c r="K395" s="95"/>
      <c r="L395" s="65"/>
      <c r="M395" s="65"/>
      <c r="N395" s="65"/>
      <c r="O395" s="65"/>
      <c r="P395" s="65"/>
      <c r="Q395" s="65"/>
      <c r="R395" s="65" t="str">
        <f>IFERROR(VLOOKUP('BMP P Tracking Table'!$Q395,Dropdowns!$C$2:$E$15,3,FALSE),"")</f>
        <v/>
      </c>
      <c r="S395" s="65" t="str">
        <f>IFERROR(VLOOKUP('BMP P Tracking Table'!$R395,Dropdowns!$Q$3:$R$23,2,FALSE),"")</f>
        <v/>
      </c>
      <c r="T395" s="65"/>
      <c r="U395" s="65"/>
      <c r="V395" s="65"/>
      <c r="W395" s="65"/>
      <c r="X395" s="65"/>
      <c r="Y395" s="65"/>
      <c r="Z395" s="65"/>
      <c r="AA395" s="65"/>
      <c r="AB395" s="65"/>
      <c r="AC395" s="97"/>
      <c r="AD395" s="65"/>
      <c r="AE395" s="104" t="str">
        <f>IFERROR('BMP P Tracking Table'!$V395*VLOOKUP('BMP P Tracking Table'!$R395,'Loading Rates'!$B$1:$L$24,4,FALSE)+IF('BMP P Tracking Table'!$W395="By HSG",'BMP P Tracking Table'!$X395*VLOOKUP('BMP P Tracking Table'!$R395,'Loading Rates'!$B$1:$L$24,6,FALSE)+'BMP P Tracking Table'!$Y395*VLOOKUP('BMP P Tracking Table'!$R395,'Loading Rates'!$B$1:$L$24,7,FALSE)+'BMP P Tracking Table'!$Z395*VLOOKUP('BMP P Tracking Table'!$R395,'Loading Rates'!$B$1:$L$24,8,FALSE)+'BMP P Tracking Table'!$AA395*VLOOKUP('BMP P Tracking Table'!$R395,'Loading Rates'!$B$1:$L$24,9,FALSE),'BMP P Tracking Table'!$AB395*VLOOKUP('BMP P Tracking Table'!$R395,'Loading Rates'!$B$1:$L$24,10,FALSE)),"")</f>
        <v/>
      </c>
      <c r="AF395" s="104" t="str">
        <f>IFERROR(MIN(2,IF('BMP P Tracking Table'!$W395="Total Pervious",(-(3630*'BMP P Tracking Table'!$V395+20.691*'BMP P Tracking Table'!$AB395)+SQRT((3630*'BMP P Tracking Table'!$V395+20.691*'BMP P Tracking Table'!$AB395)^2-(4*(996.798*'BMP P Tracking Table'!$AB395)*-'BMP P Tracking Table'!$AC395)))/(2*(996.798*'BMP P Tracking Table'!$AB395)),IF(SUM('BMP P Tracking Table'!$X395:$AA395)=0,'BMP P Tracking Table'!$AC395/(-3630*'BMP P Tracking Table'!$V395),(-(3630*'BMP P Tracking Table'!$V395+20.691*'BMP P Tracking Table'!$AA395-216.711*'BMP P Tracking Table'!$Z395-83.853*'BMP P Tracking Table'!$Y395-42.834*'BMP P Tracking Table'!$X395)+SQRT((3630*'BMP P Tracking Table'!$V395+20.691*'BMP P Tracking Table'!$AA395-216.711*'BMP P Tracking Table'!$Z395-83.853*'BMP P Tracking Table'!$Y395-42.834*'BMP P Tracking Table'!$X395)^2-(4*(149.919*'BMP P Tracking Table'!$X395+236.676*'BMP P Tracking Table'!$Y395+726*'BMP P Tracking Table'!$Z395+996.798*'BMP P Tracking Table'!$AA395)*-'BMP P Tracking Table'!$AC395)))/(2*(149.919*'BMP P Tracking Table'!$X395+236.676*'BMP P Tracking Table'!$Y395+726*'BMP P Tracking Table'!$Z395+996.798*'BMP P Tracking Table'!$AA395))))),"")</f>
        <v/>
      </c>
      <c r="AG395" s="104" t="str">
        <f>IFERROR((VLOOKUP(CONCATENATE('BMP P Tracking Table'!$U395," ",'BMP P Tracking Table'!$AD395),'Performance Curves'!$C$1:$L$46,_xlfn.SINGLE(MATCH('BMP P Tracking Table'!$AF395,'Performance Curves'!$D$1:$L$1,1))+2,FALSE)-VLOOKUP(CONCATENATE('BMP P Tracking Table'!$U395," ",'BMP P Tracking Table'!$AD395),'Performance Curves'!$C$1:$L$46,_xlfn.SINGLE(MATCH('BMP P Tracking Table'!$AF395,'Performance Curves'!$D$1:$L$1,1))+1,FALSE)),"")</f>
        <v/>
      </c>
      <c r="AH395" s="104" t="str">
        <f>IFERROR(('BMP P Tracking Table'!$AF395-INDEX('Performance Curves'!$D$1:$L$1,1,MATCH('BMP P Tracking Table'!$AF395,'Performance Curves'!$D$1:$L$1,1)))/(INDEX('Performance Curves'!$D$1:$L$1,1,MATCH('BMP P Tracking Table'!$AF395,'Performance Curves'!$D$1:$L$1,1)+1)-INDEX('Performance Curves'!$D$1:$L$1,1,MATCH('BMP P Tracking Table'!$AF395,'Performance Curves'!$D$1:$L$1,1))),"")</f>
        <v/>
      </c>
      <c r="AI395" s="103" t="str">
        <f>IFERROR(IF('BMP P Tracking Table'!$AF395=2,VLOOKUP(CONCATENATE('BMP P Tracking Table'!$U395," ",'BMP P Tracking Table'!$AD395),'Performance Curves'!$C$1:$L$46,_xlfn.SINGLE(MATCH('BMP P Tracking Table'!$AF395,'Performance Curves'!$D$1:$L$1,1))+1,FALSE),'BMP P Tracking Table'!$AG395*'BMP P Tracking Table'!$AH395+VLOOKUP(CONCATENATE('BMP P Tracking Table'!$U395," ",'BMP P Tracking Table'!$AD395),'Performance Curves'!$C$1:$L$46,_xlfn.SINGLE(MATCH('BMP P Tracking Table'!$AF395,'Performance Curves'!$D$1:$L$1,1))+1,FALSE)),"")</f>
        <v/>
      </c>
      <c r="AJ395" s="104" t="str">
        <f>IFERROR('BMP P Tracking Table'!$AI395*'BMP P Tracking Table'!$AE395,"")</f>
        <v/>
      </c>
      <c r="AK395" s="65"/>
      <c r="AL395" s="98"/>
      <c r="AM395" s="98"/>
      <c r="AN395" s="64">
        <v>1</v>
      </c>
      <c r="AO395" s="102" t="str">
        <f t="shared" si="39"/>
        <v/>
      </c>
      <c r="AP395" s="98"/>
      <c r="AQ395" s="98"/>
      <c r="AR395" s="98"/>
      <c r="AS395" s="98"/>
      <c r="AT395" s="98"/>
      <c r="AU395" s="98"/>
      <c r="AV395" s="98"/>
      <c r="AW395" s="65"/>
      <c r="AX395" s="99"/>
      <c r="AY395" s="99"/>
      <c r="AZ395" s="104" t="str">
        <f>IF('BMP P Tracking Table'!$AL395="Yes",IF('BMP P Tracking Table'!$AM395="No",'BMP P Tracking Table'!$V395*VLOOKUP('BMP P Tracking Table'!$R395,'Loading Rates'!$B$1:$L$24,4,FALSE)+IF('BMP P Tracking Table'!$W395="By HSG",'BMP P Tracking Table'!$X395*VLOOKUP('BMP P Tracking Table'!$R395,'Loading Rates'!$B$1:$L$24,6,FALSE)+'BMP P Tracking Table'!$Y395*VLOOKUP('BMP P Tracking Table'!$R395,'Loading Rates'!$B$1:$L$24,7,FALSE)+'BMP P Tracking Table'!$Z395*VLOOKUP('BMP P Tracking Table'!$R395,'Loading Rates'!$B$1:$L$24,8,FALSE)+'BMP P Tracking Table'!$AA395*VLOOKUP('BMP P Tracking Table'!$R395,'Loading Rates'!$B$1:$L$24,9,FALSE),'BMP P Tracking Table'!$AB395*VLOOKUP('BMP P Tracking Table'!$R395,'Loading Rates'!$B$1:$L$24,10,FALSE)),'BMP P Tracking Table'!$AP395*VLOOKUP('BMP P Tracking Table'!$R395,'Loading Rates'!$B$1:$L$24,4,FALSE)+IF('BMP P Tracking Table'!$AQ395="By HSG",'BMP P Tracking Table'!$AR395*VLOOKUP('BMP P Tracking Table'!$R395,'Loading Rates'!$B$1:$L$24,6,FALSE)+'BMP P Tracking Table'!$AS395*VLOOKUP('BMP P Tracking Table'!$R395,'Loading Rates'!$B$1:$L$24,7,FALSE)+'BMP P Tracking Table'!$AT395*VLOOKUP('BMP P Tracking Table'!$R395,'Loading Rates'!$B$1:$L$24,8,FALSE)+'BMP P Tracking Table'!$AU395*VLOOKUP('BMP P Tracking Table'!$R395,'Loading Rates'!$B$1:$L$24,9,FALSE),'BMP P Tracking Table'!$AV395*VLOOKUP('BMP P Tracking Table'!$R395,'Loading Rates'!$B$1:$L$24,10,FALSE))),"")</f>
        <v/>
      </c>
      <c r="BA395" s="104" t="str">
        <f>IFERROR(IF('BMP P Tracking Table'!$AM395="Yes",MIN(2,IF('BMP P Tracking Table'!$AQ395="Total Pervious",(-(3630*'BMP P Tracking Table'!$AP395+20.691*'BMP P Tracking Table'!$AV395)+SQRT((3630*'BMP P Tracking Table'!$AP395+20.691*'BMP P Tracking Table'!$AV395)^2-(4*(996.798*'BMP P Tracking Table'!$AV395)*-'BMP P Tracking Table'!$AX395)))/(2*(996.798*'BMP P Tracking Table'!$AV395)),IF(SUM('BMP P Tracking Table'!$AR395:$AU395)=0,'BMP P Tracking Table'!$AV395/(-3630*'BMP P Tracking Table'!$AP395),(-(3630*'BMP P Tracking Table'!$AP395+20.691*'BMP P Tracking Table'!$AU395-216.711*'BMP P Tracking Table'!$AT395-83.853*'BMP P Tracking Table'!$AS395-42.834*'BMP P Tracking Table'!$AR395)+SQRT((3630*'BMP P Tracking Table'!$AP395+20.691*'BMP P Tracking Table'!$AU395-216.711*'BMP P Tracking Table'!$AT395-83.853*'BMP P Tracking Table'!$AS395-42.834*'BMP P Tracking Table'!$AR395)^2-(4*(149.919*'BMP P Tracking Table'!$AR395+236.676*'BMP P Tracking Table'!$AS395+726*'BMP P Tracking Table'!$AT395+996.798*'BMP P Tracking Table'!$AU395)*-'BMP P Tracking Table'!$AX395)))/(2*(149.919*'BMP P Tracking Table'!$AR395+236.676*'BMP P Tracking Table'!$AS395+726*'BMP P Tracking Table'!$AT395+996.798*'BMP P Tracking Table'!$AU395))))),MIN(2,IF('BMP P Tracking Table'!$AQ395="Total Pervious",(-(3630*'BMP P Tracking Table'!$V395+20.691*'BMP P Tracking Table'!$AB395)+SQRT((3630*'BMP P Tracking Table'!$V395+20.691*'BMP P Tracking Table'!$AB395)^2-(4*(996.798*'BMP P Tracking Table'!$AB395)*-'BMP P Tracking Table'!$AX395)))/(2*(996.798*'BMP P Tracking Table'!$AB395)),IF(SUM('BMP P Tracking Table'!$X395:$AA395)=0,'BMP P Tracking Table'!$AX395/(-3630*'BMP P Tracking Table'!$V395),(-(3630*'BMP P Tracking Table'!$V395+20.691*'BMP P Tracking Table'!$AA395-216.711*'BMP P Tracking Table'!$Z395-83.853*'BMP P Tracking Table'!$Y395-42.834*'BMP P Tracking Table'!$X395)+SQRT((3630*'BMP P Tracking Table'!$V395+20.691*'BMP P Tracking Table'!$AA395-216.711*'BMP P Tracking Table'!$Z395-83.853*'BMP P Tracking Table'!$Y395-42.834*'BMP P Tracking Table'!$X395)^2-(4*(149.919*'BMP P Tracking Table'!$X395+236.676*'BMP P Tracking Table'!$Y395+726*'BMP P Tracking Table'!$Z395+996.798*'BMP P Tracking Table'!$AA395)*-'BMP P Tracking Table'!$AX395)))/(2*(149.919*'BMP P Tracking Table'!$X395+236.676*'BMP P Tracking Table'!$Y395+726*'BMP P Tracking Table'!$Z395+996.798*'BMP P Tracking Table'!$AA395)))))),"")</f>
        <v/>
      </c>
      <c r="BB395" s="102" t="str">
        <f>IFERROR((VLOOKUP(CONCATENATE('BMP P Tracking Table'!$AW395," ",'BMP P Tracking Table'!$AY395),'Performance Curves'!$C$1:$L$46,_xlfn.SINGLE(MATCH('BMP P Tracking Table'!$BA395,'Performance Curves'!$D$1:$L$1,1))+2,FALSE)-VLOOKUP(CONCATENATE('BMP P Tracking Table'!$AW395," ",'BMP P Tracking Table'!$AY395),'Performance Curves'!$C$1:$L$46,_xlfn.SINGLE(MATCH('BMP P Tracking Table'!$BA395,'Performance Curves'!$D$1:$L$1,1))+1,FALSE)),"")</f>
        <v/>
      </c>
      <c r="BC395" s="102" t="str">
        <f>IFERROR(('BMP P Tracking Table'!$BA395-INDEX('Performance Curves'!$D$1:$L$1,1,MATCH('BMP P Tracking Table'!$BA395,'Performance Curves'!$D$1:$L$1,1)))/(INDEX('Performance Curves'!$D$1:$L$1,1,MATCH('BMP P Tracking Table'!$BA395,'Performance Curves'!$D$1:$L$1,1)+1)-INDEX('Performance Curves'!$D$1:$L$1,1,MATCH('BMP P Tracking Table'!$BA395,'Performance Curves'!$D$1:$L$1,1))),"")</f>
        <v/>
      </c>
      <c r="BD395" s="103" t="str" cm="1">
        <f t="array" ref="BD395">IFERROR(IF('BMP P Tracking Table'!$BA395=2,VLOOKUP(CONCATENATE('BMP P Tracking Table'!$AW395," ",'BMP P Tracking Table'!$AY395),'Performance Curves'!$C$1:$L$44,_xlfn.SINGLE(MATCH('BMP P Tracking Table'!$BA395,'Performance Curves'!$D$1:$L$1,1))+1,FALSE),'BMP P Tracking Table'!$BB395*'BMP P Tracking Table'!$BC395+VLOOKUP(CONCATENATE('BMP P Tracking Table'!$AW395," ",'BMP P Tracking Table'!$AY395),'Performance Curves'!$C$1:$L$44,_xlfn.SINGLE(MATCH('BMP P Tracking Table'!$BA395,'Performance Curves'!$D$1:$L$1,1))+1,FALSE)),"")</f>
        <v/>
      </c>
      <c r="BE395" s="104" t="str">
        <f>IFERROR('BMP P Tracking Table'!$BD395*'BMP P Tracking Table'!$AZ395,"")</f>
        <v/>
      </c>
      <c r="BF395" s="98"/>
      <c r="BG395" s="37">
        <f t="shared" si="40"/>
        <v>0</v>
      </c>
    </row>
    <row r="396" spans="2:59" s="36" customFormat="1">
      <c r="B396" s="65"/>
      <c r="C396" s="65"/>
      <c r="D396" s="65"/>
      <c r="E396" s="65"/>
      <c r="F396" s="94"/>
      <c r="G396" s="94"/>
      <c r="H396" s="65"/>
      <c r="I396" s="65"/>
      <c r="J396" s="65"/>
      <c r="K396" s="95"/>
      <c r="L396" s="65"/>
      <c r="M396" s="65"/>
      <c r="N396" s="65"/>
      <c r="O396" s="65"/>
      <c r="P396" s="65"/>
      <c r="Q396" s="65"/>
      <c r="R396" s="65" t="str">
        <f>IFERROR(VLOOKUP('BMP P Tracking Table'!$Q396,Dropdowns!$C$2:$E$15,3,FALSE),"")</f>
        <v/>
      </c>
      <c r="S396" s="65" t="str">
        <f>IFERROR(VLOOKUP('BMP P Tracking Table'!$R396,Dropdowns!$Q$3:$R$23,2,FALSE),"")</f>
        <v/>
      </c>
      <c r="T396" s="65"/>
      <c r="U396" s="65"/>
      <c r="V396" s="65"/>
      <c r="W396" s="65"/>
      <c r="X396" s="65"/>
      <c r="Y396" s="65"/>
      <c r="Z396" s="65"/>
      <c r="AA396" s="65"/>
      <c r="AB396" s="65"/>
      <c r="AC396" s="97"/>
      <c r="AD396" s="65"/>
      <c r="AE396" s="104" t="str">
        <f>IFERROR('BMP P Tracking Table'!$V396*VLOOKUP('BMP P Tracking Table'!$R396,'Loading Rates'!$B$1:$L$24,4,FALSE)+IF('BMP P Tracking Table'!$W396="By HSG",'BMP P Tracking Table'!$X396*VLOOKUP('BMP P Tracking Table'!$R396,'Loading Rates'!$B$1:$L$24,6,FALSE)+'BMP P Tracking Table'!$Y396*VLOOKUP('BMP P Tracking Table'!$R396,'Loading Rates'!$B$1:$L$24,7,FALSE)+'BMP P Tracking Table'!$Z396*VLOOKUP('BMP P Tracking Table'!$R396,'Loading Rates'!$B$1:$L$24,8,FALSE)+'BMP P Tracking Table'!$AA396*VLOOKUP('BMP P Tracking Table'!$R396,'Loading Rates'!$B$1:$L$24,9,FALSE),'BMP P Tracking Table'!$AB396*VLOOKUP('BMP P Tracking Table'!$R396,'Loading Rates'!$B$1:$L$24,10,FALSE)),"")</f>
        <v/>
      </c>
      <c r="AF396" s="104" t="str">
        <f>IFERROR(MIN(2,IF('BMP P Tracking Table'!$W396="Total Pervious",(-(3630*'BMP P Tracking Table'!$V396+20.691*'BMP P Tracking Table'!$AB396)+SQRT((3630*'BMP P Tracking Table'!$V396+20.691*'BMP P Tracking Table'!$AB396)^2-(4*(996.798*'BMP P Tracking Table'!$AB396)*-'BMP P Tracking Table'!$AC396)))/(2*(996.798*'BMP P Tracking Table'!$AB396)),IF(SUM('BMP P Tracking Table'!$X396:$AA396)=0,'BMP P Tracking Table'!$AC396/(-3630*'BMP P Tracking Table'!$V396),(-(3630*'BMP P Tracking Table'!$V396+20.691*'BMP P Tracking Table'!$AA396-216.711*'BMP P Tracking Table'!$Z396-83.853*'BMP P Tracking Table'!$Y396-42.834*'BMP P Tracking Table'!$X396)+SQRT((3630*'BMP P Tracking Table'!$V396+20.691*'BMP P Tracking Table'!$AA396-216.711*'BMP P Tracking Table'!$Z396-83.853*'BMP P Tracking Table'!$Y396-42.834*'BMP P Tracking Table'!$X396)^2-(4*(149.919*'BMP P Tracking Table'!$X396+236.676*'BMP P Tracking Table'!$Y396+726*'BMP P Tracking Table'!$Z396+996.798*'BMP P Tracking Table'!$AA396)*-'BMP P Tracking Table'!$AC396)))/(2*(149.919*'BMP P Tracking Table'!$X396+236.676*'BMP P Tracking Table'!$Y396+726*'BMP P Tracking Table'!$Z396+996.798*'BMP P Tracking Table'!$AA396))))),"")</f>
        <v/>
      </c>
      <c r="AG396" s="104" t="str">
        <f>IFERROR((VLOOKUP(CONCATENATE('BMP P Tracking Table'!$U396," ",'BMP P Tracking Table'!$AD396),'Performance Curves'!$C$1:$L$46,_xlfn.SINGLE(MATCH('BMP P Tracking Table'!$AF396,'Performance Curves'!$D$1:$L$1,1))+2,FALSE)-VLOOKUP(CONCATENATE('BMP P Tracking Table'!$U396," ",'BMP P Tracking Table'!$AD396),'Performance Curves'!$C$1:$L$46,_xlfn.SINGLE(MATCH('BMP P Tracking Table'!$AF396,'Performance Curves'!$D$1:$L$1,1))+1,FALSE)),"")</f>
        <v/>
      </c>
      <c r="AH396" s="104" t="str">
        <f>IFERROR(('BMP P Tracking Table'!$AF396-INDEX('Performance Curves'!$D$1:$L$1,1,MATCH('BMP P Tracking Table'!$AF396,'Performance Curves'!$D$1:$L$1,1)))/(INDEX('Performance Curves'!$D$1:$L$1,1,MATCH('BMP P Tracking Table'!$AF396,'Performance Curves'!$D$1:$L$1,1)+1)-INDEX('Performance Curves'!$D$1:$L$1,1,MATCH('BMP P Tracking Table'!$AF396,'Performance Curves'!$D$1:$L$1,1))),"")</f>
        <v/>
      </c>
      <c r="AI396" s="103" t="str">
        <f>IFERROR(IF('BMP P Tracking Table'!$AF396=2,VLOOKUP(CONCATENATE('BMP P Tracking Table'!$U396," ",'BMP P Tracking Table'!$AD396),'Performance Curves'!$C$1:$L$46,_xlfn.SINGLE(MATCH('BMP P Tracking Table'!$AF396,'Performance Curves'!$D$1:$L$1,1))+1,FALSE),'BMP P Tracking Table'!$AG396*'BMP P Tracking Table'!$AH396+VLOOKUP(CONCATENATE('BMP P Tracking Table'!$U396," ",'BMP P Tracking Table'!$AD396),'Performance Curves'!$C$1:$L$46,_xlfn.SINGLE(MATCH('BMP P Tracking Table'!$AF396,'Performance Curves'!$D$1:$L$1,1))+1,FALSE)),"")</f>
        <v/>
      </c>
      <c r="AJ396" s="104" t="str">
        <f>IFERROR('BMP P Tracking Table'!$AI396*'BMP P Tracking Table'!$AE396,"")</f>
        <v/>
      </c>
      <c r="AK396" s="65"/>
      <c r="AL396" s="98"/>
      <c r="AM396" s="98"/>
      <c r="AN396" s="64">
        <v>1</v>
      </c>
      <c r="AO396" s="102" t="str">
        <f t="shared" si="39"/>
        <v/>
      </c>
      <c r="AP396" s="98"/>
      <c r="AQ396" s="98"/>
      <c r="AR396" s="98"/>
      <c r="AS396" s="98"/>
      <c r="AT396" s="98"/>
      <c r="AU396" s="98"/>
      <c r="AV396" s="98"/>
      <c r="AW396" s="65"/>
      <c r="AX396" s="99"/>
      <c r="AY396" s="99"/>
      <c r="AZ396" s="104" t="str">
        <f>IF('BMP P Tracking Table'!$AL396="Yes",IF('BMP P Tracking Table'!$AM396="No",'BMP P Tracking Table'!$V396*VLOOKUP('BMP P Tracking Table'!$R396,'Loading Rates'!$B$1:$L$24,4,FALSE)+IF('BMP P Tracking Table'!$W396="By HSG",'BMP P Tracking Table'!$X396*VLOOKUP('BMP P Tracking Table'!$R396,'Loading Rates'!$B$1:$L$24,6,FALSE)+'BMP P Tracking Table'!$Y396*VLOOKUP('BMP P Tracking Table'!$R396,'Loading Rates'!$B$1:$L$24,7,FALSE)+'BMP P Tracking Table'!$Z396*VLOOKUP('BMP P Tracking Table'!$R396,'Loading Rates'!$B$1:$L$24,8,FALSE)+'BMP P Tracking Table'!$AA396*VLOOKUP('BMP P Tracking Table'!$R396,'Loading Rates'!$B$1:$L$24,9,FALSE),'BMP P Tracking Table'!$AB396*VLOOKUP('BMP P Tracking Table'!$R396,'Loading Rates'!$B$1:$L$24,10,FALSE)),'BMP P Tracking Table'!$AP396*VLOOKUP('BMP P Tracking Table'!$R396,'Loading Rates'!$B$1:$L$24,4,FALSE)+IF('BMP P Tracking Table'!$AQ396="By HSG",'BMP P Tracking Table'!$AR396*VLOOKUP('BMP P Tracking Table'!$R396,'Loading Rates'!$B$1:$L$24,6,FALSE)+'BMP P Tracking Table'!$AS396*VLOOKUP('BMP P Tracking Table'!$R396,'Loading Rates'!$B$1:$L$24,7,FALSE)+'BMP P Tracking Table'!$AT396*VLOOKUP('BMP P Tracking Table'!$R396,'Loading Rates'!$B$1:$L$24,8,FALSE)+'BMP P Tracking Table'!$AU396*VLOOKUP('BMP P Tracking Table'!$R396,'Loading Rates'!$B$1:$L$24,9,FALSE),'BMP P Tracking Table'!$AV396*VLOOKUP('BMP P Tracking Table'!$R396,'Loading Rates'!$B$1:$L$24,10,FALSE))),"")</f>
        <v/>
      </c>
      <c r="BA396" s="104" t="str">
        <f>IFERROR(IF('BMP P Tracking Table'!$AM396="Yes",MIN(2,IF('BMP P Tracking Table'!$AQ396="Total Pervious",(-(3630*'BMP P Tracking Table'!$AP396+20.691*'BMP P Tracking Table'!$AV396)+SQRT((3630*'BMP P Tracking Table'!$AP396+20.691*'BMP P Tracking Table'!$AV396)^2-(4*(996.798*'BMP P Tracking Table'!$AV396)*-'BMP P Tracking Table'!$AX396)))/(2*(996.798*'BMP P Tracking Table'!$AV396)),IF(SUM('BMP P Tracking Table'!$AR396:$AU396)=0,'BMP P Tracking Table'!$AV396/(-3630*'BMP P Tracking Table'!$AP396),(-(3630*'BMP P Tracking Table'!$AP396+20.691*'BMP P Tracking Table'!$AU396-216.711*'BMP P Tracking Table'!$AT396-83.853*'BMP P Tracking Table'!$AS396-42.834*'BMP P Tracking Table'!$AR396)+SQRT((3630*'BMP P Tracking Table'!$AP396+20.691*'BMP P Tracking Table'!$AU396-216.711*'BMP P Tracking Table'!$AT396-83.853*'BMP P Tracking Table'!$AS396-42.834*'BMP P Tracking Table'!$AR396)^2-(4*(149.919*'BMP P Tracking Table'!$AR396+236.676*'BMP P Tracking Table'!$AS396+726*'BMP P Tracking Table'!$AT396+996.798*'BMP P Tracking Table'!$AU396)*-'BMP P Tracking Table'!$AX396)))/(2*(149.919*'BMP P Tracking Table'!$AR396+236.676*'BMP P Tracking Table'!$AS396+726*'BMP P Tracking Table'!$AT396+996.798*'BMP P Tracking Table'!$AU396))))),MIN(2,IF('BMP P Tracking Table'!$AQ396="Total Pervious",(-(3630*'BMP P Tracking Table'!$V396+20.691*'BMP P Tracking Table'!$AB396)+SQRT((3630*'BMP P Tracking Table'!$V396+20.691*'BMP P Tracking Table'!$AB396)^2-(4*(996.798*'BMP P Tracking Table'!$AB396)*-'BMP P Tracking Table'!$AX396)))/(2*(996.798*'BMP P Tracking Table'!$AB396)),IF(SUM('BMP P Tracking Table'!$X396:$AA396)=0,'BMP P Tracking Table'!$AX396/(-3630*'BMP P Tracking Table'!$V396),(-(3630*'BMP P Tracking Table'!$V396+20.691*'BMP P Tracking Table'!$AA396-216.711*'BMP P Tracking Table'!$Z396-83.853*'BMP P Tracking Table'!$Y396-42.834*'BMP P Tracking Table'!$X396)+SQRT((3630*'BMP P Tracking Table'!$V396+20.691*'BMP P Tracking Table'!$AA396-216.711*'BMP P Tracking Table'!$Z396-83.853*'BMP P Tracking Table'!$Y396-42.834*'BMP P Tracking Table'!$X396)^2-(4*(149.919*'BMP P Tracking Table'!$X396+236.676*'BMP P Tracking Table'!$Y396+726*'BMP P Tracking Table'!$Z396+996.798*'BMP P Tracking Table'!$AA396)*-'BMP P Tracking Table'!$AX396)))/(2*(149.919*'BMP P Tracking Table'!$X396+236.676*'BMP P Tracking Table'!$Y396+726*'BMP P Tracking Table'!$Z396+996.798*'BMP P Tracking Table'!$AA396)))))),"")</f>
        <v/>
      </c>
      <c r="BB396" s="102" t="str">
        <f>IFERROR((VLOOKUP(CONCATENATE('BMP P Tracking Table'!$AW396," ",'BMP P Tracking Table'!$AY396),'Performance Curves'!$C$1:$L$46,_xlfn.SINGLE(MATCH('BMP P Tracking Table'!$BA396,'Performance Curves'!$D$1:$L$1,1))+2,FALSE)-VLOOKUP(CONCATENATE('BMP P Tracking Table'!$AW396," ",'BMP P Tracking Table'!$AY396),'Performance Curves'!$C$1:$L$46,_xlfn.SINGLE(MATCH('BMP P Tracking Table'!$BA396,'Performance Curves'!$D$1:$L$1,1))+1,FALSE)),"")</f>
        <v/>
      </c>
      <c r="BC396" s="102" t="str">
        <f>IFERROR(('BMP P Tracking Table'!$BA396-INDEX('Performance Curves'!$D$1:$L$1,1,MATCH('BMP P Tracking Table'!$BA396,'Performance Curves'!$D$1:$L$1,1)))/(INDEX('Performance Curves'!$D$1:$L$1,1,MATCH('BMP P Tracking Table'!$BA396,'Performance Curves'!$D$1:$L$1,1)+1)-INDEX('Performance Curves'!$D$1:$L$1,1,MATCH('BMP P Tracking Table'!$BA396,'Performance Curves'!$D$1:$L$1,1))),"")</f>
        <v/>
      </c>
      <c r="BD396" s="103" t="str" cm="1">
        <f t="array" ref="BD396">IFERROR(IF('BMP P Tracking Table'!$BA396=2,VLOOKUP(CONCATENATE('BMP P Tracking Table'!$AW396," ",'BMP P Tracking Table'!$AY396),'Performance Curves'!$C$1:$L$44,_xlfn.SINGLE(MATCH('BMP P Tracking Table'!$BA396,'Performance Curves'!$D$1:$L$1,1))+1,FALSE),'BMP P Tracking Table'!$BB396*'BMP P Tracking Table'!$BC396+VLOOKUP(CONCATENATE('BMP P Tracking Table'!$AW396," ",'BMP P Tracking Table'!$AY396),'Performance Curves'!$C$1:$L$44,_xlfn.SINGLE(MATCH('BMP P Tracking Table'!$BA396,'Performance Curves'!$D$1:$L$1,1))+1,FALSE)),"")</f>
        <v/>
      </c>
      <c r="BE396" s="104" t="str">
        <f>IFERROR('BMP P Tracking Table'!$BD396*'BMP P Tracking Table'!$AZ396,"")</f>
        <v/>
      </c>
      <c r="BF396" s="98"/>
      <c r="BG396" s="37">
        <f t="shared" si="40"/>
        <v>0</v>
      </c>
    </row>
    <row r="397" spans="2:59" s="36" customFormat="1">
      <c r="B397" s="65"/>
      <c r="C397" s="65"/>
      <c r="D397" s="65"/>
      <c r="E397" s="65"/>
      <c r="F397" s="94"/>
      <c r="G397" s="94"/>
      <c r="H397" s="65"/>
      <c r="I397" s="65"/>
      <c r="J397" s="65"/>
      <c r="K397" s="95"/>
      <c r="L397" s="65"/>
      <c r="M397" s="65"/>
      <c r="N397" s="65"/>
      <c r="O397" s="65"/>
      <c r="P397" s="65"/>
      <c r="Q397" s="65"/>
      <c r="R397" s="65" t="str">
        <f>IFERROR(VLOOKUP('BMP P Tracking Table'!$Q397,Dropdowns!$C$2:$E$15,3,FALSE),"")</f>
        <v/>
      </c>
      <c r="S397" s="65" t="str">
        <f>IFERROR(VLOOKUP('BMP P Tracking Table'!$R397,Dropdowns!$Q$3:$R$23,2,FALSE),"")</f>
        <v/>
      </c>
      <c r="T397" s="65"/>
      <c r="U397" s="65"/>
      <c r="V397" s="65"/>
      <c r="W397" s="65"/>
      <c r="X397" s="65"/>
      <c r="Y397" s="65"/>
      <c r="Z397" s="65"/>
      <c r="AA397" s="65"/>
      <c r="AB397" s="65"/>
      <c r="AC397" s="97"/>
      <c r="AD397" s="65"/>
      <c r="AE397" s="104" t="str">
        <f>IFERROR('BMP P Tracking Table'!$V397*VLOOKUP('BMP P Tracking Table'!$R397,'Loading Rates'!$B$1:$L$24,4,FALSE)+IF('BMP P Tracking Table'!$W397="By HSG",'BMP P Tracking Table'!$X397*VLOOKUP('BMP P Tracking Table'!$R397,'Loading Rates'!$B$1:$L$24,6,FALSE)+'BMP P Tracking Table'!$Y397*VLOOKUP('BMP P Tracking Table'!$R397,'Loading Rates'!$B$1:$L$24,7,FALSE)+'BMP P Tracking Table'!$Z397*VLOOKUP('BMP P Tracking Table'!$R397,'Loading Rates'!$B$1:$L$24,8,FALSE)+'BMP P Tracking Table'!$AA397*VLOOKUP('BMP P Tracking Table'!$R397,'Loading Rates'!$B$1:$L$24,9,FALSE),'BMP P Tracking Table'!$AB397*VLOOKUP('BMP P Tracking Table'!$R397,'Loading Rates'!$B$1:$L$24,10,FALSE)),"")</f>
        <v/>
      </c>
      <c r="AF397" s="104" t="str">
        <f>IFERROR(MIN(2,IF('BMP P Tracking Table'!$W397="Total Pervious",(-(3630*'BMP P Tracking Table'!$V397+20.691*'BMP P Tracking Table'!$AB397)+SQRT((3630*'BMP P Tracking Table'!$V397+20.691*'BMP P Tracking Table'!$AB397)^2-(4*(996.798*'BMP P Tracking Table'!$AB397)*-'BMP P Tracking Table'!$AC397)))/(2*(996.798*'BMP P Tracking Table'!$AB397)),IF(SUM('BMP P Tracking Table'!$X397:$AA397)=0,'BMP P Tracking Table'!$AC397/(-3630*'BMP P Tracking Table'!$V397),(-(3630*'BMP P Tracking Table'!$V397+20.691*'BMP P Tracking Table'!$AA397-216.711*'BMP P Tracking Table'!$Z397-83.853*'BMP P Tracking Table'!$Y397-42.834*'BMP P Tracking Table'!$X397)+SQRT((3630*'BMP P Tracking Table'!$V397+20.691*'BMP P Tracking Table'!$AA397-216.711*'BMP P Tracking Table'!$Z397-83.853*'BMP P Tracking Table'!$Y397-42.834*'BMP P Tracking Table'!$X397)^2-(4*(149.919*'BMP P Tracking Table'!$X397+236.676*'BMP P Tracking Table'!$Y397+726*'BMP P Tracking Table'!$Z397+996.798*'BMP P Tracking Table'!$AA397)*-'BMP P Tracking Table'!$AC397)))/(2*(149.919*'BMP P Tracking Table'!$X397+236.676*'BMP P Tracking Table'!$Y397+726*'BMP P Tracking Table'!$Z397+996.798*'BMP P Tracking Table'!$AA397))))),"")</f>
        <v/>
      </c>
      <c r="AG397" s="104" t="str">
        <f>IFERROR((VLOOKUP(CONCATENATE('BMP P Tracking Table'!$U397," ",'BMP P Tracking Table'!$AD397),'Performance Curves'!$C$1:$L$46,_xlfn.SINGLE(MATCH('BMP P Tracking Table'!$AF397,'Performance Curves'!$D$1:$L$1,1))+2,FALSE)-VLOOKUP(CONCATENATE('BMP P Tracking Table'!$U397," ",'BMP P Tracking Table'!$AD397),'Performance Curves'!$C$1:$L$46,_xlfn.SINGLE(MATCH('BMP P Tracking Table'!$AF397,'Performance Curves'!$D$1:$L$1,1))+1,FALSE)),"")</f>
        <v/>
      </c>
      <c r="AH397" s="104" t="str">
        <f>IFERROR(('BMP P Tracking Table'!$AF397-INDEX('Performance Curves'!$D$1:$L$1,1,MATCH('BMP P Tracking Table'!$AF397,'Performance Curves'!$D$1:$L$1,1)))/(INDEX('Performance Curves'!$D$1:$L$1,1,MATCH('BMP P Tracking Table'!$AF397,'Performance Curves'!$D$1:$L$1,1)+1)-INDEX('Performance Curves'!$D$1:$L$1,1,MATCH('BMP P Tracking Table'!$AF397,'Performance Curves'!$D$1:$L$1,1))),"")</f>
        <v/>
      </c>
      <c r="AI397" s="103" t="str">
        <f>IFERROR(IF('BMP P Tracking Table'!$AF397=2,VLOOKUP(CONCATENATE('BMP P Tracking Table'!$U397," ",'BMP P Tracking Table'!$AD397),'Performance Curves'!$C$1:$L$46,_xlfn.SINGLE(MATCH('BMP P Tracking Table'!$AF397,'Performance Curves'!$D$1:$L$1,1))+1,FALSE),'BMP P Tracking Table'!$AG397*'BMP P Tracking Table'!$AH397+VLOOKUP(CONCATENATE('BMP P Tracking Table'!$U397," ",'BMP P Tracking Table'!$AD397),'Performance Curves'!$C$1:$L$46,_xlfn.SINGLE(MATCH('BMP P Tracking Table'!$AF397,'Performance Curves'!$D$1:$L$1,1))+1,FALSE)),"")</f>
        <v/>
      </c>
      <c r="AJ397" s="104" t="str">
        <f>IFERROR('BMP P Tracking Table'!$AI397*'BMP P Tracking Table'!$AE397,"")</f>
        <v/>
      </c>
      <c r="AK397" s="65"/>
      <c r="AL397" s="98"/>
      <c r="AM397" s="98"/>
      <c r="AN397" s="64">
        <v>1</v>
      </c>
      <c r="AO397" s="102" t="str">
        <f t="shared" si="39"/>
        <v/>
      </c>
      <c r="AP397" s="98"/>
      <c r="AQ397" s="98"/>
      <c r="AR397" s="98"/>
      <c r="AS397" s="98"/>
      <c r="AT397" s="98"/>
      <c r="AU397" s="98"/>
      <c r="AV397" s="98"/>
      <c r="AW397" s="65"/>
      <c r="AX397" s="99"/>
      <c r="AY397" s="99"/>
      <c r="AZ397" s="104" t="str">
        <f>IF('BMP P Tracking Table'!$AL397="Yes",IF('BMP P Tracking Table'!$AM397="No",'BMP P Tracking Table'!$V397*VLOOKUP('BMP P Tracking Table'!$R397,'Loading Rates'!$B$1:$L$24,4,FALSE)+IF('BMP P Tracking Table'!$W397="By HSG",'BMP P Tracking Table'!$X397*VLOOKUP('BMP P Tracking Table'!$R397,'Loading Rates'!$B$1:$L$24,6,FALSE)+'BMP P Tracking Table'!$Y397*VLOOKUP('BMP P Tracking Table'!$R397,'Loading Rates'!$B$1:$L$24,7,FALSE)+'BMP P Tracking Table'!$Z397*VLOOKUP('BMP P Tracking Table'!$R397,'Loading Rates'!$B$1:$L$24,8,FALSE)+'BMP P Tracking Table'!$AA397*VLOOKUP('BMP P Tracking Table'!$R397,'Loading Rates'!$B$1:$L$24,9,FALSE),'BMP P Tracking Table'!$AB397*VLOOKUP('BMP P Tracking Table'!$R397,'Loading Rates'!$B$1:$L$24,10,FALSE)),'BMP P Tracking Table'!$AP397*VLOOKUP('BMP P Tracking Table'!$R397,'Loading Rates'!$B$1:$L$24,4,FALSE)+IF('BMP P Tracking Table'!$AQ397="By HSG",'BMP P Tracking Table'!$AR397*VLOOKUP('BMP P Tracking Table'!$R397,'Loading Rates'!$B$1:$L$24,6,FALSE)+'BMP P Tracking Table'!$AS397*VLOOKUP('BMP P Tracking Table'!$R397,'Loading Rates'!$B$1:$L$24,7,FALSE)+'BMP P Tracking Table'!$AT397*VLOOKUP('BMP P Tracking Table'!$R397,'Loading Rates'!$B$1:$L$24,8,FALSE)+'BMP P Tracking Table'!$AU397*VLOOKUP('BMP P Tracking Table'!$R397,'Loading Rates'!$B$1:$L$24,9,FALSE),'BMP P Tracking Table'!$AV397*VLOOKUP('BMP P Tracking Table'!$R397,'Loading Rates'!$B$1:$L$24,10,FALSE))),"")</f>
        <v/>
      </c>
      <c r="BA397" s="104" t="str">
        <f>IFERROR(IF('BMP P Tracking Table'!$AM397="Yes",MIN(2,IF('BMP P Tracking Table'!$AQ397="Total Pervious",(-(3630*'BMP P Tracking Table'!$AP397+20.691*'BMP P Tracking Table'!$AV397)+SQRT((3630*'BMP P Tracking Table'!$AP397+20.691*'BMP P Tracking Table'!$AV397)^2-(4*(996.798*'BMP P Tracking Table'!$AV397)*-'BMP P Tracking Table'!$AX397)))/(2*(996.798*'BMP P Tracking Table'!$AV397)),IF(SUM('BMP P Tracking Table'!$AR397:$AU397)=0,'BMP P Tracking Table'!$AV397/(-3630*'BMP P Tracking Table'!$AP397),(-(3630*'BMP P Tracking Table'!$AP397+20.691*'BMP P Tracking Table'!$AU397-216.711*'BMP P Tracking Table'!$AT397-83.853*'BMP P Tracking Table'!$AS397-42.834*'BMP P Tracking Table'!$AR397)+SQRT((3630*'BMP P Tracking Table'!$AP397+20.691*'BMP P Tracking Table'!$AU397-216.711*'BMP P Tracking Table'!$AT397-83.853*'BMP P Tracking Table'!$AS397-42.834*'BMP P Tracking Table'!$AR397)^2-(4*(149.919*'BMP P Tracking Table'!$AR397+236.676*'BMP P Tracking Table'!$AS397+726*'BMP P Tracking Table'!$AT397+996.798*'BMP P Tracking Table'!$AU397)*-'BMP P Tracking Table'!$AX397)))/(2*(149.919*'BMP P Tracking Table'!$AR397+236.676*'BMP P Tracking Table'!$AS397+726*'BMP P Tracking Table'!$AT397+996.798*'BMP P Tracking Table'!$AU397))))),MIN(2,IF('BMP P Tracking Table'!$AQ397="Total Pervious",(-(3630*'BMP P Tracking Table'!$V397+20.691*'BMP P Tracking Table'!$AB397)+SQRT((3630*'BMP P Tracking Table'!$V397+20.691*'BMP P Tracking Table'!$AB397)^2-(4*(996.798*'BMP P Tracking Table'!$AB397)*-'BMP P Tracking Table'!$AX397)))/(2*(996.798*'BMP P Tracking Table'!$AB397)),IF(SUM('BMP P Tracking Table'!$X397:$AA397)=0,'BMP P Tracking Table'!$AX397/(-3630*'BMP P Tracking Table'!$V397),(-(3630*'BMP P Tracking Table'!$V397+20.691*'BMP P Tracking Table'!$AA397-216.711*'BMP P Tracking Table'!$Z397-83.853*'BMP P Tracking Table'!$Y397-42.834*'BMP P Tracking Table'!$X397)+SQRT((3630*'BMP P Tracking Table'!$V397+20.691*'BMP P Tracking Table'!$AA397-216.711*'BMP P Tracking Table'!$Z397-83.853*'BMP P Tracking Table'!$Y397-42.834*'BMP P Tracking Table'!$X397)^2-(4*(149.919*'BMP P Tracking Table'!$X397+236.676*'BMP P Tracking Table'!$Y397+726*'BMP P Tracking Table'!$Z397+996.798*'BMP P Tracking Table'!$AA397)*-'BMP P Tracking Table'!$AX397)))/(2*(149.919*'BMP P Tracking Table'!$X397+236.676*'BMP P Tracking Table'!$Y397+726*'BMP P Tracking Table'!$Z397+996.798*'BMP P Tracking Table'!$AA397)))))),"")</f>
        <v/>
      </c>
      <c r="BB397" s="102" t="str">
        <f>IFERROR((VLOOKUP(CONCATENATE('BMP P Tracking Table'!$AW397," ",'BMP P Tracking Table'!$AY397),'Performance Curves'!$C$1:$L$46,_xlfn.SINGLE(MATCH('BMP P Tracking Table'!$BA397,'Performance Curves'!$D$1:$L$1,1))+2,FALSE)-VLOOKUP(CONCATENATE('BMP P Tracking Table'!$AW397," ",'BMP P Tracking Table'!$AY397),'Performance Curves'!$C$1:$L$46,_xlfn.SINGLE(MATCH('BMP P Tracking Table'!$BA397,'Performance Curves'!$D$1:$L$1,1))+1,FALSE)),"")</f>
        <v/>
      </c>
      <c r="BC397" s="102" t="str">
        <f>IFERROR(('BMP P Tracking Table'!$BA397-INDEX('Performance Curves'!$D$1:$L$1,1,MATCH('BMP P Tracking Table'!$BA397,'Performance Curves'!$D$1:$L$1,1)))/(INDEX('Performance Curves'!$D$1:$L$1,1,MATCH('BMP P Tracking Table'!$BA397,'Performance Curves'!$D$1:$L$1,1)+1)-INDEX('Performance Curves'!$D$1:$L$1,1,MATCH('BMP P Tracking Table'!$BA397,'Performance Curves'!$D$1:$L$1,1))),"")</f>
        <v/>
      </c>
      <c r="BD397" s="103" t="str" cm="1">
        <f t="array" ref="BD397">IFERROR(IF('BMP P Tracking Table'!$BA397=2,VLOOKUP(CONCATENATE('BMP P Tracking Table'!$AW397," ",'BMP P Tracking Table'!$AY397),'Performance Curves'!$C$1:$L$44,_xlfn.SINGLE(MATCH('BMP P Tracking Table'!$BA397,'Performance Curves'!$D$1:$L$1,1))+1,FALSE),'BMP P Tracking Table'!$BB397*'BMP P Tracking Table'!$BC397+VLOOKUP(CONCATENATE('BMP P Tracking Table'!$AW397," ",'BMP P Tracking Table'!$AY397),'Performance Curves'!$C$1:$L$44,_xlfn.SINGLE(MATCH('BMP P Tracking Table'!$BA397,'Performance Curves'!$D$1:$L$1,1))+1,FALSE)),"")</f>
        <v/>
      </c>
      <c r="BE397" s="104" t="str">
        <f>IFERROR('BMP P Tracking Table'!$BD397*'BMP P Tracking Table'!$AZ397,"")</f>
        <v/>
      </c>
      <c r="BF397" s="98"/>
      <c r="BG397" s="37">
        <f t="shared" si="40"/>
        <v>0</v>
      </c>
    </row>
    <row r="398" spans="2:59" s="36" customFormat="1">
      <c r="B398" s="65"/>
      <c r="C398" s="65"/>
      <c r="D398" s="65"/>
      <c r="E398" s="65"/>
      <c r="F398" s="94"/>
      <c r="G398" s="94"/>
      <c r="H398" s="65"/>
      <c r="I398" s="65"/>
      <c r="J398" s="65"/>
      <c r="K398" s="95"/>
      <c r="L398" s="65"/>
      <c r="M398" s="65"/>
      <c r="N398" s="65"/>
      <c r="O398" s="65"/>
      <c r="P398" s="65"/>
      <c r="Q398" s="65"/>
      <c r="R398" s="65" t="str">
        <f>IFERROR(VLOOKUP('BMP P Tracking Table'!$Q398,Dropdowns!$C$2:$E$15,3,FALSE),"")</f>
        <v/>
      </c>
      <c r="S398" s="65" t="str">
        <f>IFERROR(VLOOKUP('BMP P Tracking Table'!$R398,Dropdowns!$Q$3:$R$23,2,FALSE),"")</f>
        <v/>
      </c>
      <c r="T398" s="65"/>
      <c r="U398" s="65"/>
      <c r="V398" s="65"/>
      <c r="W398" s="65"/>
      <c r="X398" s="65"/>
      <c r="Y398" s="65"/>
      <c r="Z398" s="65"/>
      <c r="AA398" s="65"/>
      <c r="AB398" s="65"/>
      <c r="AC398" s="97"/>
      <c r="AD398" s="65"/>
      <c r="AE398" s="104" t="str">
        <f>IFERROR('BMP P Tracking Table'!$V398*VLOOKUP('BMP P Tracking Table'!$R398,'Loading Rates'!$B$1:$L$24,4,FALSE)+IF('BMP P Tracking Table'!$W398="By HSG",'BMP P Tracking Table'!$X398*VLOOKUP('BMP P Tracking Table'!$R398,'Loading Rates'!$B$1:$L$24,6,FALSE)+'BMP P Tracking Table'!$Y398*VLOOKUP('BMP P Tracking Table'!$R398,'Loading Rates'!$B$1:$L$24,7,FALSE)+'BMP P Tracking Table'!$Z398*VLOOKUP('BMP P Tracking Table'!$R398,'Loading Rates'!$B$1:$L$24,8,FALSE)+'BMP P Tracking Table'!$AA398*VLOOKUP('BMP P Tracking Table'!$R398,'Loading Rates'!$B$1:$L$24,9,FALSE),'BMP P Tracking Table'!$AB398*VLOOKUP('BMP P Tracking Table'!$R398,'Loading Rates'!$B$1:$L$24,10,FALSE)),"")</f>
        <v/>
      </c>
      <c r="AF398" s="104" t="str">
        <f>IFERROR(MIN(2,IF('BMP P Tracking Table'!$W398="Total Pervious",(-(3630*'BMP P Tracking Table'!$V398+20.691*'BMP P Tracking Table'!$AB398)+SQRT((3630*'BMP P Tracking Table'!$V398+20.691*'BMP P Tracking Table'!$AB398)^2-(4*(996.798*'BMP P Tracking Table'!$AB398)*-'BMP P Tracking Table'!$AC398)))/(2*(996.798*'BMP P Tracking Table'!$AB398)),IF(SUM('BMP P Tracking Table'!$X398:$AA398)=0,'BMP P Tracking Table'!$AC398/(-3630*'BMP P Tracking Table'!$V398),(-(3630*'BMP P Tracking Table'!$V398+20.691*'BMP P Tracking Table'!$AA398-216.711*'BMP P Tracking Table'!$Z398-83.853*'BMP P Tracking Table'!$Y398-42.834*'BMP P Tracking Table'!$X398)+SQRT((3630*'BMP P Tracking Table'!$V398+20.691*'BMP P Tracking Table'!$AA398-216.711*'BMP P Tracking Table'!$Z398-83.853*'BMP P Tracking Table'!$Y398-42.834*'BMP P Tracking Table'!$X398)^2-(4*(149.919*'BMP P Tracking Table'!$X398+236.676*'BMP P Tracking Table'!$Y398+726*'BMP P Tracking Table'!$Z398+996.798*'BMP P Tracking Table'!$AA398)*-'BMP P Tracking Table'!$AC398)))/(2*(149.919*'BMP P Tracking Table'!$X398+236.676*'BMP P Tracking Table'!$Y398+726*'BMP P Tracking Table'!$Z398+996.798*'BMP P Tracking Table'!$AA398))))),"")</f>
        <v/>
      </c>
      <c r="AG398" s="104" t="str">
        <f>IFERROR((VLOOKUP(CONCATENATE('BMP P Tracking Table'!$U398," ",'BMP P Tracking Table'!$AD398),'Performance Curves'!$C$1:$L$46,_xlfn.SINGLE(MATCH('BMP P Tracking Table'!$AF398,'Performance Curves'!$D$1:$L$1,1))+2,FALSE)-VLOOKUP(CONCATENATE('BMP P Tracking Table'!$U398," ",'BMP P Tracking Table'!$AD398),'Performance Curves'!$C$1:$L$46,_xlfn.SINGLE(MATCH('BMP P Tracking Table'!$AF398,'Performance Curves'!$D$1:$L$1,1))+1,FALSE)),"")</f>
        <v/>
      </c>
      <c r="AH398" s="104" t="str">
        <f>IFERROR(('BMP P Tracking Table'!$AF398-INDEX('Performance Curves'!$D$1:$L$1,1,MATCH('BMP P Tracking Table'!$AF398,'Performance Curves'!$D$1:$L$1,1)))/(INDEX('Performance Curves'!$D$1:$L$1,1,MATCH('BMP P Tracking Table'!$AF398,'Performance Curves'!$D$1:$L$1,1)+1)-INDEX('Performance Curves'!$D$1:$L$1,1,MATCH('BMP P Tracking Table'!$AF398,'Performance Curves'!$D$1:$L$1,1))),"")</f>
        <v/>
      </c>
      <c r="AI398" s="103" t="str">
        <f>IFERROR(IF('BMP P Tracking Table'!$AF398=2,VLOOKUP(CONCATENATE('BMP P Tracking Table'!$U398," ",'BMP P Tracking Table'!$AD398),'Performance Curves'!$C$1:$L$46,_xlfn.SINGLE(MATCH('BMP P Tracking Table'!$AF398,'Performance Curves'!$D$1:$L$1,1))+1,FALSE),'BMP P Tracking Table'!$AG398*'BMP P Tracking Table'!$AH398+VLOOKUP(CONCATENATE('BMP P Tracking Table'!$U398," ",'BMP P Tracking Table'!$AD398),'Performance Curves'!$C$1:$L$46,_xlfn.SINGLE(MATCH('BMP P Tracking Table'!$AF398,'Performance Curves'!$D$1:$L$1,1))+1,FALSE)),"")</f>
        <v/>
      </c>
      <c r="AJ398" s="104" t="str">
        <f>IFERROR('BMP P Tracking Table'!$AI398*'BMP P Tracking Table'!$AE398,"")</f>
        <v/>
      </c>
      <c r="AK398" s="65"/>
      <c r="AL398" s="98"/>
      <c r="AM398" s="98"/>
      <c r="AN398" s="64">
        <v>1</v>
      </c>
      <c r="AO398" s="102" t="str">
        <f t="shared" si="39"/>
        <v/>
      </c>
      <c r="AP398" s="98"/>
      <c r="AQ398" s="98"/>
      <c r="AR398" s="98"/>
      <c r="AS398" s="98"/>
      <c r="AT398" s="98"/>
      <c r="AU398" s="98"/>
      <c r="AV398" s="98"/>
      <c r="AW398" s="65"/>
      <c r="AX398" s="99"/>
      <c r="AY398" s="99"/>
      <c r="AZ398" s="104" t="str">
        <f>IF('BMP P Tracking Table'!$AL398="Yes",IF('BMP P Tracking Table'!$AM398="No",'BMP P Tracking Table'!$V398*VLOOKUP('BMP P Tracking Table'!$R398,'Loading Rates'!$B$1:$L$24,4,FALSE)+IF('BMP P Tracking Table'!$W398="By HSG",'BMP P Tracking Table'!$X398*VLOOKUP('BMP P Tracking Table'!$R398,'Loading Rates'!$B$1:$L$24,6,FALSE)+'BMP P Tracking Table'!$Y398*VLOOKUP('BMP P Tracking Table'!$R398,'Loading Rates'!$B$1:$L$24,7,FALSE)+'BMP P Tracking Table'!$Z398*VLOOKUP('BMP P Tracking Table'!$R398,'Loading Rates'!$B$1:$L$24,8,FALSE)+'BMP P Tracking Table'!$AA398*VLOOKUP('BMP P Tracking Table'!$R398,'Loading Rates'!$B$1:$L$24,9,FALSE),'BMP P Tracking Table'!$AB398*VLOOKUP('BMP P Tracking Table'!$R398,'Loading Rates'!$B$1:$L$24,10,FALSE)),'BMP P Tracking Table'!$AP398*VLOOKUP('BMP P Tracking Table'!$R398,'Loading Rates'!$B$1:$L$24,4,FALSE)+IF('BMP P Tracking Table'!$AQ398="By HSG",'BMP P Tracking Table'!$AR398*VLOOKUP('BMP P Tracking Table'!$R398,'Loading Rates'!$B$1:$L$24,6,FALSE)+'BMP P Tracking Table'!$AS398*VLOOKUP('BMP P Tracking Table'!$R398,'Loading Rates'!$B$1:$L$24,7,FALSE)+'BMP P Tracking Table'!$AT398*VLOOKUP('BMP P Tracking Table'!$R398,'Loading Rates'!$B$1:$L$24,8,FALSE)+'BMP P Tracking Table'!$AU398*VLOOKUP('BMP P Tracking Table'!$R398,'Loading Rates'!$B$1:$L$24,9,FALSE),'BMP P Tracking Table'!$AV398*VLOOKUP('BMP P Tracking Table'!$R398,'Loading Rates'!$B$1:$L$24,10,FALSE))),"")</f>
        <v/>
      </c>
      <c r="BA398" s="104" t="str">
        <f>IFERROR(IF('BMP P Tracking Table'!$AM398="Yes",MIN(2,IF('BMP P Tracking Table'!$AQ398="Total Pervious",(-(3630*'BMP P Tracking Table'!$AP398+20.691*'BMP P Tracking Table'!$AV398)+SQRT((3630*'BMP P Tracking Table'!$AP398+20.691*'BMP P Tracking Table'!$AV398)^2-(4*(996.798*'BMP P Tracking Table'!$AV398)*-'BMP P Tracking Table'!$AX398)))/(2*(996.798*'BMP P Tracking Table'!$AV398)),IF(SUM('BMP P Tracking Table'!$AR398:$AU398)=0,'BMP P Tracking Table'!$AV398/(-3630*'BMP P Tracking Table'!$AP398),(-(3630*'BMP P Tracking Table'!$AP398+20.691*'BMP P Tracking Table'!$AU398-216.711*'BMP P Tracking Table'!$AT398-83.853*'BMP P Tracking Table'!$AS398-42.834*'BMP P Tracking Table'!$AR398)+SQRT((3630*'BMP P Tracking Table'!$AP398+20.691*'BMP P Tracking Table'!$AU398-216.711*'BMP P Tracking Table'!$AT398-83.853*'BMP P Tracking Table'!$AS398-42.834*'BMP P Tracking Table'!$AR398)^2-(4*(149.919*'BMP P Tracking Table'!$AR398+236.676*'BMP P Tracking Table'!$AS398+726*'BMP P Tracking Table'!$AT398+996.798*'BMP P Tracking Table'!$AU398)*-'BMP P Tracking Table'!$AX398)))/(2*(149.919*'BMP P Tracking Table'!$AR398+236.676*'BMP P Tracking Table'!$AS398+726*'BMP P Tracking Table'!$AT398+996.798*'BMP P Tracking Table'!$AU398))))),MIN(2,IF('BMP P Tracking Table'!$AQ398="Total Pervious",(-(3630*'BMP P Tracking Table'!$V398+20.691*'BMP P Tracking Table'!$AB398)+SQRT((3630*'BMP P Tracking Table'!$V398+20.691*'BMP P Tracking Table'!$AB398)^2-(4*(996.798*'BMP P Tracking Table'!$AB398)*-'BMP P Tracking Table'!$AX398)))/(2*(996.798*'BMP P Tracking Table'!$AB398)),IF(SUM('BMP P Tracking Table'!$X398:$AA398)=0,'BMP P Tracking Table'!$AX398/(-3630*'BMP P Tracking Table'!$V398),(-(3630*'BMP P Tracking Table'!$V398+20.691*'BMP P Tracking Table'!$AA398-216.711*'BMP P Tracking Table'!$Z398-83.853*'BMP P Tracking Table'!$Y398-42.834*'BMP P Tracking Table'!$X398)+SQRT((3630*'BMP P Tracking Table'!$V398+20.691*'BMP P Tracking Table'!$AA398-216.711*'BMP P Tracking Table'!$Z398-83.853*'BMP P Tracking Table'!$Y398-42.834*'BMP P Tracking Table'!$X398)^2-(4*(149.919*'BMP P Tracking Table'!$X398+236.676*'BMP P Tracking Table'!$Y398+726*'BMP P Tracking Table'!$Z398+996.798*'BMP P Tracking Table'!$AA398)*-'BMP P Tracking Table'!$AX398)))/(2*(149.919*'BMP P Tracking Table'!$X398+236.676*'BMP P Tracking Table'!$Y398+726*'BMP P Tracking Table'!$Z398+996.798*'BMP P Tracking Table'!$AA398)))))),"")</f>
        <v/>
      </c>
      <c r="BB398" s="102" t="str">
        <f>IFERROR((VLOOKUP(CONCATENATE('BMP P Tracking Table'!$AW398," ",'BMP P Tracking Table'!$AY398),'Performance Curves'!$C$1:$L$46,_xlfn.SINGLE(MATCH('BMP P Tracking Table'!$BA398,'Performance Curves'!$D$1:$L$1,1))+2,FALSE)-VLOOKUP(CONCATENATE('BMP P Tracking Table'!$AW398," ",'BMP P Tracking Table'!$AY398),'Performance Curves'!$C$1:$L$46,_xlfn.SINGLE(MATCH('BMP P Tracking Table'!$BA398,'Performance Curves'!$D$1:$L$1,1))+1,FALSE)),"")</f>
        <v/>
      </c>
      <c r="BC398" s="102" t="str">
        <f>IFERROR(('BMP P Tracking Table'!$BA398-INDEX('Performance Curves'!$D$1:$L$1,1,MATCH('BMP P Tracking Table'!$BA398,'Performance Curves'!$D$1:$L$1,1)))/(INDEX('Performance Curves'!$D$1:$L$1,1,MATCH('BMP P Tracking Table'!$BA398,'Performance Curves'!$D$1:$L$1,1)+1)-INDEX('Performance Curves'!$D$1:$L$1,1,MATCH('BMP P Tracking Table'!$BA398,'Performance Curves'!$D$1:$L$1,1))),"")</f>
        <v/>
      </c>
      <c r="BD398" s="103" t="str" cm="1">
        <f t="array" ref="BD398">IFERROR(IF('BMP P Tracking Table'!$BA398=2,VLOOKUP(CONCATENATE('BMP P Tracking Table'!$AW398," ",'BMP P Tracking Table'!$AY398),'Performance Curves'!$C$1:$L$44,_xlfn.SINGLE(MATCH('BMP P Tracking Table'!$BA398,'Performance Curves'!$D$1:$L$1,1))+1,FALSE),'BMP P Tracking Table'!$BB398*'BMP P Tracking Table'!$BC398+VLOOKUP(CONCATENATE('BMP P Tracking Table'!$AW398," ",'BMP P Tracking Table'!$AY398),'Performance Curves'!$C$1:$L$44,_xlfn.SINGLE(MATCH('BMP P Tracking Table'!$BA398,'Performance Curves'!$D$1:$L$1,1))+1,FALSE)),"")</f>
        <v/>
      </c>
      <c r="BE398" s="104" t="str">
        <f>IFERROR('BMP P Tracking Table'!$BD398*'BMP P Tracking Table'!$AZ398,"")</f>
        <v/>
      </c>
      <c r="BF398" s="92"/>
      <c r="BG398" s="37">
        <f t="shared" si="40"/>
        <v>0</v>
      </c>
    </row>
    <row r="399" spans="2:59" s="36" customFormat="1">
      <c r="B399" s="65"/>
      <c r="C399" s="65"/>
      <c r="D399" s="65"/>
      <c r="E399" s="65"/>
      <c r="F399" s="94"/>
      <c r="G399" s="94"/>
      <c r="H399" s="65"/>
      <c r="I399" s="65"/>
      <c r="J399" s="65"/>
      <c r="K399" s="95"/>
      <c r="L399" s="65"/>
      <c r="M399" s="65"/>
      <c r="N399" s="65"/>
      <c r="O399" s="65"/>
      <c r="P399" s="65"/>
      <c r="Q399" s="65"/>
      <c r="R399" s="65" t="str">
        <f>IFERROR(VLOOKUP('BMP P Tracking Table'!$Q399,Dropdowns!$C$2:$E$15,3,FALSE),"")</f>
        <v/>
      </c>
      <c r="S399" s="65" t="str">
        <f>IFERROR(VLOOKUP('BMP P Tracking Table'!$R399,Dropdowns!$Q$3:$R$23,2,FALSE),"")</f>
        <v/>
      </c>
      <c r="T399" s="65"/>
      <c r="U399" s="65"/>
      <c r="V399" s="65"/>
      <c r="W399" s="65"/>
      <c r="X399" s="65"/>
      <c r="Y399" s="65"/>
      <c r="Z399" s="65"/>
      <c r="AA399" s="65"/>
      <c r="AB399" s="65"/>
      <c r="AC399" s="97"/>
      <c r="AD399" s="65"/>
      <c r="AE399" s="104" t="str">
        <f>IFERROR('BMP P Tracking Table'!$V399*VLOOKUP('BMP P Tracking Table'!$R399,'Loading Rates'!$B$1:$L$24,4,FALSE)+IF('BMP P Tracking Table'!$W399="By HSG",'BMP P Tracking Table'!$X399*VLOOKUP('BMP P Tracking Table'!$R399,'Loading Rates'!$B$1:$L$24,6,FALSE)+'BMP P Tracking Table'!$Y399*VLOOKUP('BMP P Tracking Table'!$R399,'Loading Rates'!$B$1:$L$24,7,FALSE)+'BMP P Tracking Table'!$Z399*VLOOKUP('BMP P Tracking Table'!$R399,'Loading Rates'!$B$1:$L$24,8,FALSE)+'BMP P Tracking Table'!$AA399*VLOOKUP('BMP P Tracking Table'!$R399,'Loading Rates'!$B$1:$L$24,9,FALSE),'BMP P Tracking Table'!$AB399*VLOOKUP('BMP P Tracking Table'!$R399,'Loading Rates'!$B$1:$L$24,10,FALSE)),"")</f>
        <v/>
      </c>
      <c r="AF399" s="104" t="str">
        <f>IFERROR(MIN(2,IF('BMP P Tracking Table'!$W399="Total Pervious",(-(3630*'BMP P Tracking Table'!$V399+20.691*'BMP P Tracking Table'!$AB399)+SQRT((3630*'BMP P Tracking Table'!$V399+20.691*'BMP P Tracking Table'!$AB399)^2-(4*(996.798*'BMP P Tracking Table'!$AB399)*-'BMP P Tracking Table'!$AC399)))/(2*(996.798*'BMP P Tracking Table'!$AB399)),IF(SUM('BMP P Tracking Table'!$X399:$AA399)=0,'BMP P Tracking Table'!$AC399/(-3630*'BMP P Tracking Table'!$V399),(-(3630*'BMP P Tracking Table'!$V399+20.691*'BMP P Tracking Table'!$AA399-216.711*'BMP P Tracking Table'!$Z399-83.853*'BMP P Tracking Table'!$Y399-42.834*'BMP P Tracking Table'!$X399)+SQRT((3630*'BMP P Tracking Table'!$V399+20.691*'BMP P Tracking Table'!$AA399-216.711*'BMP P Tracking Table'!$Z399-83.853*'BMP P Tracking Table'!$Y399-42.834*'BMP P Tracking Table'!$X399)^2-(4*(149.919*'BMP P Tracking Table'!$X399+236.676*'BMP P Tracking Table'!$Y399+726*'BMP P Tracking Table'!$Z399+996.798*'BMP P Tracking Table'!$AA399)*-'BMP P Tracking Table'!$AC399)))/(2*(149.919*'BMP P Tracking Table'!$X399+236.676*'BMP P Tracking Table'!$Y399+726*'BMP P Tracking Table'!$Z399+996.798*'BMP P Tracking Table'!$AA399))))),"")</f>
        <v/>
      </c>
      <c r="AG399" s="104" t="str">
        <f>IFERROR((VLOOKUP(CONCATENATE('BMP P Tracking Table'!$U399," ",'BMP P Tracking Table'!$AD399),'Performance Curves'!$C$1:$L$46,_xlfn.SINGLE(MATCH('BMP P Tracking Table'!$AF399,'Performance Curves'!$D$1:$L$1,1))+2,FALSE)-VLOOKUP(CONCATENATE('BMP P Tracking Table'!$U399," ",'BMP P Tracking Table'!$AD399),'Performance Curves'!$C$1:$L$46,_xlfn.SINGLE(MATCH('BMP P Tracking Table'!$AF399,'Performance Curves'!$D$1:$L$1,1))+1,FALSE)),"")</f>
        <v/>
      </c>
      <c r="AH399" s="104" t="str">
        <f>IFERROR(('BMP P Tracking Table'!$AF399-INDEX('Performance Curves'!$D$1:$L$1,1,MATCH('BMP P Tracking Table'!$AF399,'Performance Curves'!$D$1:$L$1,1)))/(INDEX('Performance Curves'!$D$1:$L$1,1,MATCH('BMP P Tracking Table'!$AF399,'Performance Curves'!$D$1:$L$1,1)+1)-INDEX('Performance Curves'!$D$1:$L$1,1,MATCH('BMP P Tracking Table'!$AF399,'Performance Curves'!$D$1:$L$1,1))),"")</f>
        <v/>
      </c>
      <c r="AI399" s="103" t="str">
        <f>IFERROR(IF('BMP P Tracking Table'!$AF399=2,VLOOKUP(CONCATENATE('BMP P Tracking Table'!$U399," ",'BMP P Tracking Table'!$AD399),'Performance Curves'!$C$1:$L$46,_xlfn.SINGLE(MATCH('BMP P Tracking Table'!$AF399,'Performance Curves'!$D$1:$L$1,1))+1,FALSE),'BMP P Tracking Table'!$AG399*'BMP P Tracking Table'!$AH399+VLOOKUP(CONCATENATE('BMP P Tracking Table'!$U399," ",'BMP P Tracking Table'!$AD399),'Performance Curves'!$C$1:$L$46,_xlfn.SINGLE(MATCH('BMP P Tracking Table'!$AF399,'Performance Curves'!$D$1:$L$1,1))+1,FALSE)),"")</f>
        <v/>
      </c>
      <c r="AJ399" s="104" t="str">
        <f>IFERROR('BMP P Tracking Table'!$AI399*'BMP P Tracking Table'!$AE399,"")</f>
        <v/>
      </c>
      <c r="AK399" s="65"/>
      <c r="AL399" s="98"/>
      <c r="AM399" s="98"/>
      <c r="AN399" s="64">
        <v>1</v>
      </c>
      <c r="AO399" s="102" t="str">
        <f t="shared" si="39"/>
        <v/>
      </c>
      <c r="AP399" s="98"/>
      <c r="AQ399" s="98"/>
      <c r="AR399" s="98"/>
      <c r="AS399" s="98"/>
      <c r="AT399" s="98"/>
      <c r="AU399" s="98"/>
      <c r="AV399" s="98"/>
      <c r="AW399" s="65"/>
      <c r="AX399" s="99"/>
      <c r="AY399" s="99"/>
      <c r="AZ399" s="104" t="str">
        <f>IF('BMP P Tracking Table'!$AL399="Yes",IF('BMP P Tracking Table'!$AM399="No",'BMP P Tracking Table'!$V399*VLOOKUP('BMP P Tracking Table'!$R399,'Loading Rates'!$B$1:$L$24,4,FALSE)+IF('BMP P Tracking Table'!$W399="By HSG",'BMP P Tracking Table'!$X399*VLOOKUP('BMP P Tracking Table'!$R399,'Loading Rates'!$B$1:$L$24,6,FALSE)+'BMP P Tracking Table'!$Y399*VLOOKUP('BMP P Tracking Table'!$R399,'Loading Rates'!$B$1:$L$24,7,FALSE)+'BMP P Tracking Table'!$Z399*VLOOKUP('BMP P Tracking Table'!$R399,'Loading Rates'!$B$1:$L$24,8,FALSE)+'BMP P Tracking Table'!$AA399*VLOOKUP('BMP P Tracking Table'!$R399,'Loading Rates'!$B$1:$L$24,9,FALSE),'BMP P Tracking Table'!$AB399*VLOOKUP('BMP P Tracking Table'!$R399,'Loading Rates'!$B$1:$L$24,10,FALSE)),'BMP P Tracking Table'!$AP399*VLOOKUP('BMP P Tracking Table'!$R399,'Loading Rates'!$B$1:$L$24,4,FALSE)+IF('BMP P Tracking Table'!$AQ399="By HSG",'BMP P Tracking Table'!$AR399*VLOOKUP('BMP P Tracking Table'!$R399,'Loading Rates'!$B$1:$L$24,6,FALSE)+'BMP P Tracking Table'!$AS399*VLOOKUP('BMP P Tracking Table'!$R399,'Loading Rates'!$B$1:$L$24,7,FALSE)+'BMP P Tracking Table'!$AT399*VLOOKUP('BMP P Tracking Table'!$R399,'Loading Rates'!$B$1:$L$24,8,FALSE)+'BMP P Tracking Table'!$AU399*VLOOKUP('BMP P Tracking Table'!$R399,'Loading Rates'!$B$1:$L$24,9,FALSE),'BMP P Tracking Table'!$AV399*VLOOKUP('BMP P Tracking Table'!$R399,'Loading Rates'!$B$1:$L$24,10,FALSE))),"")</f>
        <v/>
      </c>
      <c r="BA399" s="104" t="str">
        <f>IFERROR(IF('BMP P Tracking Table'!$AM399="Yes",MIN(2,IF('BMP P Tracking Table'!$AQ399="Total Pervious",(-(3630*'BMP P Tracking Table'!$AP399+20.691*'BMP P Tracking Table'!$AV399)+SQRT((3630*'BMP P Tracking Table'!$AP399+20.691*'BMP P Tracking Table'!$AV399)^2-(4*(996.798*'BMP P Tracking Table'!$AV399)*-'BMP P Tracking Table'!$AX399)))/(2*(996.798*'BMP P Tracking Table'!$AV399)),IF(SUM('BMP P Tracking Table'!$AR399:$AU399)=0,'BMP P Tracking Table'!$AV399/(-3630*'BMP P Tracking Table'!$AP399),(-(3630*'BMP P Tracking Table'!$AP399+20.691*'BMP P Tracking Table'!$AU399-216.711*'BMP P Tracking Table'!$AT399-83.853*'BMP P Tracking Table'!$AS399-42.834*'BMP P Tracking Table'!$AR399)+SQRT((3630*'BMP P Tracking Table'!$AP399+20.691*'BMP P Tracking Table'!$AU399-216.711*'BMP P Tracking Table'!$AT399-83.853*'BMP P Tracking Table'!$AS399-42.834*'BMP P Tracking Table'!$AR399)^2-(4*(149.919*'BMP P Tracking Table'!$AR399+236.676*'BMP P Tracking Table'!$AS399+726*'BMP P Tracking Table'!$AT399+996.798*'BMP P Tracking Table'!$AU399)*-'BMP P Tracking Table'!$AX399)))/(2*(149.919*'BMP P Tracking Table'!$AR399+236.676*'BMP P Tracking Table'!$AS399+726*'BMP P Tracking Table'!$AT399+996.798*'BMP P Tracking Table'!$AU399))))),MIN(2,IF('BMP P Tracking Table'!$AQ399="Total Pervious",(-(3630*'BMP P Tracking Table'!$V399+20.691*'BMP P Tracking Table'!$AB399)+SQRT((3630*'BMP P Tracking Table'!$V399+20.691*'BMP P Tracking Table'!$AB399)^2-(4*(996.798*'BMP P Tracking Table'!$AB399)*-'BMP P Tracking Table'!$AX399)))/(2*(996.798*'BMP P Tracking Table'!$AB399)),IF(SUM('BMP P Tracking Table'!$X399:$AA399)=0,'BMP P Tracking Table'!$AX399/(-3630*'BMP P Tracking Table'!$V399),(-(3630*'BMP P Tracking Table'!$V399+20.691*'BMP P Tracking Table'!$AA399-216.711*'BMP P Tracking Table'!$Z399-83.853*'BMP P Tracking Table'!$Y399-42.834*'BMP P Tracking Table'!$X399)+SQRT((3630*'BMP P Tracking Table'!$V399+20.691*'BMP P Tracking Table'!$AA399-216.711*'BMP P Tracking Table'!$Z399-83.853*'BMP P Tracking Table'!$Y399-42.834*'BMP P Tracking Table'!$X399)^2-(4*(149.919*'BMP P Tracking Table'!$X399+236.676*'BMP P Tracking Table'!$Y399+726*'BMP P Tracking Table'!$Z399+996.798*'BMP P Tracking Table'!$AA399)*-'BMP P Tracking Table'!$AX399)))/(2*(149.919*'BMP P Tracking Table'!$X399+236.676*'BMP P Tracking Table'!$Y399+726*'BMP P Tracking Table'!$Z399+996.798*'BMP P Tracking Table'!$AA399)))))),"")</f>
        <v/>
      </c>
      <c r="BB399" s="102" t="str">
        <f>IFERROR((VLOOKUP(CONCATENATE('BMP P Tracking Table'!$AW399," ",'BMP P Tracking Table'!$AY399),'Performance Curves'!$C$1:$L$46,_xlfn.SINGLE(MATCH('BMP P Tracking Table'!$BA399,'Performance Curves'!$D$1:$L$1,1))+2,FALSE)-VLOOKUP(CONCATENATE('BMP P Tracking Table'!$AW399," ",'BMP P Tracking Table'!$AY399),'Performance Curves'!$C$1:$L$46,_xlfn.SINGLE(MATCH('BMP P Tracking Table'!$BA399,'Performance Curves'!$D$1:$L$1,1))+1,FALSE)),"")</f>
        <v/>
      </c>
      <c r="BC399" s="102" t="str">
        <f>IFERROR(('BMP P Tracking Table'!$BA399-INDEX('Performance Curves'!$D$1:$L$1,1,MATCH('BMP P Tracking Table'!$BA399,'Performance Curves'!$D$1:$L$1,1)))/(INDEX('Performance Curves'!$D$1:$L$1,1,MATCH('BMP P Tracking Table'!$BA399,'Performance Curves'!$D$1:$L$1,1)+1)-INDEX('Performance Curves'!$D$1:$L$1,1,MATCH('BMP P Tracking Table'!$BA399,'Performance Curves'!$D$1:$L$1,1))),"")</f>
        <v/>
      </c>
      <c r="BD399" s="103" t="str" cm="1">
        <f t="array" ref="BD399">IFERROR(IF('BMP P Tracking Table'!$BA399=2,VLOOKUP(CONCATENATE('BMP P Tracking Table'!$AW399," ",'BMP P Tracking Table'!$AY399),'Performance Curves'!$C$1:$L$44,_xlfn.SINGLE(MATCH('BMP P Tracking Table'!$BA399,'Performance Curves'!$D$1:$L$1,1))+1,FALSE),'BMP P Tracking Table'!$BB399*'BMP P Tracking Table'!$BC399+VLOOKUP(CONCATENATE('BMP P Tracking Table'!$AW399," ",'BMP P Tracking Table'!$AY399),'Performance Curves'!$C$1:$L$44,_xlfn.SINGLE(MATCH('BMP P Tracking Table'!$BA399,'Performance Curves'!$D$1:$L$1,1))+1,FALSE)),"")</f>
        <v/>
      </c>
      <c r="BE399" s="104" t="str">
        <f>IFERROR('BMP P Tracking Table'!$BD399*'BMP P Tracking Table'!$AZ399,"")</f>
        <v/>
      </c>
      <c r="BF399" s="98"/>
      <c r="BG399" s="37">
        <f t="shared" si="40"/>
        <v>0</v>
      </c>
    </row>
    <row r="400" spans="2:59" s="36" customFormat="1">
      <c r="B400" s="65"/>
      <c r="C400" s="65"/>
      <c r="D400" s="65"/>
      <c r="E400" s="65"/>
      <c r="F400" s="94"/>
      <c r="G400" s="94"/>
      <c r="H400" s="65"/>
      <c r="I400" s="65"/>
      <c r="J400" s="65"/>
      <c r="K400" s="95"/>
      <c r="L400" s="65"/>
      <c r="M400" s="65"/>
      <c r="N400" s="65"/>
      <c r="O400" s="65"/>
      <c r="P400" s="65"/>
      <c r="Q400" s="65"/>
      <c r="R400" s="65" t="str">
        <f>IFERROR(VLOOKUP('BMP P Tracking Table'!$Q400,Dropdowns!$C$2:$E$15,3,FALSE),"")</f>
        <v/>
      </c>
      <c r="S400" s="65" t="str">
        <f>IFERROR(VLOOKUP('BMP P Tracking Table'!$R400,Dropdowns!$Q$3:$R$23,2,FALSE),"")</f>
        <v/>
      </c>
      <c r="T400" s="65"/>
      <c r="U400" s="65"/>
      <c r="V400" s="65"/>
      <c r="W400" s="65"/>
      <c r="X400" s="65"/>
      <c r="Y400" s="65"/>
      <c r="Z400" s="65"/>
      <c r="AA400" s="65"/>
      <c r="AB400" s="65"/>
      <c r="AC400" s="97"/>
      <c r="AD400" s="65"/>
      <c r="AE400" s="104" t="str">
        <f>IFERROR('BMP P Tracking Table'!$V400*VLOOKUP('BMP P Tracking Table'!$R400,'Loading Rates'!$B$1:$L$24,4,FALSE)+IF('BMP P Tracking Table'!$W400="By HSG",'BMP P Tracking Table'!$X400*VLOOKUP('BMP P Tracking Table'!$R400,'Loading Rates'!$B$1:$L$24,6,FALSE)+'BMP P Tracking Table'!$Y400*VLOOKUP('BMP P Tracking Table'!$R400,'Loading Rates'!$B$1:$L$24,7,FALSE)+'BMP P Tracking Table'!$Z400*VLOOKUP('BMP P Tracking Table'!$R400,'Loading Rates'!$B$1:$L$24,8,FALSE)+'BMP P Tracking Table'!$AA400*VLOOKUP('BMP P Tracking Table'!$R400,'Loading Rates'!$B$1:$L$24,9,FALSE),'BMP P Tracking Table'!$AB400*VLOOKUP('BMP P Tracking Table'!$R400,'Loading Rates'!$B$1:$L$24,10,FALSE)),"")</f>
        <v/>
      </c>
      <c r="AF400" s="104" t="str">
        <f>IFERROR(MIN(2,IF('BMP P Tracking Table'!$W400="Total Pervious",(-(3630*'BMP P Tracking Table'!$V400+20.691*'BMP P Tracking Table'!$AB400)+SQRT((3630*'BMP P Tracking Table'!$V400+20.691*'BMP P Tracking Table'!$AB400)^2-(4*(996.798*'BMP P Tracking Table'!$AB400)*-'BMP P Tracking Table'!$AC400)))/(2*(996.798*'BMP P Tracking Table'!$AB400)),IF(SUM('BMP P Tracking Table'!$X400:$AA400)=0,'BMP P Tracking Table'!$AC400/(-3630*'BMP P Tracking Table'!$V400),(-(3630*'BMP P Tracking Table'!$V400+20.691*'BMP P Tracking Table'!$AA400-216.711*'BMP P Tracking Table'!$Z400-83.853*'BMP P Tracking Table'!$Y400-42.834*'BMP P Tracking Table'!$X400)+SQRT((3630*'BMP P Tracking Table'!$V400+20.691*'BMP P Tracking Table'!$AA400-216.711*'BMP P Tracking Table'!$Z400-83.853*'BMP P Tracking Table'!$Y400-42.834*'BMP P Tracking Table'!$X400)^2-(4*(149.919*'BMP P Tracking Table'!$X400+236.676*'BMP P Tracking Table'!$Y400+726*'BMP P Tracking Table'!$Z400+996.798*'BMP P Tracking Table'!$AA400)*-'BMP P Tracking Table'!$AC400)))/(2*(149.919*'BMP P Tracking Table'!$X400+236.676*'BMP P Tracking Table'!$Y400+726*'BMP P Tracking Table'!$Z400+996.798*'BMP P Tracking Table'!$AA400))))),"")</f>
        <v/>
      </c>
      <c r="AG400" s="104" t="str">
        <f>IFERROR((VLOOKUP(CONCATENATE('BMP P Tracking Table'!$U400," ",'BMP P Tracking Table'!$AD400),'Performance Curves'!$C$1:$L$46,_xlfn.SINGLE(MATCH('BMP P Tracking Table'!$AF400,'Performance Curves'!$D$1:$L$1,1))+2,FALSE)-VLOOKUP(CONCATENATE('BMP P Tracking Table'!$U400," ",'BMP P Tracking Table'!$AD400),'Performance Curves'!$C$1:$L$46,_xlfn.SINGLE(MATCH('BMP P Tracking Table'!$AF400,'Performance Curves'!$D$1:$L$1,1))+1,FALSE)),"")</f>
        <v/>
      </c>
      <c r="AH400" s="104" t="str">
        <f>IFERROR(('BMP P Tracking Table'!$AF400-INDEX('Performance Curves'!$D$1:$L$1,1,MATCH('BMP P Tracking Table'!$AF400,'Performance Curves'!$D$1:$L$1,1)))/(INDEX('Performance Curves'!$D$1:$L$1,1,MATCH('BMP P Tracking Table'!$AF400,'Performance Curves'!$D$1:$L$1,1)+1)-INDEX('Performance Curves'!$D$1:$L$1,1,MATCH('BMP P Tracking Table'!$AF400,'Performance Curves'!$D$1:$L$1,1))),"")</f>
        <v/>
      </c>
      <c r="AI400" s="103" t="str">
        <f>IFERROR(IF('BMP P Tracking Table'!$AF400=2,VLOOKUP(CONCATENATE('BMP P Tracking Table'!$U400," ",'BMP P Tracking Table'!$AD400),'Performance Curves'!$C$1:$L$46,_xlfn.SINGLE(MATCH('BMP P Tracking Table'!$AF400,'Performance Curves'!$D$1:$L$1,1))+1,FALSE),'BMP P Tracking Table'!$AG400*'BMP P Tracking Table'!$AH400+VLOOKUP(CONCATENATE('BMP P Tracking Table'!$U400," ",'BMP P Tracking Table'!$AD400),'Performance Curves'!$C$1:$L$46,_xlfn.SINGLE(MATCH('BMP P Tracking Table'!$AF400,'Performance Curves'!$D$1:$L$1,1))+1,FALSE)),"")</f>
        <v/>
      </c>
      <c r="AJ400" s="104" t="str">
        <f>IFERROR('BMP P Tracking Table'!$AI400*'BMP P Tracking Table'!$AE400,"")</f>
        <v/>
      </c>
      <c r="AK400" s="65"/>
      <c r="AL400" s="98"/>
      <c r="AM400" s="98"/>
      <c r="AN400" s="64">
        <v>1</v>
      </c>
      <c r="AO400" s="102" t="str">
        <f t="shared" si="39"/>
        <v/>
      </c>
      <c r="AP400" s="98"/>
      <c r="AQ400" s="98"/>
      <c r="AR400" s="98"/>
      <c r="AS400" s="98"/>
      <c r="AT400" s="98"/>
      <c r="AU400" s="98"/>
      <c r="AV400" s="98"/>
      <c r="AW400" s="65"/>
      <c r="AX400" s="99"/>
      <c r="AY400" s="99"/>
      <c r="AZ400" s="104" t="str">
        <f>IF('BMP P Tracking Table'!$AL400="Yes",IF('BMP P Tracking Table'!$AM400="No",'BMP P Tracking Table'!$V400*VLOOKUP('BMP P Tracking Table'!$R400,'Loading Rates'!$B$1:$L$24,4,FALSE)+IF('BMP P Tracking Table'!$W400="By HSG",'BMP P Tracking Table'!$X400*VLOOKUP('BMP P Tracking Table'!$R400,'Loading Rates'!$B$1:$L$24,6,FALSE)+'BMP P Tracking Table'!$Y400*VLOOKUP('BMP P Tracking Table'!$R400,'Loading Rates'!$B$1:$L$24,7,FALSE)+'BMP P Tracking Table'!$Z400*VLOOKUP('BMP P Tracking Table'!$R400,'Loading Rates'!$B$1:$L$24,8,FALSE)+'BMP P Tracking Table'!$AA400*VLOOKUP('BMP P Tracking Table'!$R400,'Loading Rates'!$B$1:$L$24,9,FALSE),'BMP P Tracking Table'!$AB400*VLOOKUP('BMP P Tracking Table'!$R400,'Loading Rates'!$B$1:$L$24,10,FALSE)),'BMP P Tracking Table'!$AP400*VLOOKUP('BMP P Tracking Table'!$R400,'Loading Rates'!$B$1:$L$24,4,FALSE)+IF('BMP P Tracking Table'!$AQ400="By HSG",'BMP P Tracking Table'!$AR400*VLOOKUP('BMP P Tracking Table'!$R400,'Loading Rates'!$B$1:$L$24,6,FALSE)+'BMP P Tracking Table'!$AS400*VLOOKUP('BMP P Tracking Table'!$R400,'Loading Rates'!$B$1:$L$24,7,FALSE)+'BMP P Tracking Table'!$AT400*VLOOKUP('BMP P Tracking Table'!$R400,'Loading Rates'!$B$1:$L$24,8,FALSE)+'BMP P Tracking Table'!$AU400*VLOOKUP('BMP P Tracking Table'!$R400,'Loading Rates'!$B$1:$L$24,9,FALSE),'BMP P Tracking Table'!$AV400*VLOOKUP('BMP P Tracking Table'!$R400,'Loading Rates'!$B$1:$L$24,10,FALSE))),"")</f>
        <v/>
      </c>
      <c r="BA400" s="104" t="str">
        <f>IFERROR(IF('BMP P Tracking Table'!$AM400="Yes",MIN(2,IF('BMP P Tracking Table'!$AQ400="Total Pervious",(-(3630*'BMP P Tracking Table'!$AP400+20.691*'BMP P Tracking Table'!$AV400)+SQRT((3630*'BMP P Tracking Table'!$AP400+20.691*'BMP P Tracking Table'!$AV400)^2-(4*(996.798*'BMP P Tracking Table'!$AV400)*-'BMP P Tracking Table'!$AX400)))/(2*(996.798*'BMP P Tracking Table'!$AV400)),IF(SUM('BMP P Tracking Table'!$AR400:$AU400)=0,'BMP P Tracking Table'!$AV400/(-3630*'BMP P Tracking Table'!$AP400),(-(3630*'BMP P Tracking Table'!$AP400+20.691*'BMP P Tracking Table'!$AU400-216.711*'BMP P Tracking Table'!$AT400-83.853*'BMP P Tracking Table'!$AS400-42.834*'BMP P Tracking Table'!$AR400)+SQRT((3630*'BMP P Tracking Table'!$AP400+20.691*'BMP P Tracking Table'!$AU400-216.711*'BMP P Tracking Table'!$AT400-83.853*'BMP P Tracking Table'!$AS400-42.834*'BMP P Tracking Table'!$AR400)^2-(4*(149.919*'BMP P Tracking Table'!$AR400+236.676*'BMP P Tracking Table'!$AS400+726*'BMP P Tracking Table'!$AT400+996.798*'BMP P Tracking Table'!$AU400)*-'BMP P Tracking Table'!$AX400)))/(2*(149.919*'BMP P Tracking Table'!$AR400+236.676*'BMP P Tracking Table'!$AS400+726*'BMP P Tracking Table'!$AT400+996.798*'BMP P Tracking Table'!$AU400))))),MIN(2,IF('BMP P Tracking Table'!$AQ400="Total Pervious",(-(3630*'BMP P Tracking Table'!$V400+20.691*'BMP P Tracking Table'!$AB400)+SQRT((3630*'BMP P Tracking Table'!$V400+20.691*'BMP P Tracking Table'!$AB400)^2-(4*(996.798*'BMP P Tracking Table'!$AB400)*-'BMP P Tracking Table'!$AX400)))/(2*(996.798*'BMP P Tracking Table'!$AB400)),IF(SUM('BMP P Tracking Table'!$X400:$AA400)=0,'BMP P Tracking Table'!$AX400/(-3630*'BMP P Tracking Table'!$V400),(-(3630*'BMP P Tracking Table'!$V400+20.691*'BMP P Tracking Table'!$AA400-216.711*'BMP P Tracking Table'!$Z400-83.853*'BMP P Tracking Table'!$Y400-42.834*'BMP P Tracking Table'!$X400)+SQRT((3630*'BMP P Tracking Table'!$V400+20.691*'BMP P Tracking Table'!$AA400-216.711*'BMP P Tracking Table'!$Z400-83.853*'BMP P Tracking Table'!$Y400-42.834*'BMP P Tracking Table'!$X400)^2-(4*(149.919*'BMP P Tracking Table'!$X400+236.676*'BMP P Tracking Table'!$Y400+726*'BMP P Tracking Table'!$Z400+996.798*'BMP P Tracking Table'!$AA400)*-'BMP P Tracking Table'!$AX400)))/(2*(149.919*'BMP P Tracking Table'!$X400+236.676*'BMP P Tracking Table'!$Y400+726*'BMP P Tracking Table'!$Z400+996.798*'BMP P Tracking Table'!$AA400)))))),"")</f>
        <v/>
      </c>
      <c r="BB400" s="102" t="str">
        <f>IFERROR((VLOOKUP(CONCATENATE('BMP P Tracking Table'!$AW400," ",'BMP P Tracking Table'!$AY400),'Performance Curves'!$C$1:$L$46,_xlfn.SINGLE(MATCH('BMP P Tracking Table'!$BA400,'Performance Curves'!$D$1:$L$1,1))+2,FALSE)-VLOOKUP(CONCATENATE('BMP P Tracking Table'!$AW400," ",'BMP P Tracking Table'!$AY400),'Performance Curves'!$C$1:$L$46,_xlfn.SINGLE(MATCH('BMP P Tracking Table'!$BA400,'Performance Curves'!$D$1:$L$1,1))+1,FALSE)),"")</f>
        <v/>
      </c>
      <c r="BC400" s="102" t="str">
        <f>IFERROR(('BMP P Tracking Table'!$BA400-INDEX('Performance Curves'!$D$1:$L$1,1,MATCH('BMP P Tracking Table'!$BA400,'Performance Curves'!$D$1:$L$1,1)))/(INDEX('Performance Curves'!$D$1:$L$1,1,MATCH('BMP P Tracking Table'!$BA400,'Performance Curves'!$D$1:$L$1,1)+1)-INDEX('Performance Curves'!$D$1:$L$1,1,MATCH('BMP P Tracking Table'!$BA400,'Performance Curves'!$D$1:$L$1,1))),"")</f>
        <v/>
      </c>
      <c r="BD400" s="103" t="str" cm="1">
        <f t="array" ref="BD400">IFERROR(IF('BMP P Tracking Table'!$BA400=2,VLOOKUP(CONCATENATE('BMP P Tracking Table'!$AW400," ",'BMP P Tracking Table'!$AY400),'Performance Curves'!$C$1:$L$44,_xlfn.SINGLE(MATCH('BMP P Tracking Table'!$BA400,'Performance Curves'!$D$1:$L$1,1))+1,FALSE),'BMP P Tracking Table'!$BB400*'BMP P Tracking Table'!$BC400+VLOOKUP(CONCATENATE('BMP P Tracking Table'!$AW400," ",'BMP P Tracking Table'!$AY400),'Performance Curves'!$C$1:$L$44,_xlfn.SINGLE(MATCH('BMP P Tracking Table'!$BA400,'Performance Curves'!$D$1:$L$1,1))+1,FALSE)),"")</f>
        <v/>
      </c>
      <c r="BE400" s="104" t="str">
        <f>IFERROR('BMP P Tracking Table'!$BD400*'BMP P Tracking Table'!$AZ400,"")</f>
        <v/>
      </c>
      <c r="BF400" s="98"/>
      <c r="BG400" s="37">
        <f t="shared" si="40"/>
        <v>0</v>
      </c>
    </row>
    <row r="401" spans="2:59" s="36" customFormat="1">
      <c r="B401" s="65"/>
      <c r="C401" s="65"/>
      <c r="D401" s="65"/>
      <c r="E401" s="65"/>
      <c r="F401" s="94"/>
      <c r="G401" s="94"/>
      <c r="H401" s="65"/>
      <c r="I401" s="65"/>
      <c r="J401" s="65"/>
      <c r="K401" s="95"/>
      <c r="L401" s="65"/>
      <c r="M401" s="65"/>
      <c r="N401" s="65"/>
      <c r="O401" s="65"/>
      <c r="P401" s="65"/>
      <c r="Q401" s="65"/>
      <c r="R401" s="65" t="str">
        <f>IFERROR(VLOOKUP('BMP P Tracking Table'!$Q401,Dropdowns!$C$2:$E$15,3,FALSE),"")</f>
        <v/>
      </c>
      <c r="S401" s="65" t="str">
        <f>IFERROR(VLOOKUP('BMP P Tracking Table'!$R401,Dropdowns!$Q$3:$R$23,2,FALSE),"")</f>
        <v/>
      </c>
      <c r="T401" s="65"/>
      <c r="U401" s="65"/>
      <c r="V401" s="65"/>
      <c r="W401" s="65"/>
      <c r="X401" s="65"/>
      <c r="Y401" s="65"/>
      <c r="Z401" s="65"/>
      <c r="AA401" s="65"/>
      <c r="AB401" s="65"/>
      <c r="AC401" s="97"/>
      <c r="AD401" s="65"/>
      <c r="AE401" s="104" t="str">
        <f>IFERROR('BMP P Tracking Table'!$V401*VLOOKUP('BMP P Tracking Table'!$R401,'Loading Rates'!$B$1:$L$24,4,FALSE)+IF('BMP P Tracking Table'!$W401="By HSG",'BMP P Tracking Table'!$X401*VLOOKUP('BMP P Tracking Table'!$R401,'Loading Rates'!$B$1:$L$24,6,FALSE)+'BMP P Tracking Table'!$Y401*VLOOKUP('BMP P Tracking Table'!$R401,'Loading Rates'!$B$1:$L$24,7,FALSE)+'BMP P Tracking Table'!$Z401*VLOOKUP('BMP P Tracking Table'!$R401,'Loading Rates'!$B$1:$L$24,8,FALSE)+'BMP P Tracking Table'!$AA401*VLOOKUP('BMP P Tracking Table'!$R401,'Loading Rates'!$B$1:$L$24,9,FALSE),'BMP P Tracking Table'!$AB401*VLOOKUP('BMP P Tracking Table'!$R401,'Loading Rates'!$B$1:$L$24,10,FALSE)),"")</f>
        <v/>
      </c>
      <c r="AF401" s="104" t="str">
        <f>IFERROR(MIN(2,IF('BMP P Tracking Table'!$W401="Total Pervious",(-(3630*'BMP P Tracking Table'!$V401+20.691*'BMP P Tracking Table'!$AB401)+SQRT((3630*'BMP P Tracking Table'!$V401+20.691*'BMP P Tracking Table'!$AB401)^2-(4*(996.798*'BMP P Tracking Table'!$AB401)*-'BMP P Tracking Table'!$AC401)))/(2*(996.798*'BMP P Tracking Table'!$AB401)),IF(SUM('BMP P Tracking Table'!$X401:$AA401)=0,'BMP P Tracking Table'!$AC401/(-3630*'BMP P Tracking Table'!$V401),(-(3630*'BMP P Tracking Table'!$V401+20.691*'BMP P Tracking Table'!$AA401-216.711*'BMP P Tracking Table'!$Z401-83.853*'BMP P Tracking Table'!$Y401-42.834*'BMP P Tracking Table'!$X401)+SQRT((3630*'BMP P Tracking Table'!$V401+20.691*'BMP P Tracking Table'!$AA401-216.711*'BMP P Tracking Table'!$Z401-83.853*'BMP P Tracking Table'!$Y401-42.834*'BMP P Tracking Table'!$X401)^2-(4*(149.919*'BMP P Tracking Table'!$X401+236.676*'BMP P Tracking Table'!$Y401+726*'BMP P Tracking Table'!$Z401+996.798*'BMP P Tracking Table'!$AA401)*-'BMP P Tracking Table'!$AC401)))/(2*(149.919*'BMP P Tracking Table'!$X401+236.676*'BMP P Tracking Table'!$Y401+726*'BMP P Tracking Table'!$Z401+996.798*'BMP P Tracking Table'!$AA401))))),"")</f>
        <v/>
      </c>
      <c r="AG401" s="104" t="str">
        <f>IFERROR((VLOOKUP(CONCATENATE('BMP P Tracking Table'!$U401," ",'BMP P Tracking Table'!$AD401),'Performance Curves'!$C$1:$L$46,_xlfn.SINGLE(MATCH('BMP P Tracking Table'!$AF401,'Performance Curves'!$D$1:$L$1,1))+2,FALSE)-VLOOKUP(CONCATENATE('BMP P Tracking Table'!$U401," ",'BMP P Tracking Table'!$AD401),'Performance Curves'!$C$1:$L$46,_xlfn.SINGLE(MATCH('BMP P Tracking Table'!$AF401,'Performance Curves'!$D$1:$L$1,1))+1,FALSE)),"")</f>
        <v/>
      </c>
      <c r="AH401" s="104" t="str">
        <f>IFERROR(('BMP P Tracking Table'!$AF401-INDEX('Performance Curves'!$D$1:$L$1,1,MATCH('BMP P Tracking Table'!$AF401,'Performance Curves'!$D$1:$L$1,1)))/(INDEX('Performance Curves'!$D$1:$L$1,1,MATCH('BMP P Tracking Table'!$AF401,'Performance Curves'!$D$1:$L$1,1)+1)-INDEX('Performance Curves'!$D$1:$L$1,1,MATCH('BMP P Tracking Table'!$AF401,'Performance Curves'!$D$1:$L$1,1))),"")</f>
        <v/>
      </c>
      <c r="AI401" s="103" t="str">
        <f>IFERROR(IF('BMP P Tracking Table'!$AF401=2,VLOOKUP(CONCATENATE('BMP P Tracking Table'!$U401," ",'BMP P Tracking Table'!$AD401),'Performance Curves'!$C$1:$L$46,_xlfn.SINGLE(MATCH('BMP P Tracking Table'!$AF401,'Performance Curves'!$D$1:$L$1,1))+1,FALSE),'BMP P Tracking Table'!$AG401*'BMP P Tracking Table'!$AH401+VLOOKUP(CONCATENATE('BMP P Tracking Table'!$U401," ",'BMP P Tracking Table'!$AD401),'Performance Curves'!$C$1:$L$46,_xlfn.SINGLE(MATCH('BMP P Tracking Table'!$AF401,'Performance Curves'!$D$1:$L$1,1))+1,FALSE)),"")</f>
        <v/>
      </c>
      <c r="AJ401" s="104" t="str">
        <f>IFERROR('BMP P Tracking Table'!$AI401*'BMP P Tracking Table'!$AE401,"")</f>
        <v/>
      </c>
      <c r="AK401" s="65"/>
      <c r="AL401" s="98"/>
      <c r="AM401" s="98"/>
      <c r="AN401" s="64">
        <v>1</v>
      </c>
      <c r="AO401" s="102" t="str">
        <f t="shared" si="39"/>
        <v/>
      </c>
      <c r="AP401" s="98"/>
      <c r="AQ401" s="98"/>
      <c r="AR401" s="98"/>
      <c r="AS401" s="98"/>
      <c r="AT401" s="98"/>
      <c r="AU401" s="98"/>
      <c r="AV401" s="98"/>
      <c r="AW401" s="65"/>
      <c r="AX401" s="99"/>
      <c r="AY401" s="99"/>
      <c r="AZ401" s="104" t="str">
        <f>IF('BMP P Tracking Table'!$AL401="Yes",IF('BMP P Tracking Table'!$AM401="No",'BMP P Tracking Table'!$V401*VLOOKUP('BMP P Tracking Table'!$R401,'Loading Rates'!$B$1:$L$24,4,FALSE)+IF('BMP P Tracking Table'!$W401="By HSG",'BMP P Tracking Table'!$X401*VLOOKUP('BMP P Tracking Table'!$R401,'Loading Rates'!$B$1:$L$24,6,FALSE)+'BMP P Tracking Table'!$Y401*VLOOKUP('BMP P Tracking Table'!$R401,'Loading Rates'!$B$1:$L$24,7,FALSE)+'BMP P Tracking Table'!$Z401*VLOOKUP('BMP P Tracking Table'!$R401,'Loading Rates'!$B$1:$L$24,8,FALSE)+'BMP P Tracking Table'!$AA401*VLOOKUP('BMP P Tracking Table'!$R401,'Loading Rates'!$B$1:$L$24,9,FALSE),'BMP P Tracking Table'!$AB401*VLOOKUP('BMP P Tracking Table'!$R401,'Loading Rates'!$B$1:$L$24,10,FALSE)),'BMP P Tracking Table'!$AP401*VLOOKUP('BMP P Tracking Table'!$R401,'Loading Rates'!$B$1:$L$24,4,FALSE)+IF('BMP P Tracking Table'!$AQ401="By HSG",'BMP P Tracking Table'!$AR401*VLOOKUP('BMP P Tracking Table'!$R401,'Loading Rates'!$B$1:$L$24,6,FALSE)+'BMP P Tracking Table'!$AS401*VLOOKUP('BMP P Tracking Table'!$R401,'Loading Rates'!$B$1:$L$24,7,FALSE)+'BMP P Tracking Table'!$AT401*VLOOKUP('BMP P Tracking Table'!$R401,'Loading Rates'!$B$1:$L$24,8,FALSE)+'BMP P Tracking Table'!$AU401*VLOOKUP('BMP P Tracking Table'!$R401,'Loading Rates'!$B$1:$L$24,9,FALSE),'BMP P Tracking Table'!$AV401*VLOOKUP('BMP P Tracking Table'!$R401,'Loading Rates'!$B$1:$L$24,10,FALSE))),"")</f>
        <v/>
      </c>
      <c r="BA401" s="104" t="str">
        <f>IFERROR(IF('BMP P Tracking Table'!$AM401="Yes",MIN(2,IF('BMP P Tracking Table'!$AQ401="Total Pervious",(-(3630*'BMP P Tracking Table'!$AP401+20.691*'BMP P Tracking Table'!$AV401)+SQRT((3630*'BMP P Tracking Table'!$AP401+20.691*'BMP P Tracking Table'!$AV401)^2-(4*(996.798*'BMP P Tracking Table'!$AV401)*-'BMP P Tracking Table'!$AX401)))/(2*(996.798*'BMP P Tracking Table'!$AV401)),IF(SUM('BMP P Tracking Table'!$AR401:$AU401)=0,'BMP P Tracking Table'!$AV401/(-3630*'BMP P Tracking Table'!$AP401),(-(3630*'BMP P Tracking Table'!$AP401+20.691*'BMP P Tracking Table'!$AU401-216.711*'BMP P Tracking Table'!$AT401-83.853*'BMP P Tracking Table'!$AS401-42.834*'BMP P Tracking Table'!$AR401)+SQRT((3630*'BMP P Tracking Table'!$AP401+20.691*'BMP P Tracking Table'!$AU401-216.711*'BMP P Tracking Table'!$AT401-83.853*'BMP P Tracking Table'!$AS401-42.834*'BMP P Tracking Table'!$AR401)^2-(4*(149.919*'BMP P Tracking Table'!$AR401+236.676*'BMP P Tracking Table'!$AS401+726*'BMP P Tracking Table'!$AT401+996.798*'BMP P Tracking Table'!$AU401)*-'BMP P Tracking Table'!$AX401)))/(2*(149.919*'BMP P Tracking Table'!$AR401+236.676*'BMP P Tracking Table'!$AS401+726*'BMP P Tracking Table'!$AT401+996.798*'BMP P Tracking Table'!$AU401))))),MIN(2,IF('BMP P Tracking Table'!$AQ401="Total Pervious",(-(3630*'BMP P Tracking Table'!$V401+20.691*'BMP P Tracking Table'!$AB401)+SQRT((3630*'BMP P Tracking Table'!$V401+20.691*'BMP P Tracking Table'!$AB401)^2-(4*(996.798*'BMP P Tracking Table'!$AB401)*-'BMP P Tracking Table'!$AX401)))/(2*(996.798*'BMP P Tracking Table'!$AB401)),IF(SUM('BMP P Tracking Table'!$X401:$AA401)=0,'BMP P Tracking Table'!$AX401/(-3630*'BMP P Tracking Table'!$V401),(-(3630*'BMP P Tracking Table'!$V401+20.691*'BMP P Tracking Table'!$AA401-216.711*'BMP P Tracking Table'!$Z401-83.853*'BMP P Tracking Table'!$Y401-42.834*'BMP P Tracking Table'!$X401)+SQRT((3630*'BMP P Tracking Table'!$V401+20.691*'BMP P Tracking Table'!$AA401-216.711*'BMP P Tracking Table'!$Z401-83.853*'BMP P Tracking Table'!$Y401-42.834*'BMP P Tracking Table'!$X401)^2-(4*(149.919*'BMP P Tracking Table'!$X401+236.676*'BMP P Tracking Table'!$Y401+726*'BMP P Tracking Table'!$Z401+996.798*'BMP P Tracking Table'!$AA401)*-'BMP P Tracking Table'!$AX401)))/(2*(149.919*'BMP P Tracking Table'!$X401+236.676*'BMP P Tracking Table'!$Y401+726*'BMP P Tracking Table'!$Z401+996.798*'BMP P Tracking Table'!$AA401)))))),"")</f>
        <v/>
      </c>
      <c r="BB401" s="102" t="str">
        <f>IFERROR((VLOOKUP(CONCATENATE('BMP P Tracking Table'!$AW401," ",'BMP P Tracking Table'!$AY401),'Performance Curves'!$C$1:$L$46,_xlfn.SINGLE(MATCH('BMP P Tracking Table'!$BA401,'Performance Curves'!$D$1:$L$1,1))+2,FALSE)-VLOOKUP(CONCATENATE('BMP P Tracking Table'!$AW401," ",'BMP P Tracking Table'!$AY401),'Performance Curves'!$C$1:$L$46,_xlfn.SINGLE(MATCH('BMP P Tracking Table'!$BA401,'Performance Curves'!$D$1:$L$1,1))+1,FALSE)),"")</f>
        <v/>
      </c>
      <c r="BC401" s="102" t="str">
        <f>IFERROR(('BMP P Tracking Table'!$BA401-INDEX('Performance Curves'!$D$1:$L$1,1,MATCH('BMP P Tracking Table'!$BA401,'Performance Curves'!$D$1:$L$1,1)))/(INDEX('Performance Curves'!$D$1:$L$1,1,MATCH('BMP P Tracking Table'!$BA401,'Performance Curves'!$D$1:$L$1,1)+1)-INDEX('Performance Curves'!$D$1:$L$1,1,MATCH('BMP P Tracking Table'!$BA401,'Performance Curves'!$D$1:$L$1,1))),"")</f>
        <v/>
      </c>
      <c r="BD401" s="103" t="str" cm="1">
        <f t="array" ref="BD401">IFERROR(IF('BMP P Tracking Table'!$BA401=2,VLOOKUP(CONCATENATE('BMP P Tracking Table'!$AW401," ",'BMP P Tracking Table'!$AY401),'Performance Curves'!$C$1:$L$44,_xlfn.SINGLE(MATCH('BMP P Tracking Table'!$BA401,'Performance Curves'!$D$1:$L$1,1))+1,FALSE),'BMP P Tracking Table'!$BB401*'BMP P Tracking Table'!$BC401+VLOOKUP(CONCATENATE('BMP P Tracking Table'!$AW401," ",'BMP P Tracking Table'!$AY401),'Performance Curves'!$C$1:$L$44,_xlfn.SINGLE(MATCH('BMP P Tracking Table'!$BA401,'Performance Curves'!$D$1:$L$1,1))+1,FALSE)),"")</f>
        <v/>
      </c>
      <c r="BE401" s="104" t="str">
        <f>IFERROR('BMP P Tracking Table'!$BD401*'BMP P Tracking Table'!$AZ401,"")</f>
        <v/>
      </c>
      <c r="BF401" s="98"/>
      <c r="BG401" s="37">
        <f t="shared" si="40"/>
        <v>0</v>
      </c>
    </row>
    <row r="402" spans="2:59" s="36" customFormat="1">
      <c r="B402" s="65"/>
      <c r="C402" s="65"/>
      <c r="D402" s="65"/>
      <c r="E402" s="65"/>
      <c r="F402" s="94"/>
      <c r="G402" s="94"/>
      <c r="H402" s="65"/>
      <c r="I402" s="65"/>
      <c r="J402" s="65"/>
      <c r="K402" s="95"/>
      <c r="L402" s="65"/>
      <c r="M402" s="65"/>
      <c r="N402" s="65"/>
      <c r="O402" s="65"/>
      <c r="P402" s="65"/>
      <c r="Q402" s="65"/>
      <c r="R402" s="65" t="str">
        <f>IFERROR(VLOOKUP('BMP P Tracking Table'!$Q402,Dropdowns!$C$2:$E$15,3,FALSE),"")</f>
        <v/>
      </c>
      <c r="S402" s="65" t="str">
        <f>IFERROR(VLOOKUP('BMP P Tracking Table'!$R402,Dropdowns!$Q$3:$R$23,2,FALSE),"")</f>
        <v/>
      </c>
      <c r="T402" s="65"/>
      <c r="U402" s="65"/>
      <c r="V402" s="65"/>
      <c r="W402" s="65"/>
      <c r="X402" s="65"/>
      <c r="Y402" s="65"/>
      <c r="Z402" s="65"/>
      <c r="AA402" s="65"/>
      <c r="AB402" s="65"/>
      <c r="AC402" s="97"/>
      <c r="AD402" s="65"/>
      <c r="AE402" s="104" t="str">
        <f>IFERROR('BMP P Tracking Table'!$V402*VLOOKUP('BMP P Tracking Table'!$R402,'Loading Rates'!$B$1:$L$24,4,FALSE)+IF('BMP P Tracking Table'!$W402="By HSG",'BMP P Tracking Table'!$X402*VLOOKUP('BMP P Tracking Table'!$R402,'Loading Rates'!$B$1:$L$24,6,FALSE)+'BMP P Tracking Table'!$Y402*VLOOKUP('BMP P Tracking Table'!$R402,'Loading Rates'!$B$1:$L$24,7,FALSE)+'BMP P Tracking Table'!$Z402*VLOOKUP('BMP P Tracking Table'!$R402,'Loading Rates'!$B$1:$L$24,8,FALSE)+'BMP P Tracking Table'!$AA402*VLOOKUP('BMP P Tracking Table'!$R402,'Loading Rates'!$B$1:$L$24,9,FALSE),'BMP P Tracking Table'!$AB402*VLOOKUP('BMP P Tracking Table'!$R402,'Loading Rates'!$B$1:$L$24,10,FALSE)),"")</f>
        <v/>
      </c>
      <c r="AF402" s="104" t="str">
        <f>IFERROR(MIN(2,IF('BMP P Tracking Table'!$W402="Total Pervious",(-(3630*'BMP P Tracking Table'!$V402+20.691*'BMP P Tracking Table'!$AB402)+SQRT((3630*'BMP P Tracking Table'!$V402+20.691*'BMP P Tracking Table'!$AB402)^2-(4*(996.798*'BMP P Tracking Table'!$AB402)*-'BMP P Tracking Table'!$AC402)))/(2*(996.798*'BMP P Tracking Table'!$AB402)),IF(SUM('BMP P Tracking Table'!$X402:$AA402)=0,'BMP P Tracking Table'!$AC402/(-3630*'BMP P Tracking Table'!$V402),(-(3630*'BMP P Tracking Table'!$V402+20.691*'BMP P Tracking Table'!$AA402-216.711*'BMP P Tracking Table'!$Z402-83.853*'BMP P Tracking Table'!$Y402-42.834*'BMP P Tracking Table'!$X402)+SQRT((3630*'BMP P Tracking Table'!$V402+20.691*'BMP P Tracking Table'!$AA402-216.711*'BMP P Tracking Table'!$Z402-83.853*'BMP P Tracking Table'!$Y402-42.834*'BMP P Tracking Table'!$X402)^2-(4*(149.919*'BMP P Tracking Table'!$X402+236.676*'BMP P Tracking Table'!$Y402+726*'BMP P Tracking Table'!$Z402+996.798*'BMP P Tracking Table'!$AA402)*-'BMP P Tracking Table'!$AC402)))/(2*(149.919*'BMP P Tracking Table'!$X402+236.676*'BMP P Tracking Table'!$Y402+726*'BMP P Tracking Table'!$Z402+996.798*'BMP P Tracking Table'!$AA402))))),"")</f>
        <v/>
      </c>
      <c r="AG402" s="104" t="str">
        <f>IFERROR((VLOOKUP(CONCATENATE('BMP P Tracking Table'!$U402," ",'BMP P Tracking Table'!$AD402),'Performance Curves'!$C$1:$L$46,_xlfn.SINGLE(MATCH('BMP P Tracking Table'!$AF402,'Performance Curves'!$D$1:$L$1,1))+2,FALSE)-VLOOKUP(CONCATENATE('BMP P Tracking Table'!$U402," ",'BMP P Tracking Table'!$AD402),'Performance Curves'!$C$1:$L$46,_xlfn.SINGLE(MATCH('BMP P Tracking Table'!$AF402,'Performance Curves'!$D$1:$L$1,1))+1,FALSE)),"")</f>
        <v/>
      </c>
      <c r="AH402" s="104" t="str">
        <f>IFERROR(('BMP P Tracking Table'!$AF402-INDEX('Performance Curves'!$D$1:$L$1,1,MATCH('BMP P Tracking Table'!$AF402,'Performance Curves'!$D$1:$L$1,1)))/(INDEX('Performance Curves'!$D$1:$L$1,1,MATCH('BMP P Tracking Table'!$AF402,'Performance Curves'!$D$1:$L$1,1)+1)-INDEX('Performance Curves'!$D$1:$L$1,1,MATCH('BMP P Tracking Table'!$AF402,'Performance Curves'!$D$1:$L$1,1))),"")</f>
        <v/>
      </c>
      <c r="AI402" s="103" t="str">
        <f>IFERROR(IF('BMP P Tracking Table'!$AF402=2,VLOOKUP(CONCATENATE('BMP P Tracking Table'!$U402," ",'BMP P Tracking Table'!$AD402),'Performance Curves'!$C$1:$L$46,_xlfn.SINGLE(MATCH('BMP P Tracking Table'!$AF402,'Performance Curves'!$D$1:$L$1,1))+1,FALSE),'BMP P Tracking Table'!$AG402*'BMP P Tracking Table'!$AH402+VLOOKUP(CONCATENATE('BMP P Tracking Table'!$U402," ",'BMP P Tracking Table'!$AD402),'Performance Curves'!$C$1:$L$46,_xlfn.SINGLE(MATCH('BMP P Tracking Table'!$AF402,'Performance Curves'!$D$1:$L$1,1))+1,FALSE)),"")</f>
        <v/>
      </c>
      <c r="AJ402" s="104" t="str">
        <f>IFERROR('BMP P Tracking Table'!$AI402*'BMP P Tracking Table'!$AE402,"")</f>
        <v/>
      </c>
      <c r="AK402" s="65"/>
      <c r="AL402" s="98"/>
      <c r="AM402" s="98"/>
      <c r="AN402" s="64">
        <v>1</v>
      </c>
      <c r="AO402" s="102" t="str">
        <f t="shared" si="39"/>
        <v/>
      </c>
      <c r="AP402" s="98"/>
      <c r="AQ402" s="98"/>
      <c r="AR402" s="98"/>
      <c r="AS402" s="98"/>
      <c r="AT402" s="98"/>
      <c r="AU402" s="98"/>
      <c r="AV402" s="98"/>
      <c r="AW402" s="65"/>
      <c r="AX402" s="99"/>
      <c r="AY402" s="99"/>
      <c r="AZ402" s="104" t="str">
        <f>IF('BMP P Tracking Table'!$AL402="Yes",IF('BMP P Tracking Table'!$AM402="No",'BMP P Tracking Table'!$V402*VLOOKUP('BMP P Tracking Table'!$R402,'Loading Rates'!$B$1:$L$24,4,FALSE)+IF('BMP P Tracking Table'!$W402="By HSG",'BMP P Tracking Table'!$X402*VLOOKUP('BMP P Tracking Table'!$R402,'Loading Rates'!$B$1:$L$24,6,FALSE)+'BMP P Tracking Table'!$Y402*VLOOKUP('BMP P Tracking Table'!$R402,'Loading Rates'!$B$1:$L$24,7,FALSE)+'BMP P Tracking Table'!$Z402*VLOOKUP('BMP P Tracking Table'!$R402,'Loading Rates'!$B$1:$L$24,8,FALSE)+'BMP P Tracking Table'!$AA402*VLOOKUP('BMP P Tracking Table'!$R402,'Loading Rates'!$B$1:$L$24,9,FALSE),'BMP P Tracking Table'!$AB402*VLOOKUP('BMP P Tracking Table'!$R402,'Loading Rates'!$B$1:$L$24,10,FALSE)),'BMP P Tracking Table'!$AP402*VLOOKUP('BMP P Tracking Table'!$R402,'Loading Rates'!$B$1:$L$24,4,FALSE)+IF('BMP P Tracking Table'!$AQ402="By HSG",'BMP P Tracking Table'!$AR402*VLOOKUP('BMP P Tracking Table'!$R402,'Loading Rates'!$B$1:$L$24,6,FALSE)+'BMP P Tracking Table'!$AS402*VLOOKUP('BMP P Tracking Table'!$R402,'Loading Rates'!$B$1:$L$24,7,FALSE)+'BMP P Tracking Table'!$AT402*VLOOKUP('BMP P Tracking Table'!$R402,'Loading Rates'!$B$1:$L$24,8,FALSE)+'BMP P Tracking Table'!$AU402*VLOOKUP('BMP P Tracking Table'!$R402,'Loading Rates'!$B$1:$L$24,9,FALSE),'BMP P Tracking Table'!$AV402*VLOOKUP('BMP P Tracking Table'!$R402,'Loading Rates'!$B$1:$L$24,10,FALSE))),"")</f>
        <v/>
      </c>
      <c r="BA402" s="104" t="str">
        <f>IFERROR(IF('BMP P Tracking Table'!$AM402="Yes",MIN(2,IF('BMP P Tracking Table'!$AQ402="Total Pervious",(-(3630*'BMP P Tracking Table'!$AP402+20.691*'BMP P Tracking Table'!$AV402)+SQRT((3630*'BMP P Tracking Table'!$AP402+20.691*'BMP P Tracking Table'!$AV402)^2-(4*(996.798*'BMP P Tracking Table'!$AV402)*-'BMP P Tracking Table'!$AX402)))/(2*(996.798*'BMP P Tracking Table'!$AV402)),IF(SUM('BMP P Tracking Table'!$AR402:$AU402)=0,'BMP P Tracking Table'!$AV402/(-3630*'BMP P Tracking Table'!$AP402),(-(3630*'BMP P Tracking Table'!$AP402+20.691*'BMP P Tracking Table'!$AU402-216.711*'BMP P Tracking Table'!$AT402-83.853*'BMP P Tracking Table'!$AS402-42.834*'BMP P Tracking Table'!$AR402)+SQRT((3630*'BMP P Tracking Table'!$AP402+20.691*'BMP P Tracking Table'!$AU402-216.711*'BMP P Tracking Table'!$AT402-83.853*'BMP P Tracking Table'!$AS402-42.834*'BMP P Tracking Table'!$AR402)^2-(4*(149.919*'BMP P Tracking Table'!$AR402+236.676*'BMP P Tracking Table'!$AS402+726*'BMP P Tracking Table'!$AT402+996.798*'BMP P Tracking Table'!$AU402)*-'BMP P Tracking Table'!$AX402)))/(2*(149.919*'BMP P Tracking Table'!$AR402+236.676*'BMP P Tracking Table'!$AS402+726*'BMP P Tracking Table'!$AT402+996.798*'BMP P Tracking Table'!$AU402))))),MIN(2,IF('BMP P Tracking Table'!$AQ402="Total Pervious",(-(3630*'BMP P Tracking Table'!$V402+20.691*'BMP P Tracking Table'!$AB402)+SQRT((3630*'BMP P Tracking Table'!$V402+20.691*'BMP P Tracking Table'!$AB402)^2-(4*(996.798*'BMP P Tracking Table'!$AB402)*-'BMP P Tracking Table'!$AX402)))/(2*(996.798*'BMP P Tracking Table'!$AB402)),IF(SUM('BMP P Tracking Table'!$X402:$AA402)=0,'BMP P Tracking Table'!$AX402/(-3630*'BMP P Tracking Table'!$V402),(-(3630*'BMP P Tracking Table'!$V402+20.691*'BMP P Tracking Table'!$AA402-216.711*'BMP P Tracking Table'!$Z402-83.853*'BMP P Tracking Table'!$Y402-42.834*'BMP P Tracking Table'!$X402)+SQRT((3630*'BMP P Tracking Table'!$V402+20.691*'BMP P Tracking Table'!$AA402-216.711*'BMP P Tracking Table'!$Z402-83.853*'BMP P Tracking Table'!$Y402-42.834*'BMP P Tracking Table'!$X402)^2-(4*(149.919*'BMP P Tracking Table'!$X402+236.676*'BMP P Tracking Table'!$Y402+726*'BMP P Tracking Table'!$Z402+996.798*'BMP P Tracking Table'!$AA402)*-'BMP P Tracking Table'!$AX402)))/(2*(149.919*'BMP P Tracking Table'!$X402+236.676*'BMP P Tracking Table'!$Y402+726*'BMP P Tracking Table'!$Z402+996.798*'BMP P Tracking Table'!$AA402)))))),"")</f>
        <v/>
      </c>
      <c r="BB402" s="102" t="str">
        <f>IFERROR((VLOOKUP(CONCATENATE('BMP P Tracking Table'!$AW402," ",'BMP P Tracking Table'!$AY402),'Performance Curves'!$C$1:$L$46,_xlfn.SINGLE(MATCH('BMP P Tracking Table'!$BA402,'Performance Curves'!$D$1:$L$1,1))+2,FALSE)-VLOOKUP(CONCATENATE('BMP P Tracking Table'!$AW402," ",'BMP P Tracking Table'!$AY402),'Performance Curves'!$C$1:$L$46,_xlfn.SINGLE(MATCH('BMP P Tracking Table'!$BA402,'Performance Curves'!$D$1:$L$1,1))+1,FALSE)),"")</f>
        <v/>
      </c>
      <c r="BC402" s="102" t="str">
        <f>IFERROR(('BMP P Tracking Table'!$BA402-INDEX('Performance Curves'!$D$1:$L$1,1,MATCH('BMP P Tracking Table'!$BA402,'Performance Curves'!$D$1:$L$1,1)))/(INDEX('Performance Curves'!$D$1:$L$1,1,MATCH('BMP P Tracking Table'!$BA402,'Performance Curves'!$D$1:$L$1,1)+1)-INDEX('Performance Curves'!$D$1:$L$1,1,MATCH('BMP P Tracking Table'!$BA402,'Performance Curves'!$D$1:$L$1,1))),"")</f>
        <v/>
      </c>
      <c r="BD402" s="103" t="str" cm="1">
        <f t="array" ref="BD402">IFERROR(IF('BMP P Tracking Table'!$BA402=2,VLOOKUP(CONCATENATE('BMP P Tracking Table'!$AW402," ",'BMP P Tracking Table'!$AY402),'Performance Curves'!$C$1:$L$44,_xlfn.SINGLE(MATCH('BMP P Tracking Table'!$BA402,'Performance Curves'!$D$1:$L$1,1))+1,FALSE),'BMP P Tracking Table'!$BB402*'BMP P Tracking Table'!$BC402+VLOOKUP(CONCATENATE('BMP P Tracking Table'!$AW402," ",'BMP P Tracking Table'!$AY402),'Performance Curves'!$C$1:$L$44,_xlfn.SINGLE(MATCH('BMP P Tracking Table'!$BA402,'Performance Curves'!$D$1:$L$1,1))+1,FALSE)),"")</f>
        <v/>
      </c>
      <c r="BE402" s="104" t="str">
        <f>IFERROR('BMP P Tracking Table'!$BD402*'BMP P Tracking Table'!$AZ402,"")</f>
        <v/>
      </c>
      <c r="BF402" s="98"/>
      <c r="BG402" s="37">
        <f t="shared" si="40"/>
        <v>0</v>
      </c>
    </row>
    <row r="403" spans="2:59" s="36" customFormat="1">
      <c r="B403" s="65"/>
      <c r="C403" s="65"/>
      <c r="D403" s="65"/>
      <c r="E403" s="65"/>
      <c r="F403" s="94"/>
      <c r="G403" s="94"/>
      <c r="H403" s="65"/>
      <c r="I403" s="65"/>
      <c r="J403" s="65"/>
      <c r="K403" s="95"/>
      <c r="L403" s="65"/>
      <c r="M403" s="65"/>
      <c r="N403" s="65"/>
      <c r="O403" s="65"/>
      <c r="P403" s="65"/>
      <c r="Q403" s="65"/>
      <c r="R403" s="65" t="str">
        <f>IFERROR(VLOOKUP('BMP P Tracking Table'!$Q403,Dropdowns!$C$2:$E$15,3,FALSE),"")</f>
        <v/>
      </c>
      <c r="S403" s="65" t="str">
        <f>IFERROR(VLOOKUP('BMP P Tracking Table'!$R403,Dropdowns!$Q$3:$R$23,2,FALSE),"")</f>
        <v/>
      </c>
      <c r="T403" s="65"/>
      <c r="U403" s="65"/>
      <c r="V403" s="65"/>
      <c r="W403" s="65"/>
      <c r="X403" s="65"/>
      <c r="Y403" s="65"/>
      <c r="Z403" s="65"/>
      <c r="AA403" s="65"/>
      <c r="AB403" s="65"/>
      <c r="AC403" s="97"/>
      <c r="AD403" s="65"/>
      <c r="AE403" s="104" t="str">
        <f>IFERROR('BMP P Tracking Table'!$V403*VLOOKUP('BMP P Tracking Table'!$R403,'Loading Rates'!$B$1:$L$24,4,FALSE)+IF('BMP P Tracking Table'!$W403="By HSG",'BMP P Tracking Table'!$X403*VLOOKUP('BMP P Tracking Table'!$R403,'Loading Rates'!$B$1:$L$24,6,FALSE)+'BMP P Tracking Table'!$Y403*VLOOKUP('BMP P Tracking Table'!$R403,'Loading Rates'!$B$1:$L$24,7,FALSE)+'BMP P Tracking Table'!$Z403*VLOOKUP('BMP P Tracking Table'!$R403,'Loading Rates'!$B$1:$L$24,8,FALSE)+'BMP P Tracking Table'!$AA403*VLOOKUP('BMP P Tracking Table'!$R403,'Loading Rates'!$B$1:$L$24,9,FALSE),'BMP P Tracking Table'!$AB403*VLOOKUP('BMP P Tracking Table'!$R403,'Loading Rates'!$B$1:$L$24,10,FALSE)),"")</f>
        <v/>
      </c>
      <c r="AF403" s="104" t="str">
        <f>IFERROR(MIN(2,IF('BMP P Tracking Table'!$W403="Total Pervious",(-(3630*'BMP P Tracking Table'!$V403+20.691*'BMP P Tracking Table'!$AB403)+SQRT((3630*'BMP P Tracking Table'!$V403+20.691*'BMP P Tracking Table'!$AB403)^2-(4*(996.798*'BMP P Tracking Table'!$AB403)*-'BMP P Tracking Table'!$AC403)))/(2*(996.798*'BMP P Tracking Table'!$AB403)),IF(SUM('BMP P Tracking Table'!$X403:$AA403)=0,'BMP P Tracking Table'!$AC403/(-3630*'BMP P Tracking Table'!$V403),(-(3630*'BMP P Tracking Table'!$V403+20.691*'BMP P Tracking Table'!$AA403-216.711*'BMP P Tracking Table'!$Z403-83.853*'BMP P Tracking Table'!$Y403-42.834*'BMP P Tracking Table'!$X403)+SQRT((3630*'BMP P Tracking Table'!$V403+20.691*'BMP P Tracking Table'!$AA403-216.711*'BMP P Tracking Table'!$Z403-83.853*'BMP P Tracking Table'!$Y403-42.834*'BMP P Tracking Table'!$X403)^2-(4*(149.919*'BMP P Tracking Table'!$X403+236.676*'BMP P Tracking Table'!$Y403+726*'BMP P Tracking Table'!$Z403+996.798*'BMP P Tracking Table'!$AA403)*-'BMP P Tracking Table'!$AC403)))/(2*(149.919*'BMP P Tracking Table'!$X403+236.676*'BMP P Tracking Table'!$Y403+726*'BMP P Tracking Table'!$Z403+996.798*'BMP P Tracking Table'!$AA403))))),"")</f>
        <v/>
      </c>
      <c r="AG403" s="104" t="str">
        <f>IFERROR((VLOOKUP(CONCATENATE('BMP P Tracking Table'!$U403," ",'BMP P Tracking Table'!$AD403),'Performance Curves'!$C$1:$L$46,_xlfn.SINGLE(MATCH('BMP P Tracking Table'!$AF403,'Performance Curves'!$D$1:$L$1,1))+2,FALSE)-VLOOKUP(CONCATENATE('BMP P Tracking Table'!$U403," ",'BMP P Tracking Table'!$AD403),'Performance Curves'!$C$1:$L$46,_xlfn.SINGLE(MATCH('BMP P Tracking Table'!$AF403,'Performance Curves'!$D$1:$L$1,1))+1,FALSE)),"")</f>
        <v/>
      </c>
      <c r="AH403" s="104" t="str">
        <f>IFERROR(('BMP P Tracking Table'!$AF403-INDEX('Performance Curves'!$D$1:$L$1,1,MATCH('BMP P Tracking Table'!$AF403,'Performance Curves'!$D$1:$L$1,1)))/(INDEX('Performance Curves'!$D$1:$L$1,1,MATCH('BMP P Tracking Table'!$AF403,'Performance Curves'!$D$1:$L$1,1)+1)-INDEX('Performance Curves'!$D$1:$L$1,1,MATCH('BMP P Tracking Table'!$AF403,'Performance Curves'!$D$1:$L$1,1))),"")</f>
        <v/>
      </c>
      <c r="AI403" s="103" t="str">
        <f>IFERROR(IF('BMP P Tracking Table'!$AF403=2,VLOOKUP(CONCATENATE('BMP P Tracking Table'!$U403," ",'BMP P Tracking Table'!$AD403),'Performance Curves'!$C$1:$L$46,_xlfn.SINGLE(MATCH('BMP P Tracking Table'!$AF403,'Performance Curves'!$D$1:$L$1,1))+1,FALSE),'BMP P Tracking Table'!$AG403*'BMP P Tracking Table'!$AH403+VLOOKUP(CONCATENATE('BMP P Tracking Table'!$U403," ",'BMP P Tracking Table'!$AD403),'Performance Curves'!$C$1:$L$46,_xlfn.SINGLE(MATCH('BMP P Tracking Table'!$AF403,'Performance Curves'!$D$1:$L$1,1))+1,FALSE)),"")</f>
        <v/>
      </c>
      <c r="AJ403" s="104" t="str">
        <f>IFERROR('BMP P Tracking Table'!$AI403*'BMP P Tracking Table'!$AE403,"")</f>
        <v/>
      </c>
      <c r="AK403" s="65"/>
      <c r="AL403" s="98"/>
      <c r="AM403" s="98"/>
      <c r="AN403" s="64">
        <v>1</v>
      </c>
      <c r="AO403" s="102" t="str">
        <f t="shared" si="39"/>
        <v/>
      </c>
      <c r="AP403" s="98"/>
      <c r="AQ403" s="98"/>
      <c r="AR403" s="98"/>
      <c r="AS403" s="98"/>
      <c r="AT403" s="98"/>
      <c r="AU403" s="98"/>
      <c r="AV403" s="98"/>
      <c r="AW403" s="65"/>
      <c r="AX403" s="99"/>
      <c r="AY403" s="99"/>
      <c r="AZ403" s="104" t="str">
        <f>IF('BMP P Tracking Table'!$AL403="Yes",IF('BMP P Tracking Table'!$AM403="No",'BMP P Tracking Table'!$V403*VLOOKUP('BMP P Tracking Table'!$R403,'Loading Rates'!$B$1:$L$24,4,FALSE)+IF('BMP P Tracking Table'!$W403="By HSG",'BMP P Tracking Table'!$X403*VLOOKUP('BMP P Tracking Table'!$R403,'Loading Rates'!$B$1:$L$24,6,FALSE)+'BMP P Tracking Table'!$Y403*VLOOKUP('BMP P Tracking Table'!$R403,'Loading Rates'!$B$1:$L$24,7,FALSE)+'BMP P Tracking Table'!$Z403*VLOOKUP('BMP P Tracking Table'!$R403,'Loading Rates'!$B$1:$L$24,8,FALSE)+'BMP P Tracking Table'!$AA403*VLOOKUP('BMP P Tracking Table'!$R403,'Loading Rates'!$B$1:$L$24,9,FALSE),'BMP P Tracking Table'!$AB403*VLOOKUP('BMP P Tracking Table'!$R403,'Loading Rates'!$B$1:$L$24,10,FALSE)),'BMP P Tracking Table'!$AP403*VLOOKUP('BMP P Tracking Table'!$R403,'Loading Rates'!$B$1:$L$24,4,FALSE)+IF('BMP P Tracking Table'!$AQ403="By HSG",'BMP P Tracking Table'!$AR403*VLOOKUP('BMP P Tracking Table'!$R403,'Loading Rates'!$B$1:$L$24,6,FALSE)+'BMP P Tracking Table'!$AS403*VLOOKUP('BMP P Tracking Table'!$R403,'Loading Rates'!$B$1:$L$24,7,FALSE)+'BMP P Tracking Table'!$AT403*VLOOKUP('BMP P Tracking Table'!$R403,'Loading Rates'!$B$1:$L$24,8,FALSE)+'BMP P Tracking Table'!$AU403*VLOOKUP('BMP P Tracking Table'!$R403,'Loading Rates'!$B$1:$L$24,9,FALSE),'BMP P Tracking Table'!$AV403*VLOOKUP('BMP P Tracking Table'!$R403,'Loading Rates'!$B$1:$L$24,10,FALSE))),"")</f>
        <v/>
      </c>
      <c r="BA403" s="104" t="str">
        <f>IFERROR(IF('BMP P Tracking Table'!$AM403="Yes",MIN(2,IF('BMP P Tracking Table'!$AQ403="Total Pervious",(-(3630*'BMP P Tracking Table'!$AP403+20.691*'BMP P Tracking Table'!$AV403)+SQRT((3630*'BMP P Tracking Table'!$AP403+20.691*'BMP P Tracking Table'!$AV403)^2-(4*(996.798*'BMP P Tracking Table'!$AV403)*-'BMP P Tracking Table'!$AX403)))/(2*(996.798*'BMP P Tracking Table'!$AV403)),IF(SUM('BMP P Tracking Table'!$AR403:$AU403)=0,'BMP P Tracking Table'!$AV403/(-3630*'BMP P Tracking Table'!$AP403),(-(3630*'BMP P Tracking Table'!$AP403+20.691*'BMP P Tracking Table'!$AU403-216.711*'BMP P Tracking Table'!$AT403-83.853*'BMP P Tracking Table'!$AS403-42.834*'BMP P Tracking Table'!$AR403)+SQRT((3630*'BMP P Tracking Table'!$AP403+20.691*'BMP P Tracking Table'!$AU403-216.711*'BMP P Tracking Table'!$AT403-83.853*'BMP P Tracking Table'!$AS403-42.834*'BMP P Tracking Table'!$AR403)^2-(4*(149.919*'BMP P Tracking Table'!$AR403+236.676*'BMP P Tracking Table'!$AS403+726*'BMP P Tracking Table'!$AT403+996.798*'BMP P Tracking Table'!$AU403)*-'BMP P Tracking Table'!$AX403)))/(2*(149.919*'BMP P Tracking Table'!$AR403+236.676*'BMP P Tracking Table'!$AS403+726*'BMP P Tracking Table'!$AT403+996.798*'BMP P Tracking Table'!$AU403))))),MIN(2,IF('BMP P Tracking Table'!$AQ403="Total Pervious",(-(3630*'BMP P Tracking Table'!$V403+20.691*'BMP P Tracking Table'!$AB403)+SQRT((3630*'BMP P Tracking Table'!$V403+20.691*'BMP P Tracking Table'!$AB403)^2-(4*(996.798*'BMP P Tracking Table'!$AB403)*-'BMP P Tracking Table'!$AX403)))/(2*(996.798*'BMP P Tracking Table'!$AB403)),IF(SUM('BMP P Tracking Table'!$X403:$AA403)=0,'BMP P Tracking Table'!$AX403/(-3630*'BMP P Tracking Table'!$V403),(-(3630*'BMP P Tracking Table'!$V403+20.691*'BMP P Tracking Table'!$AA403-216.711*'BMP P Tracking Table'!$Z403-83.853*'BMP P Tracking Table'!$Y403-42.834*'BMP P Tracking Table'!$X403)+SQRT((3630*'BMP P Tracking Table'!$V403+20.691*'BMP P Tracking Table'!$AA403-216.711*'BMP P Tracking Table'!$Z403-83.853*'BMP P Tracking Table'!$Y403-42.834*'BMP P Tracking Table'!$X403)^2-(4*(149.919*'BMP P Tracking Table'!$X403+236.676*'BMP P Tracking Table'!$Y403+726*'BMP P Tracking Table'!$Z403+996.798*'BMP P Tracking Table'!$AA403)*-'BMP P Tracking Table'!$AX403)))/(2*(149.919*'BMP P Tracking Table'!$X403+236.676*'BMP P Tracking Table'!$Y403+726*'BMP P Tracking Table'!$Z403+996.798*'BMP P Tracking Table'!$AA403)))))),"")</f>
        <v/>
      </c>
      <c r="BB403" s="102" t="str">
        <f>IFERROR((VLOOKUP(CONCATENATE('BMP P Tracking Table'!$AW403," ",'BMP P Tracking Table'!$AY403),'Performance Curves'!$C$1:$L$46,_xlfn.SINGLE(MATCH('BMP P Tracking Table'!$BA403,'Performance Curves'!$D$1:$L$1,1))+2,FALSE)-VLOOKUP(CONCATENATE('BMP P Tracking Table'!$AW403," ",'BMP P Tracking Table'!$AY403),'Performance Curves'!$C$1:$L$46,_xlfn.SINGLE(MATCH('BMP P Tracking Table'!$BA403,'Performance Curves'!$D$1:$L$1,1))+1,FALSE)),"")</f>
        <v/>
      </c>
      <c r="BC403" s="102" t="str">
        <f>IFERROR(('BMP P Tracking Table'!$BA403-INDEX('Performance Curves'!$D$1:$L$1,1,MATCH('BMP P Tracking Table'!$BA403,'Performance Curves'!$D$1:$L$1,1)))/(INDEX('Performance Curves'!$D$1:$L$1,1,MATCH('BMP P Tracking Table'!$BA403,'Performance Curves'!$D$1:$L$1,1)+1)-INDEX('Performance Curves'!$D$1:$L$1,1,MATCH('BMP P Tracking Table'!$BA403,'Performance Curves'!$D$1:$L$1,1))),"")</f>
        <v/>
      </c>
      <c r="BD403" s="103" t="str" cm="1">
        <f t="array" ref="BD403">IFERROR(IF('BMP P Tracking Table'!$BA403=2,VLOOKUP(CONCATENATE('BMP P Tracking Table'!$AW403," ",'BMP P Tracking Table'!$AY403),'Performance Curves'!$C$1:$L$44,_xlfn.SINGLE(MATCH('BMP P Tracking Table'!$BA403,'Performance Curves'!$D$1:$L$1,1))+1,FALSE),'BMP P Tracking Table'!$BB403*'BMP P Tracking Table'!$BC403+VLOOKUP(CONCATENATE('BMP P Tracking Table'!$AW403," ",'BMP P Tracking Table'!$AY403),'Performance Curves'!$C$1:$L$44,_xlfn.SINGLE(MATCH('BMP P Tracking Table'!$BA403,'Performance Curves'!$D$1:$L$1,1))+1,FALSE)),"")</f>
        <v/>
      </c>
      <c r="BE403" s="104" t="str">
        <f>IFERROR('BMP P Tracking Table'!$BD403*'BMP P Tracking Table'!$AZ403,"")</f>
        <v/>
      </c>
      <c r="BF403" s="98"/>
      <c r="BG403" s="37">
        <f t="shared" si="40"/>
        <v>0</v>
      </c>
    </row>
    <row r="404" spans="2:59" s="36" customFormat="1">
      <c r="B404" s="65"/>
      <c r="C404" s="65"/>
      <c r="D404" s="65"/>
      <c r="E404" s="65"/>
      <c r="F404" s="94"/>
      <c r="G404" s="94"/>
      <c r="H404" s="65"/>
      <c r="I404" s="65"/>
      <c r="J404" s="65"/>
      <c r="K404" s="95"/>
      <c r="L404" s="65"/>
      <c r="M404" s="65"/>
      <c r="N404" s="65"/>
      <c r="O404" s="65"/>
      <c r="P404" s="65"/>
      <c r="Q404" s="65"/>
      <c r="R404" s="65" t="str">
        <f>IFERROR(VLOOKUP('BMP P Tracking Table'!$Q404,Dropdowns!$C$2:$E$15,3,FALSE),"")</f>
        <v/>
      </c>
      <c r="S404" s="65" t="str">
        <f>IFERROR(VLOOKUP('BMP P Tracking Table'!$R404,Dropdowns!$Q$3:$R$23,2,FALSE),"")</f>
        <v/>
      </c>
      <c r="T404" s="65"/>
      <c r="U404" s="65"/>
      <c r="V404" s="65"/>
      <c r="W404" s="65"/>
      <c r="X404" s="65"/>
      <c r="Y404" s="65"/>
      <c r="Z404" s="65"/>
      <c r="AA404" s="65"/>
      <c r="AB404" s="65"/>
      <c r="AC404" s="97"/>
      <c r="AD404" s="65"/>
      <c r="AE404" s="104" t="str">
        <f>IFERROR('BMP P Tracking Table'!$V404*VLOOKUP('BMP P Tracking Table'!$R404,'Loading Rates'!$B$1:$L$24,4,FALSE)+IF('BMP P Tracking Table'!$W404="By HSG",'BMP P Tracking Table'!$X404*VLOOKUP('BMP P Tracking Table'!$R404,'Loading Rates'!$B$1:$L$24,6,FALSE)+'BMP P Tracking Table'!$Y404*VLOOKUP('BMP P Tracking Table'!$R404,'Loading Rates'!$B$1:$L$24,7,FALSE)+'BMP P Tracking Table'!$Z404*VLOOKUP('BMP P Tracking Table'!$R404,'Loading Rates'!$B$1:$L$24,8,FALSE)+'BMP P Tracking Table'!$AA404*VLOOKUP('BMP P Tracking Table'!$R404,'Loading Rates'!$B$1:$L$24,9,FALSE),'BMP P Tracking Table'!$AB404*VLOOKUP('BMP P Tracking Table'!$R404,'Loading Rates'!$B$1:$L$24,10,FALSE)),"")</f>
        <v/>
      </c>
      <c r="AF404" s="104" t="str">
        <f>IFERROR(MIN(2,IF('BMP P Tracking Table'!$W404="Total Pervious",(-(3630*'BMP P Tracking Table'!$V404+20.691*'BMP P Tracking Table'!$AB404)+SQRT((3630*'BMP P Tracking Table'!$V404+20.691*'BMP P Tracking Table'!$AB404)^2-(4*(996.798*'BMP P Tracking Table'!$AB404)*-'BMP P Tracking Table'!$AC404)))/(2*(996.798*'BMP P Tracking Table'!$AB404)),IF(SUM('BMP P Tracking Table'!$X404:$AA404)=0,'BMP P Tracking Table'!$AC404/(-3630*'BMP P Tracking Table'!$V404),(-(3630*'BMP P Tracking Table'!$V404+20.691*'BMP P Tracking Table'!$AA404-216.711*'BMP P Tracking Table'!$Z404-83.853*'BMP P Tracking Table'!$Y404-42.834*'BMP P Tracking Table'!$X404)+SQRT((3630*'BMP P Tracking Table'!$V404+20.691*'BMP P Tracking Table'!$AA404-216.711*'BMP P Tracking Table'!$Z404-83.853*'BMP P Tracking Table'!$Y404-42.834*'BMP P Tracking Table'!$X404)^2-(4*(149.919*'BMP P Tracking Table'!$X404+236.676*'BMP P Tracking Table'!$Y404+726*'BMP P Tracking Table'!$Z404+996.798*'BMP P Tracking Table'!$AA404)*-'BMP P Tracking Table'!$AC404)))/(2*(149.919*'BMP P Tracking Table'!$X404+236.676*'BMP P Tracking Table'!$Y404+726*'BMP P Tracking Table'!$Z404+996.798*'BMP P Tracking Table'!$AA404))))),"")</f>
        <v/>
      </c>
      <c r="AG404" s="104" t="str">
        <f>IFERROR((VLOOKUP(CONCATENATE('BMP P Tracking Table'!$U404," ",'BMP P Tracking Table'!$AD404),'Performance Curves'!$C$1:$L$46,_xlfn.SINGLE(MATCH('BMP P Tracking Table'!$AF404,'Performance Curves'!$D$1:$L$1,1))+2,FALSE)-VLOOKUP(CONCATENATE('BMP P Tracking Table'!$U404," ",'BMP P Tracking Table'!$AD404),'Performance Curves'!$C$1:$L$46,_xlfn.SINGLE(MATCH('BMP P Tracking Table'!$AF404,'Performance Curves'!$D$1:$L$1,1))+1,FALSE)),"")</f>
        <v/>
      </c>
      <c r="AH404" s="104" t="str">
        <f>IFERROR(('BMP P Tracking Table'!$AF404-INDEX('Performance Curves'!$D$1:$L$1,1,MATCH('BMP P Tracking Table'!$AF404,'Performance Curves'!$D$1:$L$1,1)))/(INDEX('Performance Curves'!$D$1:$L$1,1,MATCH('BMP P Tracking Table'!$AF404,'Performance Curves'!$D$1:$L$1,1)+1)-INDEX('Performance Curves'!$D$1:$L$1,1,MATCH('BMP P Tracking Table'!$AF404,'Performance Curves'!$D$1:$L$1,1))),"")</f>
        <v/>
      </c>
      <c r="AI404" s="103" t="str">
        <f>IFERROR(IF('BMP P Tracking Table'!$AF404=2,VLOOKUP(CONCATENATE('BMP P Tracking Table'!$U404," ",'BMP P Tracking Table'!$AD404),'Performance Curves'!$C$1:$L$46,_xlfn.SINGLE(MATCH('BMP P Tracking Table'!$AF404,'Performance Curves'!$D$1:$L$1,1))+1,FALSE),'BMP P Tracking Table'!$AG404*'BMP P Tracking Table'!$AH404+VLOOKUP(CONCATENATE('BMP P Tracking Table'!$U404," ",'BMP P Tracking Table'!$AD404),'Performance Curves'!$C$1:$L$46,_xlfn.SINGLE(MATCH('BMP P Tracking Table'!$AF404,'Performance Curves'!$D$1:$L$1,1))+1,FALSE)),"")</f>
        <v/>
      </c>
      <c r="AJ404" s="104" t="str">
        <f>IFERROR('BMP P Tracking Table'!$AI404*'BMP P Tracking Table'!$AE404,"")</f>
        <v/>
      </c>
      <c r="AK404" s="65"/>
      <c r="AL404" s="98"/>
      <c r="AM404" s="98"/>
      <c r="AN404" s="64">
        <v>1</v>
      </c>
      <c r="AO404" s="102" t="str">
        <f t="shared" si="39"/>
        <v/>
      </c>
      <c r="AP404" s="98"/>
      <c r="AQ404" s="98"/>
      <c r="AR404" s="98"/>
      <c r="AS404" s="98"/>
      <c r="AT404" s="98"/>
      <c r="AU404" s="98"/>
      <c r="AV404" s="98"/>
      <c r="AW404" s="65"/>
      <c r="AX404" s="99"/>
      <c r="AY404" s="99"/>
      <c r="AZ404" s="104" t="str">
        <f>IF('BMP P Tracking Table'!$AL404="Yes",IF('BMP P Tracking Table'!$AM404="No",'BMP P Tracking Table'!$V404*VLOOKUP('BMP P Tracking Table'!$R404,'Loading Rates'!$B$1:$L$24,4,FALSE)+IF('BMP P Tracking Table'!$W404="By HSG",'BMP P Tracking Table'!$X404*VLOOKUP('BMP P Tracking Table'!$R404,'Loading Rates'!$B$1:$L$24,6,FALSE)+'BMP P Tracking Table'!$Y404*VLOOKUP('BMP P Tracking Table'!$R404,'Loading Rates'!$B$1:$L$24,7,FALSE)+'BMP P Tracking Table'!$Z404*VLOOKUP('BMP P Tracking Table'!$R404,'Loading Rates'!$B$1:$L$24,8,FALSE)+'BMP P Tracking Table'!$AA404*VLOOKUP('BMP P Tracking Table'!$R404,'Loading Rates'!$B$1:$L$24,9,FALSE),'BMP P Tracking Table'!$AB404*VLOOKUP('BMP P Tracking Table'!$R404,'Loading Rates'!$B$1:$L$24,10,FALSE)),'BMP P Tracking Table'!$AP404*VLOOKUP('BMP P Tracking Table'!$R404,'Loading Rates'!$B$1:$L$24,4,FALSE)+IF('BMP P Tracking Table'!$AQ404="By HSG",'BMP P Tracking Table'!$AR404*VLOOKUP('BMP P Tracking Table'!$R404,'Loading Rates'!$B$1:$L$24,6,FALSE)+'BMP P Tracking Table'!$AS404*VLOOKUP('BMP P Tracking Table'!$R404,'Loading Rates'!$B$1:$L$24,7,FALSE)+'BMP P Tracking Table'!$AT404*VLOOKUP('BMP P Tracking Table'!$R404,'Loading Rates'!$B$1:$L$24,8,FALSE)+'BMP P Tracking Table'!$AU404*VLOOKUP('BMP P Tracking Table'!$R404,'Loading Rates'!$B$1:$L$24,9,FALSE),'BMP P Tracking Table'!$AV404*VLOOKUP('BMP P Tracking Table'!$R404,'Loading Rates'!$B$1:$L$24,10,FALSE))),"")</f>
        <v/>
      </c>
      <c r="BA404" s="104" t="str">
        <f>IFERROR(IF('BMP P Tracking Table'!$AM404="Yes",MIN(2,IF('BMP P Tracking Table'!$AQ404="Total Pervious",(-(3630*'BMP P Tracking Table'!$AP404+20.691*'BMP P Tracking Table'!$AV404)+SQRT((3630*'BMP P Tracking Table'!$AP404+20.691*'BMP P Tracking Table'!$AV404)^2-(4*(996.798*'BMP P Tracking Table'!$AV404)*-'BMP P Tracking Table'!$AX404)))/(2*(996.798*'BMP P Tracking Table'!$AV404)),IF(SUM('BMP P Tracking Table'!$AR404:$AU404)=0,'BMP P Tracking Table'!$AV404/(-3630*'BMP P Tracking Table'!$AP404),(-(3630*'BMP P Tracking Table'!$AP404+20.691*'BMP P Tracking Table'!$AU404-216.711*'BMP P Tracking Table'!$AT404-83.853*'BMP P Tracking Table'!$AS404-42.834*'BMP P Tracking Table'!$AR404)+SQRT((3630*'BMP P Tracking Table'!$AP404+20.691*'BMP P Tracking Table'!$AU404-216.711*'BMP P Tracking Table'!$AT404-83.853*'BMP P Tracking Table'!$AS404-42.834*'BMP P Tracking Table'!$AR404)^2-(4*(149.919*'BMP P Tracking Table'!$AR404+236.676*'BMP P Tracking Table'!$AS404+726*'BMP P Tracking Table'!$AT404+996.798*'BMP P Tracking Table'!$AU404)*-'BMP P Tracking Table'!$AX404)))/(2*(149.919*'BMP P Tracking Table'!$AR404+236.676*'BMP P Tracking Table'!$AS404+726*'BMP P Tracking Table'!$AT404+996.798*'BMP P Tracking Table'!$AU404))))),MIN(2,IF('BMP P Tracking Table'!$AQ404="Total Pervious",(-(3630*'BMP P Tracking Table'!$V404+20.691*'BMP P Tracking Table'!$AB404)+SQRT((3630*'BMP P Tracking Table'!$V404+20.691*'BMP P Tracking Table'!$AB404)^2-(4*(996.798*'BMP P Tracking Table'!$AB404)*-'BMP P Tracking Table'!$AX404)))/(2*(996.798*'BMP P Tracking Table'!$AB404)),IF(SUM('BMP P Tracking Table'!$X404:$AA404)=0,'BMP P Tracking Table'!$AX404/(-3630*'BMP P Tracking Table'!$V404),(-(3630*'BMP P Tracking Table'!$V404+20.691*'BMP P Tracking Table'!$AA404-216.711*'BMP P Tracking Table'!$Z404-83.853*'BMP P Tracking Table'!$Y404-42.834*'BMP P Tracking Table'!$X404)+SQRT((3630*'BMP P Tracking Table'!$V404+20.691*'BMP P Tracking Table'!$AA404-216.711*'BMP P Tracking Table'!$Z404-83.853*'BMP P Tracking Table'!$Y404-42.834*'BMP P Tracking Table'!$X404)^2-(4*(149.919*'BMP P Tracking Table'!$X404+236.676*'BMP P Tracking Table'!$Y404+726*'BMP P Tracking Table'!$Z404+996.798*'BMP P Tracking Table'!$AA404)*-'BMP P Tracking Table'!$AX404)))/(2*(149.919*'BMP P Tracking Table'!$X404+236.676*'BMP P Tracking Table'!$Y404+726*'BMP P Tracking Table'!$Z404+996.798*'BMP P Tracking Table'!$AA404)))))),"")</f>
        <v/>
      </c>
      <c r="BB404" s="102" t="str">
        <f>IFERROR((VLOOKUP(CONCATENATE('BMP P Tracking Table'!$AW404," ",'BMP P Tracking Table'!$AY404),'Performance Curves'!$C$1:$L$46,_xlfn.SINGLE(MATCH('BMP P Tracking Table'!$BA404,'Performance Curves'!$D$1:$L$1,1))+2,FALSE)-VLOOKUP(CONCATENATE('BMP P Tracking Table'!$AW404," ",'BMP P Tracking Table'!$AY404),'Performance Curves'!$C$1:$L$46,_xlfn.SINGLE(MATCH('BMP P Tracking Table'!$BA404,'Performance Curves'!$D$1:$L$1,1))+1,FALSE)),"")</f>
        <v/>
      </c>
      <c r="BC404" s="102" t="str">
        <f>IFERROR(('BMP P Tracking Table'!$BA404-INDEX('Performance Curves'!$D$1:$L$1,1,MATCH('BMP P Tracking Table'!$BA404,'Performance Curves'!$D$1:$L$1,1)))/(INDEX('Performance Curves'!$D$1:$L$1,1,MATCH('BMP P Tracking Table'!$BA404,'Performance Curves'!$D$1:$L$1,1)+1)-INDEX('Performance Curves'!$D$1:$L$1,1,MATCH('BMP P Tracking Table'!$BA404,'Performance Curves'!$D$1:$L$1,1))),"")</f>
        <v/>
      </c>
      <c r="BD404" s="103" t="str" cm="1">
        <f t="array" ref="BD404">IFERROR(IF('BMP P Tracking Table'!$BA404=2,VLOOKUP(CONCATENATE('BMP P Tracking Table'!$AW404," ",'BMP P Tracking Table'!$AY404),'Performance Curves'!$C$1:$L$44,_xlfn.SINGLE(MATCH('BMP P Tracking Table'!$BA404,'Performance Curves'!$D$1:$L$1,1))+1,FALSE),'BMP P Tracking Table'!$BB404*'BMP P Tracking Table'!$BC404+VLOOKUP(CONCATENATE('BMP P Tracking Table'!$AW404," ",'BMP P Tracking Table'!$AY404),'Performance Curves'!$C$1:$L$44,_xlfn.SINGLE(MATCH('BMP P Tracking Table'!$BA404,'Performance Curves'!$D$1:$L$1,1))+1,FALSE)),"")</f>
        <v/>
      </c>
      <c r="BE404" s="104" t="str">
        <f>IFERROR('BMP P Tracking Table'!$BD404*'BMP P Tracking Table'!$AZ404,"")</f>
        <v/>
      </c>
      <c r="BF404" s="98"/>
      <c r="BG404" s="37">
        <f t="shared" si="40"/>
        <v>0</v>
      </c>
    </row>
    <row r="405" spans="2:59" s="36" customFormat="1">
      <c r="B405" s="65"/>
      <c r="C405" s="65"/>
      <c r="D405" s="65"/>
      <c r="E405" s="65"/>
      <c r="F405" s="94"/>
      <c r="G405" s="94"/>
      <c r="H405" s="65"/>
      <c r="I405" s="65"/>
      <c r="J405" s="65"/>
      <c r="K405" s="95"/>
      <c r="L405" s="65"/>
      <c r="M405" s="65"/>
      <c r="N405" s="65"/>
      <c r="O405" s="65"/>
      <c r="P405" s="65"/>
      <c r="Q405" s="65"/>
      <c r="R405" s="65" t="str">
        <f>IFERROR(VLOOKUP('BMP P Tracking Table'!$Q405,Dropdowns!$C$2:$E$15,3,FALSE),"")</f>
        <v/>
      </c>
      <c r="S405" s="65" t="str">
        <f>IFERROR(VLOOKUP('BMP P Tracking Table'!$R405,Dropdowns!$Q$3:$R$23,2,FALSE),"")</f>
        <v/>
      </c>
      <c r="T405" s="65"/>
      <c r="U405" s="65"/>
      <c r="V405" s="65"/>
      <c r="W405" s="65"/>
      <c r="X405" s="65"/>
      <c r="Y405" s="65"/>
      <c r="Z405" s="65"/>
      <c r="AA405" s="65"/>
      <c r="AB405" s="65"/>
      <c r="AC405" s="97"/>
      <c r="AD405" s="65"/>
      <c r="AE405" s="104" t="str">
        <f>IFERROR('BMP P Tracking Table'!$V405*VLOOKUP('BMP P Tracking Table'!$R405,'Loading Rates'!$B$1:$L$24,4,FALSE)+IF('BMP P Tracking Table'!$W405="By HSG",'BMP P Tracking Table'!$X405*VLOOKUP('BMP P Tracking Table'!$R405,'Loading Rates'!$B$1:$L$24,6,FALSE)+'BMP P Tracking Table'!$Y405*VLOOKUP('BMP P Tracking Table'!$R405,'Loading Rates'!$B$1:$L$24,7,FALSE)+'BMP P Tracking Table'!$Z405*VLOOKUP('BMP P Tracking Table'!$R405,'Loading Rates'!$B$1:$L$24,8,FALSE)+'BMP P Tracking Table'!$AA405*VLOOKUP('BMP P Tracking Table'!$R405,'Loading Rates'!$B$1:$L$24,9,FALSE),'BMP P Tracking Table'!$AB405*VLOOKUP('BMP P Tracking Table'!$R405,'Loading Rates'!$B$1:$L$24,10,FALSE)),"")</f>
        <v/>
      </c>
      <c r="AF405" s="104" t="str">
        <f>IFERROR(MIN(2,IF('BMP P Tracking Table'!$W405="Total Pervious",(-(3630*'BMP P Tracking Table'!$V405+20.691*'BMP P Tracking Table'!$AB405)+SQRT((3630*'BMP P Tracking Table'!$V405+20.691*'BMP P Tracking Table'!$AB405)^2-(4*(996.798*'BMP P Tracking Table'!$AB405)*-'BMP P Tracking Table'!$AC405)))/(2*(996.798*'BMP P Tracking Table'!$AB405)),IF(SUM('BMP P Tracking Table'!$X405:$AA405)=0,'BMP P Tracking Table'!$AC405/(-3630*'BMP P Tracking Table'!$V405),(-(3630*'BMP P Tracking Table'!$V405+20.691*'BMP P Tracking Table'!$AA405-216.711*'BMP P Tracking Table'!$Z405-83.853*'BMP P Tracking Table'!$Y405-42.834*'BMP P Tracking Table'!$X405)+SQRT((3630*'BMP P Tracking Table'!$V405+20.691*'BMP P Tracking Table'!$AA405-216.711*'BMP P Tracking Table'!$Z405-83.853*'BMP P Tracking Table'!$Y405-42.834*'BMP P Tracking Table'!$X405)^2-(4*(149.919*'BMP P Tracking Table'!$X405+236.676*'BMP P Tracking Table'!$Y405+726*'BMP P Tracking Table'!$Z405+996.798*'BMP P Tracking Table'!$AA405)*-'BMP P Tracking Table'!$AC405)))/(2*(149.919*'BMP P Tracking Table'!$X405+236.676*'BMP P Tracking Table'!$Y405+726*'BMP P Tracking Table'!$Z405+996.798*'BMP P Tracking Table'!$AA405))))),"")</f>
        <v/>
      </c>
      <c r="AG405" s="104" t="str">
        <f>IFERROR((VLOOKUP(CONCATENATE('BMP P Tracking Table'!$U405," ",'BMP P Tracking Table'!$AD405),'Performance Curves'!$C$1:$L$46,_xlfn.SINGLE(MATCH('BMP P Tracking Table'!$AF405,'Performance Curves'!$D$1:$L$1,1))+2,FALSE)-VLOOKUP(CONCATENATE('BMP P Tracking Table'!$U405," ",'BMP P Tracking Table'!$AD405),'Performance Curves'!$C$1:$L$46,_xlfn.SINGLE(MATCH('BMP P Tracking Table'!$AF405,'Performance Curves'!$D$1:$L$1,1))+1,FALSE)),"")</f>
        <v/>
      </c>
      <c r="AH405" s="104" t="str">
        <f>IFERROR(('BMP P Tracking Table'!$AF405-INDEX('Performance Curves'!$D$1:$L$1,1,MATCH('BMP P Tracking Table'!$AF405,'Performance Curves'!$D$1:$L$1,1)))/(INDEX('Performance Curves'!$D$1:$L$1,1,MATCH('BMP P Tracking Table'!$AF405,'Performance Curves'!$D$1:$L$1,1)+1)-INDEX('Performance Curves'!$D$1:$L$1,1,MATCH('BMP P Tracking Table'!$AF405,'Performance Curves'!$D$1:$L$1,1))),"")</f>
        <v/>
      </c>
      <c r="AI405" s="103" t="str">
        <f>IFERROR(IF('BMP P Tracking Table'!$AF405=2,VLOOKUP(CONCATENATE('BMP P Tracking Table'!$U405," ",'BMP P Tracking Table'!$AD405),'Performance Curves'!$C$1:$L$46,_xlfn.SINGLE(MATCH('BMP P Tracking Table'!$AF405,'Performance Curves'!$D$1:$L$1,1))+1,FALSE),'BMP P Tracking Table'!$AG405*'BMP P Tracking Table'!$AH405+VLOOKUP(CONCATENATE('BMP P Tracking Table'!$U405," ",'BMP P Tracking Table'!$AD405),'Performance Curves'!$C$1:$L$46,_xlfn.SINGLE(MATCH('BMP P Tracking Table'!$AF405,'Performance Curves'!$D$1:$L$1,1))+1,FALSE)),"")</f>
        <v/>
      </c>
      <c r="AJ405" s="104" t="str">
        <f>IFERROR('BMP P Tracking Table'!$AI405*'BMP P Tracking Table'!$AE405,"")</f>
        <v/>
      </c>
      <c r="AK405" s="65"/>
      <c r="AL405" s="98"/>
      <c r="AM405" s="98"/>
      <c r="AN405" s="64">
        <v>1</v>
      </c>
      <c r="AO405" s="102" t="str">
        <f t="shared" si="39"/>
        <v/>
      </c>
      <c r="AP405" s="98"/>
      <c r="AQ405" s="98"/>
      <c r="AR405" s="98"/>
      <c r="AS405" s="98"/>
      <c r="AT405" s="98"/>
      <c r="AU405" s="98"/>
      <c r="AV405" s="98"/>
      <c r="AW405" s="65"/>
      <c r="AX405" s="99"/>
      <c r="AY405" s="99"/>
      <c r="AZ405" s="104" t="str">
        <f>IF('BMP P Tracking Table'!$AL405="Yes",IF('BMP P Tracking Table'!$AM405="No",'BMP P Tracking Table'!$V405*VLOOKUP('BMP P Tracking Table'!$R405,'Loading Rates'!$B$1:$L$24,4,FALSE)+IF('BMP P Tracking Table'!$W405="By HSG",'BMP P Tracking Table'!$X405*VLOOKUP('BMP P Tracking Table'!$R405,'Loading Rates'!$B$1:$L$24,6,FALSE)+'BMP P Tracking Table'!$Y405*VLOOKUP('BMP P Tracking Table'!$R405,'Loading Rates'!$B$1:$L$24,7,FALSE)+'BMP P Tracking Table'!$Z405*VLOOKUP('BMP P Tracking Table'!$R405,'Loading Rates'!$B$1:$L$24,8,FALSE)+'BMP P Tracking Table'!$AA405*VLOOKUP('BMP P Tracking Table'!$R405,'Loading Rates'!$B$1:$L$24,9,FALSE),'BMP P Tracking Table'!$AB405*VLOOKUP('BMP P Tracking Table'!$R405,'Loading Rates'!$B$1:$L$24,10,FALSE)),'BMP P Tracking Table'!$AP405*VLOOKUP('BMP P Tracking Table'!$R405,'Loading Rates'!$B$1:$L$24,4,FALSE)+IF('BMP P Tracking Table'!$AQ405="By HSG",'BMP P Tracking Table'!$AR405*VLOOKUP('BMP P Tracking Table'!$R405,'Loading Rates'!$B$1:$L$24,6,FALSE)+'BMP P Tracking Table'!$AS405*VLOOKUP('BMP P Tracking Table'!$R405,'Loading Rates'!$B$1:$L$24,7,FALSE)+'BMP P Tracking Table'!$AT405*VLOOKUP('BMP P Tracking Table'!$R405,'Loading Rates'!$B$1:$L$24,8,FALSE)+'BMP P Tracking Table'!$AU405*VLOOKUP('BMP P Tracking Table'!$R405,'Loading Rates'!$B$1:$L$24,9,FALSE),'BMP P Tracking Table'!$AV405*VLOOKUP('BMP P Tracking Table'!$R405,'Loading Rates'!$B$1:$L$24,10,FALSE))),"")</f>
        <v/>
      </c>
      <c r="BA405" s="104" t="str">
        <f>IFERROR(IF('BMP P Tracking Table'!$AM405="Yes",MIN(2,IF('BMP P Tracking Table'!$AQ405="Total Pervious",(-(3630*'BMP P Tracking Table'!$AP405+20.691*'BMP P Tracking Table'!$AV405)+SQRT((3630*'BMP P Tracking Table'!$AP405+20.691*'BMP P Tracking Table'!$AV405)^2-(4*(996.798*'BMP P Tracking Table'!$AV405)*-'BMP P Tracking Table'!$AX405)))/(2*(996.798*'BMP P Tracking Table'!$AV405)),IF(SUM('BMP P Tracking Table'!$AR405:$AU405)=0,'BMP P Tracking Table'!$AV405/(-3630*'BMP P Tracking Table'!$AP405),(-(3630*'BMP P Tracking Table'!$AP405+20.691*'BMP P Tracking Table'!$AU405-216.711*'BMP P Tracking Table'!$AT405-83.853*'BMP P Tracking Table'!$AS405-42.834*'BMP P Tracking Table'!$AR405)+SQRT((3630*'BMP P Tracking Table'!$AP405+20.691*'BMP P Tracking Table'!$AU405-216.711*'BMP P Tracking Table'!$AT405-83.853*'BMP P Tracking Table'!$AS405-42.834*'BMP P Tracking Table'!$AR405)^2-(4*(149.919*'BMP P Tracking Table'!$AR405+236.676*'BMP P Tracking Table'!$AS405+726*'BMP P Tracking Table'!$AT405+996.798*'BMP P Tracking Table'!$AU405)*-'BMP P Tracking Table'!$AX405)))/(2*(149.919*'BMP P Tracking Table'!$AR405+236.676*'BMP P Tracking Table'!$AS405+726*'BMP P Tracking Table'!$AT405+996.798*'BMP P Tracking Table'!$AU405))))),MIN(2,IF('BMP P Tracking Table'!$AQ405="Total Pervious",(-(3630*'BMP P Tracking Table'!$V405+20.691*'BMP P Tracking Table'!$AB405)+SQRT((3630*'BMP P Tracking Table'!$V405+20.691*'BMP P Tracking Table'!$AB405)^2-(4*(996.798*'BMP P Tracking Table'!$AB405)*-'BMP P Tracking Table'!$AX405)))/(2*(996.798*'BMP P Tracking Table'!$AB405)),IF(SUM('BMP P Tracking Table'!$X405:$AA405)=0,'BMP P Tracking Table'!$AX405/(-3630*'BMP P Tracking Table'!$V405),(-(3630*'BMP P Tracking Table'!$V405+20.691*'BMP P Tracking Table'!$AA405-216.711*'BMP P Tracking Table'!$Z405-83.853*'BMP P Tracking Table'!$Y405-42.834*'BMP P Tracking Table'!$X405)+SQRT((3630*'BMP P Tracking Table'!$V405+20.691*'BMP P Tracking Table'!$AA405-216.711*'BMP P Tracking Table'!$Z405-83.853*'BMP P Tracking Table'!$Y405-42.834*'BMP P Tracking Table'!$X405)^2-(4*(149.919*'BMP P Tracking Table'!$X405+236.676*'BMP P Tracking Table'!$Y405+726*'BMP P Tracking Table'!$Z405+996.798*'BMP P Tracking Table'!$AA405)*-'BMP P Tracking Table'!$AX405)))/(2*(149.919*'BMP P Tracking Table'!$X405+236.676*'BMP P Tracking Table'!$Y405+726*'BMP P Tracking Table'!$Z405+996.798*'BMP P Tracking Table'!$AA405)))))),"")</f>
        <v/>
      </c>
      <c r="BB405" s="102" t="str">
        <f>IFERROR((VLOOKUP(CONCATENATE('BMP P Tracking Table'!$AW405," ",'BMP P Tracking Table'!$AY405),'Performance Curves'!$C$1:$L$46,_xlfn.SINGLE(MATCH('BMP P Tracking Table'!$BA405,'Performance Curves'!$D$1:$L$1,1))+2,FALSE)-VLOOKUP(CONCATENATE('BMP P Tracking Table'!$AW405," ",'BMP P Tracking Table'!$AY405),'Performance Curves'!$C$1:$L$46,_xlfn.SINGLE(MATCH('BMP P Tracking Table'!$BA405,'Performance Curves'!$D$1:$L$1,1))+1,FALSE)),"")</f>
        <v/>
      </c>
      <c r="BC405" s="102" t="str">
        <f>IFERROR(('BMP P Tracking Table'!$BA405-INDEX('Performance Curves'!$D$1:$L$1,1,MATCH('BMP P Tracking Table'!$BA405,'Performance Curves'!$D$1:$L$1,1)))/(INDEX('Performance Curves'!$D$1:$L$1,1,MATCH('BMP P Tracking Table'!$BA405,'Performance Curves'!$D$1:$L$1,1)+1)-INDEX('Performance Curves'!$D$1:$L$1,1,MATCH('BMP P Tracking Table'!$BA405,'Performance Curves'!$D$1:$L$1,1))),"")</f>
        <v/>
      </c>
      <c r="BD405" s="103" t="str" cm="1">
        <f t="array" ref="BD405">IFERROR(IF('BMP P Tracking Table'!$BA405=2,VLOOKUP(CONCATENATE('BMP P Tracking Table'!$AW405," ",'BMP P Tracking Table'!$AY405),'Performance Curves'!$C$1:$L$44,_xlfn.SINGLE(MATCH('BMP P Tracking Table'!$BA405,'Performance Curves'!$D$1:$L$1,1))+1,FALSE),'BMP P Tracking Table'!$BB405*'BMP P Tracking Table'!$BC405+VLOOKUP(CONCATENATE('BMP P Tracking Table'!$AW405," ",'BMP P Tracking Table'!$AY405),'Performance Curves'!$C$1:$L$44,_xlfn.SINGLE(MATCH('BMP P Tracking Table'!$BA405,'Performance Curves'!$D$1:$L$1,1))+1,FALSE)),"")</f>
        <v/>
      </c>
      <c r="BE405" s="104" t="str">
        <f>IFERROR('BMP P Tracking Table'!$BD405*'BMP P Tracking Table'!$AZ405,"")</f>
        <v/>
      </c>
      <c r="BF405" s="98"/>
      <c r="BG405" s="37">
        <f t="shared" si="40"/>
        <v>0</v>
      </c>
    </row>
    <row r="406" spans="2:59" s="36" customFormat="1">
      <c r="B406" s="65"/>
      <c r="C406" s="65"/>
      <c r="D406" s="65"/>
      <c r="E406" s="65"/>
      <c r="F406" s="94"/>
      <c r="G406" s="94"/>
      <c r="H406" s="65"/>
      <c r="I406" s="65"/>
      <c r="J406" s="65"/>
      <c r="K406" s="95"/>
      <c r="L406" s="65"/>
      <c r="M406" s="65"/>
      <c r="N406" s="65"/>
      <c r="O406" s="65"/>
      <c r="P406" s="65"/>
      <c r="Q406" s="65"/>
      <c r="R406" s="65" t="str">
        <f>IFERROR(VLOOKUP('BMP P Tracking Table'!$Q406,Dropdowns!$C$2:$E$15,3,FALSE),"")</f>
        <v/>
      </c>
      <c r="S406" s="65" t="str">
        <f>IFERROR(VLOOKUP('BMP P Tracking Table'!$R406,Dropdowns!$Q$3:$R$23,2,FALSE),"")</f>
        <v/>
      </c>
      <c r="T406" s="65"/>
      <c r="U406" s="65"/>
      <c r="V406" s="65"/>
      <c r="W406" s="65"/>
      <c r="X406" s="65"/>
      <c r="Y406" s="65"/>
      <c r="Z406" s="65"/>
      <c r="AA406" s="65"/>
      <c r="AB406" s="65"/>
      <c r="AC406" s="97"/>
      <c r="AD406" s="65"/>
      <c r="AE406" s="104" t="str">
        <f>IFERROR('BMP P Tracking Table'!$V406*VLOOKUP('BMP P Tracking Table'!$R406,'Loading Rates'!$B$1:$L$24,4,FALSE)+IF('BMP P Tracking Table'!$W406="By HSG",'BMP P Tracking Table'!$X406*VLOOKUP('BMP P Tracking Table'!$R406,'Loading Rates'!$B$1:$L$24,6,FALSE)+'BMP P Tracking Table'!$Y406*VLOOKUP('BMP P Tracking Table'!$R406,'Loading Rates'!$B$1:$L$24,7,FALSE)+'BMP P Tracking Table'!$Z406*VLOOKUP('BMP P Tracking Table'!$R406,'Loading Rates'!$B$1:$L$24,8,FALSE)+'BMP P Tracking Table'!$AA406*VLOOKUP('BMP P Tracking Table'!$R406,'Loading Rates'!$B$1:$L$24,9,FALSE),'BMP P Tracking Table'!$AB406*VLOOKUP('BMP P Tracking Table'!$R406,'Loading Rates'!$B$1:$L$24,10,FALSE)),"")</f>
        <v/>
      </c>
      <c r="AF406" s="104" t="str">
        <f>IFERROR(MIN(2,IF('BMP P Tracking Table'!$W406="Total Pervious",(-(3630*'BMP P Tracking Table'!$V406+20.691*'BMP P Tracking Table'!$AB406)+SQRT((3630*'BMP P Tracking Table'!$V406+20.691*'BMP P Tracking Table'!$AB406)^2-(4*(996.798*'BMP P Tracking Table'!$AB406)*-'BMP P Tracking Table'!$AC406)))/(2*(996.798*'BMP P Tracking Table'!$AB406)),IF(SUM('BMP P Tracking Table'!$X406:$AA406)=0,'BMP P Tracking Table'!$AC406/(-3630*'BMP P Tracking Table'!$V406),(-(3630*'BMP P Tracking Table'!$V406+20.691*'BMP P Tracking Table'!$AA406-216.711*'BMP P Tracking Table'!$Z406-83.853*'BMP P Tracking Table'!$Y406-42.834*'BMP P Tracking Table'!$X406)+SQRT((3630*'BMP P Tracking Table'!$V406+20.691*'BMP P Tracking Table'!$AA406-216.711*'BMP P Tracking Table'!$Z406-83.853*'BMP P Tracking Table'!$Y406-42.834*'BMP P Tracking Table'!$X406)^2-(4*(149.919*'BMP P Tracking Table'!$X406+236.676*'BMP P Tracking Table'!$Y406+726*'BMP P Tracking Table'!$Z406+996.798*'BMP P Tracking Table'!$AA406)*-'BMP P Tracking Table'!$AC406)))/(2*(149.919*'BMP P Tracking Table'!$X406+236.676*'BMP P Tracking Table'!$Y406+726*'BMP P Tracking Table'!$Z406+996.798*'BMP P Tracking Table'!$AA406))))),"")</f>
        <v/>
      </c>
      <c r="AG406" s="104" t="str">
        <f>IFERROR((VLOOKUP(CONCATENATE('BMP P Tracking Table'!$U406," ",'BMP P Tracking Table'!$AD406),'Performance Curves'!$C$1:$L$46,_xlfn.SINGLE(MATCH('BMP P Tracking Table'!$AF406,'Performance Curves'!$D$1:$L$1,1))+2,FALSE)-VLOOKUP(CONCATENATE('BMP P Tracking Table'!$U406," ",'BMP P Tracking Table'!$AD406),'Performance Curves'!$C$1:$L$46,_xlfn.SINGLE(MATCH('BMP P Tracking Table'!$AF406,'Performance Curves'!$D$1:$L$1,1))+1,FALSE)),"")</f>
        <v/>
      </c>
      <c r="AH406" s="104" t="str">
        <f>IFERROR(('BMP P Tracking Table'!$AF406-INDEX('Performance Curves'!$D$1:$L$1,1,MATCH('BMP P Tracking Table'!$AF406,'Performance Curves'!$D$1:$L$1,1)))/(INDEX('Performance Curves'!$D$1:$L$1,1,MATCH('BMP P Tracking Table'!$AF406,'Performance Curves'!$D$1:$L$1,1)+1)-INDEX('Performance Curves'!$D$1:$L$1,1,MATCH('BMP P Tracking Table'!$AF406,'Performance Curves'!$D$1:$L$1,1))),"")</f>
        <v/>
      </c>
      <c r="AI406" s="103" t="str">
        <f>IFERROR(IF('BMP P Tracking Table'!$AF406=2,VLOOKUP(CONCATENATE('BMP P Tracking Table'!$U406," ",'BMP P Tracking Table'!$AD406),'Performance Curves'!$C$1:$L$46,_xlfn.SINGLE(MATCH('BMP P Tracking Table'!$AF406,'Performance Curves'!$D$1:$L$1,1))+1,FALSE),'BMP P Tracking Table'!$AG406*'BMP P Tracking Table'!$AH406+VLOOKUP(CONCATENATE('BMP P Tracking Table'!$U406," ",'BMP P Tracking Table'!$AD406),'Performance Curves'!$C$1:$L$46,_xlfn.SINGLE(MATCH('BMP P Tracking Table'!$AF406,'Performance Curves'!$D$1:$L$1,1))+1,FALSE)),"")</f>
        <v/>
      </c>
      <c r="AJ406" s="104" t="str">
        <f>IFERROR('BMP P Tracking Table'!$AI406*'BMP P Tracking Table'!$AE406,"")</f>
        <v/>
      </c>
      <c r="AK406" s="65"/>
      <c r="AL406" s="98"/>
      <c r="AM406" s="98"/>
      <c r="AN406" s="64">
        <v>1</v>
      </c>
      <c r="AO406" s="102" t="str">
        <f t="shared" si="39"/>
        <v/>
      </c>
      <c r="AP406" s="98"/>
      <c r="AQ406" s="98"/>
      <c r="AR406" s="98"/>
      <c r="AS406" s="98"/>
      <c r="AT406" s="98"/>
      <c r="AU406" s="98"/>
      <c r="AV406" s="98"/>
      <c r="AW406" s="65"/>
      <c r="AX406" s="99"/>
      <c r="AY406" s="99"/>
      <c r="AZ406" s="104" t="str">
        <f>IF('BMP P Tracking Table'!$AL406="Yes",IF('BMP P Tracking Table'!$AM406="No",'BMP P Tracking Table'!$V406*VLOOKUP('BMP P Tracking Table'!$R406,'Loading Rates'!$B$1:$L$24,4,FALSE)+IF('BMP P Tracking Table'!$W406="By HSG",'BMP P Tracking Table'!$X406*VLOOKUP('BMP P Tracking Table'!$R406,'Loading Rates'!$B$1:$L$24,6,FALSE)+'BMP P Tracking Table'!$Y406*VLOOKUP('BMP P Tracking Table'!$R406,'Loading Rates'!$B$1:$L$24,7,FALSE)+'BMP P Tracking Table'!$Z406*VLOOKUP('BMP P Tracking Table'!$R406,'Loading Rates'!$B$1:$L$24,8,FALSE)+'BMP P Tracking Table'!$AA406*VLOOKUP('BMP P Tracking Table'!$R406,'Loading Rates'!$B$1:$L$24,9,FALSE),'BMP P Tracking Table'!$AB406*VLOOKUP('BMP P Tracking Table'!$R406,'Loading Rates'!$B$1:$L$24,10,FALSE)),'BMP P Tracking Table'!$AP406*VLOOKUP('BMP P Tracking Table'!$R406,'Loading Rates'!$B$1:$L$24,4,FALSE)+IF('BMP P Tracking Table'!$AQ406="By HSG",'BMP P Tracking Table'!$AR406*VLOOKUP('BMP P Tracking Table'!$R406,'Loading Rates'!$B$1:$L$24,6,FALSE)+'BMP P Tracking Table'!$AS406*VLOOKUP('BMP P Tracking Table'!$R406,'Loading Rates'!$B$1:$L$24,7,FALSE)+'BMP P Tracking Table'!$AT406*VLOOKUP('BMP P Tracking Table'!$R406,'Loading Rates'!$B$1:$L$24,8,FALSE)+'BMP P Tracking Table'!$AU406*VLOOKUP('BMP P Tracking Table'!$R406,'Loading Rates'!$B$1:$L$24,9,FALSE),'BMP P Tracking Table'!$AV406*VLOOKUP('BMP P Tracking Table'!$R406,'Loading Rates'!$B$1:$L$24,10,FALSE))),"")</f>
        <v/>
      </c>
      <c r="BA406" s="104" t="str">
        <f>IFERROR(IF('BMP P Tracking Table'!$AM406="Yes",MIN(2,IF('BMP P Tracking Table'!$AQ406="Total Pervious",(-(3630*'BMP P Tracking Table'!$AP406+20.691*'BMP P Tracking Table'!$AV406)+SQRT((3630*'BMP P Tracking Table'!$AP406+20.691*'BMP P Tracking Table'!$AV406)^2-(4*(996.798*'BMP P Tracking Table'!$AV406)*-'BMP P Tracking Table'!$AX406)))/(2*(996.798*'BMP P Tracking Table'!$AV406)),IF(SUM('BMP P Tracking Table'!$AR406:$AU406)=0,'BMP P Tracking Table'!$AV406/(-3630*'BMP P Tracking Table'!$AP406),(-(3630*'BMP P Tracking Table'!$AP406+20.691*'BMP P Tracking Table'!$AU406-216.711*'BMP P Tracking Table'!$AT406-83.853*'BMP P Tracking Table'!$AS406-42.834*'BMP P Tracking Table'!$AR406)+SQRT((3630*'BMP P Tracking Table'!$AP406+20.691*'BMP P Tracking Table'!$AU406-216.711*'BMP P Tracking Table'!$AT406-83.853*'BMP P Tracking Table'!$AS406-42.834*'BMP P Tracking Table'!$AR406)^2-(4*(149.919*'BMP P Tracking Table'!$AR406+236.676*'BMP P Tracking Table'!$AS406+726*'BMP P Tracking Table'!$AT406+996.798*'BMP P Tracking Table'!$AU406)*-'BMP P Tracking Table'!$AX406)))/(2*(149.919*'BMP P Tracking Table'!$AR406+236.676*'BMP P Tracking Table'!$AS406+726*'BMP P Tracking Table'!$AT406+996.798*'BMP P Tracking Table'!$AU406))))),MIN(2,IF('BMP P Tracking Table'!$AQ406="Total Pervious",(-(3630*'BMP P Tracking Table'!$V406+20.691*'BMP P Tracking Table'!$AB406)+SQRT((3630*'BMP P Tracking Table'!$V406+20.691*'BMP P Tracking Table'!$AB406)^2-(4*(996.798*'BMP P Tracking Table'!$AB406)*-'BMP P Tracking Table'!$AX406)))/(2*(996.798*'BMP P Tracking Table'!$AB406)),IF(SUM('BMP P Tracking Table'!$X406:$AA406)=0,'BMP P Tracking Table'!$AX406/(-3630*'BMP P Tracking Table'!$V406),(-(3630*'BMP P Tracking Table'!$V406+20.691*'BMP P Tracking Table'!$AA406-216.711*'BMP P Tracking Table'!$Z406-83.853*'BMP P Tracking Table'!$Y406-42.834*'BMP P Tracking Table'!$X406)+SQRT((3630*'BMP P Tracking Table'!$V406+20.691*'BMP P Tracking Table'!$AA406-216.711*'BMP P Tracking Table'!$Z406-83.853*'BMP P Tracking Table'!$Y406-42.834*'BMP P Tracking Table'!$X406)^2-(4*(149.919*'BMP P Tracking Table'!$X406+236.676*'BMP P Tracking Table'!$Y406+726*'BMP P Tracking Table'!$Z406+996.798*'BMP P Tracking Table'!$AA406)*-'BMP P Tracking Table'!$AX406)))/(2*(149.919*'BMP P Tracking Table'!$X406+236.676*'BMP P Tracking Table'!$Y406+726*'BMP P Tracking Table'!$Z406+996.798*'BMP P Tracking Table'!$AA406)))))),"")</f>
        <v/>
      </c>
      <c r="BB406" s="102" t="str">
        <f>IFERROR((VLOOKUP(CONCATENATE('BMP P Tracking Table'!$AW406," ",'BMP P Tracking Table'!$AY406),'Performance Curves'!$C$1:$L$46,_xlfn.SINGLE(MATCH('BMP P Tracking Table'!$BA406,'Performance Curves'!$D$1:$L$1,1))+2,FALSE)-VLOOKUP(CONCATENATE('BMP P Tracking Table'!$AW406," ",'BMP P Tracking Table'!$AY406),'Performance Curves'!$C$1:$L$46,_xlfn.SINGLE(MATCH('BMP P Tracking Table'!$BA406,'Performance Curves'!$D$1:$L$1,1))+1,FALSE)),"")</f>
        <v/>
      </c>
      <c r="BC406" s="102" t="str">
        <f>IFERROR(('BMP P Tracking Table'!$BA406-INDEX('Performance Curves'!$D$1:$L$1,1,MATCH('BMP P Tracking Table'!$BA406,'Performance Curves'!$D$1:$L$1,1)))/(INDEX('Performance Curves'!$D$1:$L$1,1,MATCH('BMP P Tracking Table'!$BA406,'Performance Curves'!$D$1:$L$1,1)+1)-INDEX('Performance Curves'!$D$1:$L$1,1,MATCH('BMP P Tracking Table'!$BA406,'Performance Curves'!$D$1:$L$1,1))),"")</f>
        <v/>
      </c>
      <c r="BD406" s="103" t="str" cm="1">
        <f t="array" ref="BD406">IFERROR(IF('BMP P Tracking Table'!$BA406=2,VLOOKUP(CONCATENATE('BMP P Tracking Table'!$AW406," ",'BMP P Tracking Table'!$AY406),'Performance Curves'!$C$1:$L$44,_xlfn.SINGLE(MATCH('BMP P Tracking Table'!$BA406,'Performance Curves'!$D$1:$L$1,1))+1,FALSE),'BMP P Tracking Table'!$BB406*'BMP P Tracking Table'!$BC406+VLOOKUP(CONCATENATE('BMP P Tracking Table'!$AW406," ",'BMP P Tracking Table'!$AY406),'Performance Curves'!$C$1:$L$44,_xlfn.SINGLE(MATCH('BMP P Tracking Table'!$BA406,'Performance Curves'!$D$1:$L$1,1))+1,FALSE)),"")</f>
        <v/>
      </c>
      <c r="BE406" s="104" t="str">
        <f>IFERROR('BMP P Tracking Table'!$BD406*'BMP P Tracking Table'!$AZ406,"")</f>
        <v/>
      </c>
      <c r="BF406" s="98"/>
      <c r="BG406" s="37">
        <f t="shared" si="40"/>
        <v>0</v>
      </c>
    </row>
    <row r="407" spans="2:59" s="36" customFormat="1">
      <c r="B407" s="65"/>
      <c r="C407" s="65"/>
      <c r="D407" s="65"/>
      <c r="E407" s="65"/>
      <c r="F407" s="94"/>
      <c r="G407" s="94"/>
      <c r="H407" s="65"/>
      <c r="I407" s="65"/>
      <c r="J407" s="65"/>
      <c r="K407" s="95"/>
      <c r="L407" s="65"/>
      <c r="M407" s="65"/>
      <c r="N407" s="65"/>
      <c r="O407" s="65"/>
      <c r="P407" s="65"/>
      <c r="Q407" s="65"/>
      <c r="R407" s="65" t="str">
        <f>IFERROR(VLOOKUP('BMP P Tracking Table'!$Q407,Dropdowns!$C$2:$E$15,3,FALSE),"")</f>
        <v/>
      </c>
      <c r="S407" s="65" t="str">
        <f>IFERROR(VLOOKUP('BMP P Tracking Table'!$R407,Dropdowns!$Q$3:$R$23,2,FALSE),"")</f>
        <v/>
      </c>
      <c r="T407" s="65"/>
      <c r="U407" s="65"/>
      <c r="V407" s="65"/>
      <c r="W407" s="65"/>
      <c r="X407" s="65"/>
      <c r="Y407" s="65"/>
      <c r="Z407" s="65"/>
      <c r="AA407" s="65"/>
      <c r="AB407" s="65"/>
      <c r="AC407" s="97"/>
      <c r="AD407" s="65"/>
      <c r="AE407" s="104" t="str">
        <f>IFERROR('BMP P Tracking Table'!$V407*VLOOKUP('BMP P Tracking Table'!$R407,'Loading Rates'!$B$1:$L$24,4,FALSE)+IF('BMP P Tracking Table'!$W407="By HSG",'BMP P Tracking Table'!$X407*VLOOKUP('BMP P Tracking Table'!$R407,'Loading Rates'!$B$1:$L$24,6,FALSE)+'BMP P Tracking Table'!$Y407*VLOOKUP('BMP P Tracking Table'!$R407,'Loading Rates'!$B$1:$L$24,7,FALSE)+'BMP P Tracking Table'!$Z407*VLOOKUP('BMP P Tracking Table'!$R407,'Loading Rates'!$B$1:$L$24,8,FALSE)+'BMP P Tracking Table'!$AA407*VLOOKUP('BMP P Tracking Table'!$R407,'Loading Rates'!$B$1:$L$24,9,FALSE),'BMP P Tracking Table'!$AB407*VLOOKUP('BMP P Tracking Table'!$R407,'Loading Rates'!$B$1:$L$24,10,FALSE)),"")</f>
        <v/>
      </c>
      <c r="AF407" s="104" t="str">
        <f>IFERROR(MIN(2,IF('BMP P Tracking Table'!$W407="Total Pervious",(-(3630*'BMP P Tracking Table'!$V407+20.691*'BMP P Tracking Table'!$AB407)+SQRT((3630*'BMP P Tracking Table'!$V407+20.691*'BMP P Tracking Table'!$AB407)^2-(4*(996.798*'BMP P Tracking Table'!$AB407)*-'BMP P Tracking Table'!$AC407)))/(2*(996.798*'BMP P Tracking Table'!$AB407)),IF(SUM('BMP P Tracking Table'!$X407:$AA407)=0,'BMP P Tracking Table'!$AC407/(-3630*'BMP P Tracking Table'!$V407),(-(3630*'BMP P Tracking Table'!$V407+20.691*'BMP P Tracking Table'!$AA407-216.711*'BMP P Tracking Table'!$Z407-83.853*'BMP P Tracking Table'!$Y407-42.834*'BMP P Tracking Table'!$X407)+SQRT((3630*'BMP P Tracking Table'!$V407+20.691*'BMP P Tracking Table'!$AA407-216.711*'BMP P Tracking Table'!$Z407-83.853*'BMP P Tracking Table'!$Y407-42.834*'BMP P Tracking Table'!$X407)^2-(4*(149.919*'BMP P Tracking Table'!$X407+236.676*'BMP P Tracking Table'!$Y407+726*'BMP P Tracking Table'!$Z407+996.798*'BMP P Tracking Table'!$AA407)*-'BMP P Tracking Table'!$AC407)))/(2*(149.919*'BMP P Tracking Table'!$X407+236.676*'BMP P Tracking Table'!$Y407+726*'BMP P Tracking Table'!$Z407+996.798*'BMP P Tracking Table'!$AA407))))),"")</f>
        <v/>
      </c>
      <c r="AG407" s="104" t="str">
        <f>IFERROR((VLOOKUP(CONCATENATE('BMP P Tracking Table'!$U407," ",'BMP P Tracking Table'!$AD407),'Performance Curves'!$C$1:$L$46,_xlfn.SINGLE(MATCH('BMP P Tracking Table'!$AF407,'Performance Curves'!$D$1:$L$1,1))+2,FALSE)-VLOOKUP(CONCATENATE('BMP P Tracking Table'!$U407," ",'BMP P Tracking Table'!$AD407),'Performance Curves'!$C$1:$L$46,_xlfn.SINGLE(MATCH('BMP P Tracking Table'!$AF407,'Performance Curves'!$D$1:$L$1,1))+1,FALSE)),"")</f>
        <v/>
      </c>
      <c r="AH407" s="104" t="str">
        <f>IFERROR(('BMP P Tracking Table'!$AF407-INDEX('Performance Curves'!$D$1:$L$1,1,MATCH('BMP P Tracking Table'!$AF407,'Performance Curves'!$D$1:$L$1,1)))/(INDEX('Performance Curves'!$D$1:$L$1,1,MATCH('BMP P Tracking Table'!$AF407,'Performance Curves'!$D$1:$L$1,1)+1)-INDEX('Performance Curves'!$D$1:$L$1,1,MATCH('BMP P Tracking Table'!$AF407,'Performance Curves'!$D$1:$L$1,1))),"")</f>
        <v/>
      </c>
      <c r="AI407" s="103" t="str">
        <f>IFERROR(IF('BMP P Tracking Table'!$AF407=2,VLOOKUP(CONCATENATE('BMP P Tracking Table'!$U407," ",'BMP P Tracking Table'!$AD407),'Performance Curves'!$C$1:$L$46,_xlfn.SINGLE(MATCH('BMP P Tracking Table'!$AF407,'Performance Curves'!$D$1:$L$1,1))+1,FALSE),'BMP P Tracking Table'!$AG407*'BMP P Tracking Table'!$AH407+VLOOKUP(CONCATENATE('BMP P Tracking Table'!$U407," ",'BMP P Tracking Table'!$AD407),'Performance Curves'!$C$1:$L$46,_xlfn.SINGLE(MATCH('BMP P Tracking Table'!$AF407,'Performance Curves'!$D$1:$L$1,1))+1,FALSE)),"")</f>
        <v/>
      </c>
      <c r="AJ407" s="104" t="str">
        <f>IFERROR('BMP P Tracking Table'!$AI407*'BMP P Tracking Table'!$AE407,"")</f>
        <v/>
      </c>
      <c r="AK407" s="65"/>
      <c r="AL407" s="98"/>
      <c r="AM407" s="98"/>
      <c r="AN407" s="64">
        <v>1</v>
      </c>
      <c r="AO407" s="102" t="str">
        <f t="shared" si="39"/>
        <v/>
      </c>
      <c r="AP407" s="98"/>
      <c r="AQ407" s="98"/>
      <c r="AR407" s="98"/>
      <c r="AS407" s="98"/>
      <c r="AT407" s="98"/>
      <c r="AU407" s="98"/>
      <c r="AV407" s="98"/>
      <c r="AW407" s="65"/>
      <c r="AX407" s="99"/>
      <c r="AY407" s="99"/>
      <c r="AZ407" s="104" t="str">
        <f>IF('BMP P Tracking Table'!$AL407="Yes",IF('BMP P Tracking Table'!$AM407="No",'BMP P Tracking Table'!$V407*VLOOKUP('BMP P Tracking Table'!$R407,'Loading Rates'!$B$1:$L$24,4,FALSE)+IF('BMP P Tracking Table'!$W407="By HSG",'BMP P Tracking Table'!$X407*VLOOKUP('BMP P Tracking Table'!$R407,'Loading Rates'!$B$1:$L$24,6,FALSE)+'BMP P Tracking Table'!$Y407*VLOOKUP('BMP P Tracking Table'!$R407,'Loading Rates'!$B$1:$L$24,7,FALSE)+'BMP P Tracking Table'!$Z407*VLOOKUP('BMP P Tracking Table'!$R407,'Loading Rates'!$B$1:$L$24,8,FALSE)+'BMP P Tracking Table'!$AA407*VLOOKUP('BMP P Tracking Table'!$R407,'Loading Rates'!$B$1:$L$24,9,FALSE),'BMP P Tracking Table'!$AB407*VLOOKUP('BMP P Tracking Table'!$R407,'Loading Rates'!$B$1:$L$24,10,FALSE)),'BMP P Tracking Table'!$AP407*VLOOKUP('BMP P Tracking Table'!$R407,'Loading Rates'!$B$1:$L$24,4,FALSE)+IF('BMP P Tracking Table'!$AQ407="By HSG",'BMP P Tracking Table'!$AR407*VLOOKUP('BMP P Tracking Table'!$R407,'Loading Rates'!$B$1:$L$24,6,FALSE)+'BMP P Tracking Table'!$AS407*VLOOKUP('BMP P Tracking Table'!$R407,'Loading Rates'!$B$1:$L$24,7,FALSE)+'BMP P Tracking Table'!$AT407*VLOOKUP('BMP P Tracking Table'!$R407,'Loading Rates'!$B$1:$L$24,8,FALSE)+'BMP P Tracking Table'!$AU407*VLOOKUP('BMP P Tracking Table'!$R407,'Loading Rates'!$B$1:$L$24,9,FALSE),'BMP P Tracking Table'!$AV407*VLOOKUP('BMP P Tracking Table'!$R407,'Loading Rates'!$B$1:$L$24,10,FALSE))),"")</f>
        <v/>
      </c>
      <c r="BA407" s="104" t="str">
        <f>IFERROR(IF('BMP P Tracking Table'!$AM407="Yes",MIN(2,IF('BMP P Tracking Table'!$AQ407="Total Pervious",(-(3630*'BMP P Tracking Table'!$AP407+20.691*'BMP P Tracking Table'!$AV407)+SQRT((3630*'BMP P Tracking Table'!$AP407+20.691*'BMP P Tracking Table'!$AV407)^2-(4*(996.798*'BMP P Tracking Table'!$AV407)*-'BMP P Tracking Table'!$AX407)))/(2*(996.798*'BMP P Tracking Table'!$AV407)),IF(SUM('BMP P Tracking Table'!$AR407:$AU407)=0,'BMP P Tracking Table'!$AV407/(-3630*'BMP P Tracking Table'!$AP407),(-(3630*'BMP P Tracking Table'!$AP407+20.691*'BMP P Tracking Table'!$AU407-216.711*'BMP P Tracking Table'!$AT407-83.853*'BMP P Tracking Table'!$AS407-42.834*'BMP P Tracking Table'!$AR407)+SQRT((3630*'BMP P Tracking Table'!$AP407+20.691*'BMP P Tracking Table'!$AU407-216.711*'BMP P Tracking Table'!$AT407-83.853*'BMP P Tracking Table'!$AS407-42.834*'BMP P Tracking Table'!$AR407)^2-(4*(149.919*'BMP P Tracking Table'!$AR407+236.676*'BMP P Tracking Table'!$AS407+726*'BMP P Tracking Table'!$AT407+996.798*'BMP P Tracking Table'!$AU407)*-'BMP P Tracking Table'!$AX407)))/(2*(149.919*'BMP P Tracking Table'!$AR407+236.676*'BMP P Tracking Table'!$AS407+726*'BMP P Tracking Table'!$AT407+996.798*'BMP P Tracking Table'!$AU407))))),MIN(2,IF('BMP P Tracking Table'!$AQ407="Total Pervious",(-(3630*'BMP P Tracking Table'!$V407+20.691*'BMP P Tracking Table'!$AB407)+SQRT((3630*'BMP P Tracking Table'!$V407+20.691*'BMP P Tracking Table'!$AB407)^2-(4*(996.798*'BMP P Tracking Table'!$AB407)*-'BMP P Tracking Table'!$AX407)))/(2*(996.798*'BMP P Tracking Table'!$AB407)),IF(SUM('BMP P Tracking Table'!$X407:$AA407)=0,'BMP P Tracking Table'!$AX407/(-3630*'BMP P Tracking Table'!$V407),(-(3630*'BMP P Tracking Table'!$V407+20.691*'BMP P Tracking Table'!$AA407-216.711*'BMP P Tracking Table'!$Z407-83.853*'BMP P Tracking Table'!$Y407-42.834*'BMP P Tracking Table'!$X407)+SQRT((3630*'BMP P Tracking Table'!$V407+20.691*'BMP P Tracking Table'!$AA407-216.711*'BMP P Tracking Table'!$Z407-83.853*'BMP P Tracking Table'!$Y407-42.834*'BMP P Tracking Table'!$X407)^2-(4*(149.919*'BMP P Tracking Table'!$X407+236.676*'BMP P Tracking Table'!$Y407+726*'BMP P Tracking Table'!$Z407+996.798*'BMP P Tracking Table'!$AA407)*-'BMP P Tracking Table'!$AX407)))/(2*(149.919*'BMP P Tracking Table'!$X407+236.676*'BMP P Tracking Table'!$Y407+726*'BMP P Tracking Table'!$Z407+996.798*'BMP P Tracking Table'!$AA407)))))),"")</f>
        <v/>
      </c>
      <c r="BB407" s="102" t="str">
        <f>IFERROR((VLOOKUP(CONCATENATE('BMP P Tracking Table'!$AW407," ",'BMP P Tracking Table'!$AY407),'Performance Curves'!$C$1:$L$46,_xlfn.SINGLE(MATCH('BMP P Tracking Table'!$BA407,'Performance Curves'!$D$1:$L$1,1))+2,FALSE)-VLOOKUP(CONCATENATE('BMP P Tracking Table'!$AW407," ",'BMP P Tracking Table'!$AY407),'Performance Curves'!$C$1:$L$46,_xlfn.SINGLE(MATCH('BMP P Tracking Table'!$BA407,'Performance Curves'!$D$1:$L$1,1))+1,FALSE)),"")</f>
        <v/>
      </c>
      <c r="BC407" s="102" t="str">
        <f>IFERROR(('BMP P Tracking Table'!$BA407-INDEX('Performance Curves'!$D$1:$L$1,1,MATCH('BMP P Tracking Table'!$BA407,'Performance Curves'!$D$1:$L$1,1)))/(INDEX('Performance Curves'!$D$1:$L$1,1,MATCH('BMP P Tracking Table'!$BA407,'Performance Curves'!$D$1:$L$1,1)+1)-INDEX('Performance Curves'!$D$1:$L$1,1,MATCH('BMP P Tracking Table'!$BA407,'Performance Curves'!$D$1:$L$1,1))),"")</f>
        <v/>
      </c>
      <c r="BD407" s="103" t="str" cm="1">
        <f t="array" ref="BD407">IFERROR(IF('BMP P Tracking Table'!$BA407=2,VLOOKUP(CONCATENATE('BMP P Tracking Table'!$AW407," ",'BMP P Tracking Table'!$AY407),'Performance Curves'!$C$1:$L$44,_xlfn.SINGLE(MATCH('BMP P Tracking Table'!$BA407,'Performance Curves'!$D$1:$L$1,1))+1,FALSE),'BMP P Tracking Table'!$BB407*'BMP P Tracking Table'!$BC407+VLOOKUP(CONCATENATE('BMP P Tracking Table'!$AW407," ",'BMP P Tracking Table'!$AY407),'Performance Curves'!$C$1:$L$44,_xlfn.SINGLE(MATCH('BMP P Tracking Table'!$BA407,'Performance Curves'!$D$1:$L$1,1))+1,FALSE)),"")</f>
        <v/>
      </c>
      <c r="BE407" s="104" t="str">
        <f>IFERROR('BMP P Tracking Table'!$BD407*'BMP P Tracking Table'!$AZ407,"")</f>
        <v/>
      </c>
      <c r="BF407" s="98"/>
      <c r="BG407" s="37">
        <f t="shared" si="40"/>
        <v>0</v>
      </c>
    </row>
    <row r="408" spans="2:59" s="36" customFormat="1">
      <c r="B408" s="65"/>
      <c r="C408" s="65"/>
      <c r="D408" s="65"/>
      <c r="E408" s="65"/>
      <c r="F408" s="94"/>
      <c r="G408" s="94"/>
      <c r="H408" s="65"/>
      <c r="I408" s="65"/>
      <c r="J408" s="65"/>
      <c r="K408" s="95"/>
      <c r="L408" s="65"/>
      <c r="M408" s="65"/>
      <c r="N408" s="65"/>
      <c r="O408" s="65"/>
      <c r="P408" s="65"/>
      <c r="Q408" s="65"/>
      <c r="R408" s="65" t="str">
        <f>IFERROR(VLOOKUP('BMP P Tracking Table'!$Q408,Dropdowns!$C$2:$E$15,3,FALSE),"")</f>
        <v/>
      </c>
      <c r="S408" s="65" t="str">
        <f>IFERROR(VLOOKUP('BMP P Tracking Table'!$R408,Dropdowns!$Q$3:$R$23,2,FALSE),"")</f>
        <v/>
      </c>
      <c r="T408" s="65"/>
      <c r="U408" s="65"/>
      <c r="V408" s="65"/>
      <c r="W408" s="65"/>
      <c r="X408" s="65"/>
      <c r="Y408" s="65"/>
      <c r="Z408" s="65"/>
      <c r="AA408" s="65"/>
      <c r="AB408" s="65"/>
      <c r="AC408" s="97"/>
      <c r="AD408" s="65"/>
      <c r="AE408" s="104" t="str">
        <f>IFERROR('BMP P Tracking Table'!$V408*VLOOKUP('BMP P Tracking Table'!$R408,'Loading Rates'!$B$1:$L$24,4,FALSE)+IF('BMP P Tracking Table'!$W408="By HSG",'BMP P Tracking Table'!$X408*VLOOKUP('BMP P Tracking Table'!$R408,'Loading Rates'!$B$1:$L$24,6,FALSE)+'BMP P Tracking Table'!$Y408*VLOOKUP('BMP P Tracking Table'!$R408,'Loading Rates'!$B$1:$L$24,7,FALSE)+'BMP P Tracking Table'!$Z408*VLOOKUP('BMP P Tracking Table'!$R408,'Loading Rates'!$B$1:$L$24,8,FALSE)+'BMP P Tracking Table'!$AA408*VLOOKUP('BMP P Tracking Table'!$R408,'Loading Rates'!$B$1:$L$24,9,FALSE),'BMP P Tracking Table'!$AB408*VLOOKUP('BMP P Tracking Table'!$R408,'Loading Rates'!$B$1:$L$24,10,FALSE)),"")</f>
        <v/>
      </c>
      <c r="AF408" s="104" t="str">
        <f>IFERROR(MIN(2,IF('BMP P Tracking Table'!$W408="Total Pervious",(-(3630*'BMP P Tracking Table'!$V408+20.691*'BMP P Tracking Table'!$AB408)+SQRT((3630*'BMP P Tracking Table'!$V408+20.691*'BMP P Tracking Table'!$AB408)^2-(4*(996.798*'BMP P Tracking Table'!$AB408)*-'BMP P Tracking Table'!$AC408)))/(2*(996.798*'BMP P Tracking Table'!$AB408)),IF(SUM('BMP P Tracking Table'!$X408:$AA408)=0,'BMP P Tracking Table'!$AC408/(-3630*'BMP P Tracking Table'!$V408),(-(3630*'BMP P Tracking Table'!$V408+20.691*'BMP P Tracking Table'!$AA408-216.711*'BMP P Tracking Table'!$Z408-83.853*'BMP P Tracking Table'!$Y408-42.834*'BMP P Tracking Table'!$X408)+SQRT((3630*'BMP P Tracking Table'!$V408+20.691*'BMP P Tracking Table'!$AA408-216.711*'BMP P Tracking Table'!$Z408-83.853*'BMP P Tracking Table'!$Y408-42.834*'BMP P Tracking Table'!$X408)^2-(4*(149.919*'BMP P Tracking Table'!$X408+236.676*'BMP P Tracking Table'!$Y408+726*'BMP P Tracking Table'!$Z408+996.798*'BMP P Tracking Table'!$AA408)*-'BMP P Tracking Table'!$AC408)))/(2*(149.919*'BMP P Tracking Table'!$X408+236.676*'BMP P Tracking Table'!$Y408+726*'BMP P Tracking Table'!$Z408+996.798*'BMP P Tracking Table'!$AA408))))),"")</f>
        <v/>
      </c>
      <c r="AG408" s="104" t="str">
        <f>IFERROR((VLOOKUP(CONCATENATE('BMP P Tracking Table'!$U408," ",'BMP P Tracking Table'!$AD408),'Performance Curves'!$C$1:$L$46,_xlfn.SINGLE(MATCH('BMP P Tracking Table'!$AF408,'Performance Curves'!$D$1:$L$1,1))+2,FALSE)-VLOOKUP(CONCATENATE('BMP P Tracking Table'!$U408," ",'BMP P Tracking Table'!$AD408),'Performance Curves'!$C$1:$L$46,_xlfn.SINGLE(MATCH('BMP P Tracking Table'!$AF408,'Performance Curves'!$D$1:$L$1,1))+1,FALSE)),"")</f>
        <v/>
      </c>
      <c r="AH408" s="104" t="str">
        <f>IFERROR(('BMP P Tracking Table'!$AF408-INDEX('Performance Curves'!$D$1:$L$1,1,MATCH('BMP P Tracking Table'!$AF408,'Performance Curves'!$D$1:$L$1,1)))/(INDEX('Performance Curves'!$D$1:$L$1,1,MATCH('BMP P Tracking Table'!$AF408,'Performance Curves'!$D$1:$L$1,1)+1)-INDEX('Performance Curves'!$D$1:$L$1,1,MATCH('BMP P Tracking Table'!$AF408,'Performance Curves'!$D$1:$L$1,1))),"")</f>
        <v/>
      </c>
      <c r="AI408" s="103" t="str">
        <f>IFERROR(IF('BMP P Tracking Table'!$AF408=2,VLOOKUP(CONCATENATE('BMP P Tracking Table'!$U408," ",'BMP P Tracking Table'!$AD408),'Performance Curves'!$C$1:$L$46,_xlfn.SINGLE(MATCH('BMP P Tracking Table'!$AF408,'Performance Curves'!$D$1:$L$1,1))+1,FALSE),'BMP P Tracking Table'!$AG408*'BMP P Tracking Table'!$AH408+VLOOKUP(CONCATENATE('BMP P Tracking Table'!$U408," ",'BMP P Tracking Table'!$AD408),'Performance Curves'!$C$1:$L$46,_xlfn.SINGLE(MATCH('BMP P Tracking Table'!$AF408,'Performance Curves'!$D$1:$L$1,1))+1,FALSE)),"")</f>
        <v/>
      </c>
      <c r="AJ408" s="104" t="str">
        <f>IFERROR('BMP P Tracking Table'!$AI408*'BMP P Tracking Table'!$AE408,"")</f>
        <v/>
      </c>
      <c r="AK408" s="65"/>
      <c r="AL408" s="98"/>
      <c r="AM408" s="98"/>
      <c r="AN408" s="64">
        <v>1</v>
      </c>
      <c r="AO408" s="102" t="str">
        <f t="shared" si="39"/>
        <v/>
      </c>
      <c r="AP408" s="98"/>
      <c r="AQ408" s="98"/>
      <c r="AR408" s="98"/>
      <c r="AS408" s="98"/>
      <c r="AT408" s="98"/>
      <c r="AU408" s="98"/>
      <c r="AV408" s="98"/>
      <c r="AW408" s="65"/>
      <c r="AX408" s="99"/>
      <c r="AY408" s="99"/>
      <c r="AZ408" s="104" t="str">
        <f>IF('BMP P Tracking Table'!$AL408="Yes",IF('BMP P Tracking Table'!$AM408="No",'BMP P Tracking Table'!$V408*VLOOKUP('BMP P Tracking Table'!$R408,'Loading Rates'!$B$1:$L$24,4,FALSE)+IF('BMP P Tracking Table'!$W408="By HSG",'BMP P Tracking Table'!$X408*VLOOKUP('BMP P Tracking Table'!$R408,'Loading Rates'!$B$1:$L$24,6,FALSE)+'BMP P Tracking Table'!$Y408*VLOOKUP('BMP P Tracking Table'!$R408,'Loading Rates'!$B$1:$L$24,7,FALSE)+'BMP P Tracking Table'!$Z408*VLOOKUP('BMP P Tracking Table'!$R408,'Loading Rates'!$B$1:$L$24,8,FALSE)+'BMP P Tracking Table'!$AA408*VLOOKUP('BMP P Tracking Table'!$R408,'Loading Rates'!$B$1:$L$24,9,FALSE),'BMP P Tracking Table'!$AB408*VLOOKUP('BMP P Tracking Table'!$R408,'Loading Rates'!$B$1:$L$24,10,FALSE)),'BMP P Tracking Table'!$AP408*VLOOKUP('BMP P Tracking Table'!$R408,'Loading Rates'!$B$1:$L$24,4,FALSE)+IF('BMP P Tracking Table'!$AQ408="By HSG",'BMP P Tracking Table'!$AR408*VLOOKUP('BMP P Tracking Table'!$R408,'Loading Rates'!$B$1:$L$24,6,FALSE)+'BMP P Tracking Table'!$AS408*VLOOKUP('BMP P Tracking Table'!$R408,'Loading Rates'!$B$1:$L$24,7,FALSE)+'BMP P Tracking Table'!$AT408*VLOOKUP('BMP P Tracking Table'!$R408,'Loading Rates'!$B$1:$L$24,8,FALSE)+'BMP P Tracking Table'!$AU408*VLOOKUP('BMP P Tracking Table'!$R408,'Loading Rates'!$B$1:$L$24,9,FALSE),'BMP P Tracking Table'!$AV408*VLOOKUP('BMP P Tracking Table'!$R408,'Loading Rates'!$B$1:$L$24,10,FALSE))),"")</f>
        <v/>
      </c>
      <c r="BA408" s="104" t="str">
        <f>IFERROR(IF('BMP P Tracking Table'!$AM408="Yes",MIN(2,IF('BMP P Tracking Table'!$AQ408="Total Pervious",(-(3630*'BMP P Tracking Table'!$AP408+20.691*'BMP P Tracking Table'!$AV408)+SQRT((3630*'BMP P Tracking Table'!$AP408+20.691*'BMP P Tracking Table'!$AV408)^2-(4*(996.798*'BMP P Tracking Table'!$AV408)*-'BMP P Tracking Table'!$AX408)))/(2*(996.798*'BMP P Tracking Table'!$AV408)),IF(SUM('BMP P Tracking Table'!$AR408:$AU408)=0,'BMP P Tracking Table'!$AV408/(-3630*'BMP P Tracking Table'!$AP408),(-(3630*'BMP P Tracking Table'!$AP408+20.691*'BMP P Tracking Table'!$AU408-216.711*'BMP P Tracking Table'!$AT408-83.853*'BMP P Tracking Table'!$AS408-42.834*'BMP P Tracking Table'!$AR408)+SQRT((3630*'BMP P Tracking Table'!$AP408+20.691*'BMP P Tracking Table'!$AU408-216.711*'BMP P Tracking Table'!$AT408-83.853*'BMP P Tracking Table'!$AS408-42.834*'BMP P Tracking Table'!$AR408)^2-(4*(149.919*'BMP P Tracking Table'!$AR408+236.676*'BMP P Tracking Table'!$AS408+726*'BMP P Tracking Table'!$AT408+996.798*'BMP P Tracking Table'!$AU408)*-'BMP P Tracking Table'!$AX408)))/(2*(149.919*'BMP P Tracking Table'!$AR408+236.676*'BMP P Tracking Table'!$AS408+726*'BMP P Tracking Table'!$AT408+996.798*'BMP P Tracking Table'!$AU408))))),MIN(2,IF('BMP P Tracking Table'!$AQ408="Total Pervious",(-(3630*'BMP P Tracking Table'!$V408+20.691*'BMP P Tracking Table'!$AB408)+SQRT((3630*'BMP P Tracking Table'!$V408+20.691*'BMP P Tracking Table'!$AB408)^2-(4*(996.798*'BMP P Tracking Table'!$AB408)*-'BMP P Tracking Table'!$AX408)))/(2*(996.798*'BMP P Tracking Table'!$AB408)),IF(SUM('BMP P Tracking Table'!$X408:$AA408)=0,'BMP P Tracking Table'!$AX408/(-3630*'BMP P Tracking Table'!$V408),(-(3630*'BMP P Tracking Table'!$V408+20.691*'BMP P Tracking Table'!$AA408-216.711*'BMP P Tracking Table'!$Z408-83.853*'BMP P Tracking Table'!$Y408-42.834*'BMP P Tracking Table'!$X408)+SQRT((3630*'BMP P Tracking Table'!$V408+20.691*'BMP P Tracking Table'!$AA408-216.711*'BMP P Tracking Table'!$Z408-83.853*'BMP P Tracking Table'!$Y408-42.834*'BMP P Tracking Table'!$X408)^2-(4*(149.919*'BMP P Tracking Table'!$X408+236.676*'BMP P Tracking Table'!$Y408+726*'BMP P Tracking Table'!$Z408+996.798*'BMP P Tracking Table'!$AA408)*-'BMP P Tracking Table'!$AX408)))/(2*(149.919*'BMP P Tracking Table'!$X408+236.676*'BMP P Tracking Table'!$Y408+726*'BMP P Tracking Table'!$Z408+996.798*'BMP P Tracking Table'!$AA408)))))),"")</f>
        <v/>
      </c>
      <c r="BB408" s="102" t="str">
        <f>IFERROR((VLOOKUP(CONCATENATE('BMP P Tracking Table'!$AW408," ",'BMP P Tracking Table'!$AY408),'Performance Curves'!$C$1:$L$46,_xlfn.SINGLE(MATCH('BMP P Tracking Table'!$BA408,'Performance Curves'!$D$1:$L$1,1))+2,FALSE)-VLOOKUP(CONCATENATE('BMP P Tracking Table'!$AW408," ",'BMP P Tracking Table'!$AY408),'Performance Curves'!$C$1:$L$46,_xlfn.SINGLE(MATCH('BMP P Tracking Table'!$BA408,'Performance Curves'!$D$1:$L$1,1))+1,FALSE)),"")</f>
        <v/>
      </c>
      <c r="BC408" s="102" t="str">
        <f>IFERROR(('BMP P Tracking Table'!$BA408-INDEX('Performance Curves'!$D$1:$L$1,1,MATCH('BMP P Tracking Table'!$BA408,'Performance Curves'!$D$1:$L$1,1)))/(INDEX('Performance Curves'!$D$1:$L$1,1,MATCH('BMP P Tracking Table'!$BA408,'Performance Curves'!$D$1:$L$1,1)+1)-INDEX('Performance Curves'!$D$1:$L$1,1,MATCH('BMP P Tracking Table'!$BA408,'Performance Curves'!$D$1:$L$1,1))),"")</f>
        <v/>
      </c>
      <c r="BD408" s="103" t="str" cm="1">
        <f t="array" ref="BD408">IFERROR(IF('BMP P Tracking Table'!$BA408=2,VLOOKUP(CONCATENATE('BMP P Tracking Table'!$AW408," ",'BMP P Tracking Table'!$AY408),'Performance Curves'!$C$1:$L$44,_xlfn.SINGLE(MATCH('BMP P Tracking Table'!$BA408,'Performance Curves'!$D$1:$L$1,1))+1,FALSE),'BMP P Tracking Table'!$BB408*'BMP P Tracking Table'!$BC408+VLOOKUP(CONCATENATE('BMP P Tracking Table'!$AW408," ",'BMP P Tracking Table'!$AY408),'Performance Curves'!$C$1:$L$44,_xlfn.SINGLE(MATCH('BMP P Tracking Table'!$BA408,'Performance Curves'!$D$1:$L$1,1))+1,FALSE)),"")</f>
        <v/>
      </c>
      <c r="BE408" s="104" t="str">
        <f>IFERROR('BMP P Tracking Table'!$BD408*'BMP P Tracking Table'!$AZ408,"")</f>
        <v/>
      </c>
      <c r="BF408" s="98"/>
      <c r="BG408" s="37">
        <f t="shared" si="40"/>
        <v>0</v>
      </c>
    </row>
    <row r="409" spans="2:59" s="36" customFormat="1">
      <c r="B409" s="65"/>
      <c r="C409" s="65"/>
      <c r="D409" s="65"/>
      <c r="E409" s="65"/>
      <c r="F409" s="94"/>
      <c r="G409" s="94"/>
      <c r="H409" s="65"/>
      <c r="I409" s="65"/>
      <c r="J409" s="65"/>
      <c r="K409" s="95"/>
      <c r="L409" s="65"/>
      <c r="M409" s="65"/>
      <c r="N409" s="65"/>
      <c r="O409" s="65"/>
      <c r="P409" s="65"/>
      <c r="Q409" s="65"/>
      <c r="R409" s="65" t="str">
        <f>IFERROR(VLOOKUP('BMP P Tracking Table'!$Q409,Dropdowns!$C$2:$E$15,3,FALSE),"")</f>
        <v/>
      </c>
      <c r="S409" s="65" t="str">
        <f>IFERROR(VLOOKUP('BMP P Tracking Table'!$R409,Dropdowns!$Q$3:$R$23,2,FALSE),"")</f>
        <v/>
      </c>
      <c r="T409" s="65"/>
      <c r="U409" s="65"/>
      <c r="V409" s="65"/>
      <c r="W409" s="65"/>
      <c r="X409" s="65"/>
      <c r="Y409" s="65"/>
      <c r="Z409" s="65"/>
      <c r="AA409" s="65"/>
      <c r="AB409" s="65"/>
      <c r="AC409" s="97"/>
      <c r="AD409" s="65"/>
      <c r="AE409" s="104" t="str">
        <f>IFERROR('BMP P Tracking Table'!$V409*VLOOKUP('BMP P Tracking Table'!$R409,'Loading Rates'!$B$1:$L$24,4,FALSE)+IF('BMP P Tracking Table'!$W409="By HSG",'BMP P Tracking Table'!$X409*VLOOKUP('BMP P Tracking Table'!$R409,'Loading Rates'!$B$1:$L$24,6,FALSE)+'BMP P Tracking Table'!$Y409*VLOOKUP('BMP P Tracking Table'!$R409,'Loading Rates'!$B$1:$L$24,7,FALSE)+'BMP P Tracking Table'!$Z409*VLOOKUP('BMP P Tracking Table'!$R409,'Loading Rates'!$B$1:$L$24,8,FALSE)+'BMP P Tracking Table'!$AA409*VLOOKUP('BMP P Tracking Table'!$R409,'Loading Rates'!$B$1:$L$24,9,FALSE),'BMP P Tracking Table'!$AB409*VLOOKUP('BMP P Tracking Table'!$R409,'Loading Rates'!$B$1:$L$24,10,FALSE)),"")</f>
        <v/>
      </c>
      <c r="AF409" s="104" t="str">
        <f>IFERROR(MIN(2,IF('BMP P Tracking Table'!$W409="Total Pervious",(-(3630*'BMP P Tracking Table'!$V409+20.691*'BMP P Tracking Table'!$AB409)+SQRT((3630*'BMP P Tracking Table'!$V409+20.691*'BMP P Tracking Table'!$AB409)^2-(4*(996.798*'BMP P Tracking Table'!$AB409)*-'BMP P Tracking Table'!$AC409)))/(2*(996.798*'BMP P Tracking Table'!$AB409)),IF(SUM('BMP P Tracking Table'!$X409:$AA409)=0,'BMP P Tracking Table'!$AC409/(-3630*'BMP P Tracking Table'!$V409),(-(3630*'BMP P Tracking Table'!$V409+20.691*'BMP P Tracking Table'!$AA409-216.711*'BMP P Tracking Table'!$Z409-83.853*'BMP P Tracking Table'!$Y409-42.834*'BMP P Tracking Table'!$X409)+SQRT((3630*'BMP P Tracking Table'!$V409+20.691*'BMP P Tracking Table'!$AA409-216.711*'BMP P Tracking Table'!$Z409-83.853*'BMP P Tracking Table'!$Y409-42.834*'BMP P Tracking Table'!$X409)^2-(4*(149.919*'BMP P Tracking Table'!$X409+236.676*'BMP P Tracking Table'!$Y409+726*'BMP P Tracking Table'!$Z409+996.798*'BMP P Tracking Table'!$AA409)*-'BMP P Tracking Table'!$AC409)))/(2*(149.919*'BMP P Tracking Table'!$X409+236.676*'BMP P Tracking Table'!$Y409+726*'BMP P Tracking Table'!$Z409+996.798*'BMP P Tracking Table'!$AA409))))),"")</f>
        <v/>
      </c>
      <c r="AG409" s="104" t="str">
        <f>IFERROR((VLOOKUP(CONCATENATE('BMP P Tracking Table'!$U409," ",'BMP P Tracking Table'!$AD409),'Performance Curves'!$C$1:$L$46,_xlfn.SINGLE(MATCH('BMP P Tracking Table'!$AF409,'Performance Curves'!$D$1:$L$1,1))+2,FALSE)-VLOOKUP(CONCATENATE('BMP P Tracking Table'!$U409," ",'BMP P Tracking Table'!$AD409),'Performance Curves'!$C$1:$L$46,_xlfn.SINGLE(MATCH('BMP P Tracking Table'!$AF409,'Performance Curves'!$D$1:$L$1,1))+1,FALSE)),"")</f>
        <v/>
      </c>
      <c r="AH409" s="104" t="str">
        <f>IFERROR(('BMP P Tracking Table'!$AF409-INDEX('Performance Curves'!$D$1:$L$1,1,MATCH('BMP P Tracking Table'!$AF409,'Performance Curves'!$D$1:$L$1,1)))/(INDEX('Performance Curves'!$D$1:$L$1,1,MATCH('BMP P Tracking Table'!$AF409,'Performance Curves'!$D$1:$L$1,1)+1)-INDEX('Performance Curves'!$D$1:$L$1,1,MATCH('BMP P Tracking Table'!$AF409,'Performance Curves'!$D$1:$L$1,1))),"")</f>
        <v/>
      </c>
      <c r="AI409" s="103" t="str">
        <f>IFERROR(IF('BMP P Tracking Table'!$AF409=2,VLOOKUP(CONCATENATE('BMP P Tracking Table'!$U409," ",'BMP P Tracking Table'!$AD409),'Performance Curves'!$C$1:$L$46,_xlfn.SINGLE(MATCH('BMP P Tracking Table'!$AF409,'Performance Curves'!$D$1:$L$1,1))+1,FALSE),'BMP P Tracking Table'!$AG409*'BMP P Tracking Table'!$AH409+VLOOKUP(CONCATENATE('BMP P Tracking Table'!$U409," ",'BMP P Tracking Table'!$AD409),'Performance Curves'!$C$1:$L$46,_xlfn.SINGLE(MATCH('BMP P Tracking Table'!$AF409,'Performance Curves'!$D$1:$L$1,1))+1,FALSE)),"")</f>
        <v/>
      </c>
      <c r="AJ409" s="104" t="str">
        <f>IFERROR('BMP P Tracking Table'!$AI409*'BMP P Tracking Table'!$AE409,"")</f>
        <v/>
      </c>
      <c r="AK409" s="65"/>
      <c r="AL409" s="98"/>
      <c r="AM409" s="98"/>
      <c r="AN409" s="64">
        <v>1</v>
      </c>
      <c r="AO409" s="102" t="str">
        <f t="shared" si="39"/>
        <v/>
      </c>
      <c r="AP409" s="98"/>
      <c r="AQ409" s="98"/>
      <c r="AR409" s="98"/>
      <c r="AS409" s="98"/>
      <c r="AT409" s="98"/>
      <c r="AU409" s="98"/>
      <c r="AV409" s="98"/>
      <c r="AW409" s="65"/>
      <c r="AX409" s="99"/>
      <c r="AY409" s="99"/>
      <c r="AZ409" s="104" t="str">
        <f>IF('BMP P Tracking Table'!$AL409="Yes",IF('BMP P Tracking Table'!$AM409="No",'BMP P Tracking Table'!$V409*VLOOKUP('BMP P Tracking Table'!$R409,'Loading Rates'!$B$1:$L$24,4,FALSE)+IF('BMP P Tracking Table'!$W409="By HSG",'BMP P Tracking Table'!$X409*VLOOKUP('BMP P Tracking Table'!$R409,'Loading Rates'!$B$1:$L$24,6,FALSE)+'BMP P Tracking Table'!$Y409*VLOOKUP('BMP P Tracking Table'!$R409,'Loading Rates'!$B$1:$L$24,7,FALSE)+'BMP P Tracking Table'!$Z409*VLOOKUP('BMP P Tracking Table'!$R409,'Loading Rates'!$B$1:$L$24,8,FALSE)+'BMP P Tracking Table'!$AA409*VLOOKUP('BMP P Tracking Table'!$R409,'Loading Rates'!$B$1:$L$24,9,FALSE),'BMP P Tracking Table'!$AB409*VLOOKUP('BMP P Tracking Table'!$R409,'Loading Rates'!$B$1:$L$24,10,FALSE)),'BMP P Tracking Table'!$AP409*VLOOKUP('BMP P Tracking Table'!$R409,'Loading Rates'!$B$1:$L$24,4,FALSE)+IF('BMP P Tracking Table'!$AQ409="By HSG",'BMP P Tracking Table'!$AR409*VLOOKUP('BMP P Tracking Table'!$R409,'Loading Rates'!$B$1:$L$24,6,FALSE)+'BMP P Tracking Table'!$AS409*VLOOKUP('BMP P Tracking Table'!$R409,'Loading Rates'!$B$1:$L$24,7,FALSE)+'BMP P Tracking Table'!$AT409*VLOOKUP('BMP P Tracking Table'!$R409,'Loading Rates'!$B$1:$L$24,8,FALSE)+'BMP P Tracking Table'!$AU409*VLOOKUP('BMP P Tracking Table'!$R409,'Loading Rates'!$B$1:$L$24,9,FALSE),'BMP P Tracking Table'!$AV409*VLOOKUP('BMP P Tracking Table'!$R409,'Loading Rates'!$B$1:$L$24,10,FALSE))),"")</f>
        <v/>
      </c>
      <c r="BA409" s="104" t="str">
        <f>IFERROR(IF('BMP P Tracking Table'!$AM409="Yes",MIN(2,IF('BMP P Tracking Table'!$AQ409="Total Pervious",(-(3630*'BMP P Tracking Table'!$AP409+20.691*'BMP P Tracking Table'!$AV409)+SQRT((3630*'BMP P Tracking Table'!$AP409+20.691*'BMP P Tracking Table'!$AV409)^2-(4*(996.798*'BMP P Tracking Table'!$AV409)*-'BMP P Tracking Table'!$AX409)))/(2*(996.798*'BMP P Tracking Table'!$AV409)),IF(SUM('BMP P Tracking Table'!$AR409:$AU409)=0,'BMP P Tracking Table'!$AV409/(-3630*'BMP P Tracking Table'!$AP409),(-(3630*'BMP P Tracking Table'!$AP409+20.691*'BMP P Tracking Table'!$AU409-216.711*'BMP P Tracking Table'!$AT409-83.853*'BMP P Tracking Table'!$AS409-42.834*'BMP P Tracking Table'!$AR409)+SQRT((3630*'BMP P Tracking Table'!$AP409+20.691*'BMP P Tracking Table'!$AU409-216.711*'BMP P Tracking Table'!$AT409-83.853*'BMP P Tracking Table'!$AS409-42.834*'BMP P Tracking Table'!$AR409)^2-(4*(149.919*'BMP P Tracking Table'!$AR409+236.676*'BMP P Tracking Table'!$AS409+726*'BMP P Tracking Table'!$AT409+996.798*'BMP P Tracking Table'!$AU409)*-'BMP P Tracking Table'!$AX409)))/(2*(149.919*'BMP P Tracking Table'!$AR409+236.676*'BMP P Tracking Table'!$AS409+726*'BMP P Tracking Table'!$AT409+996.798*'BMP P Tracking Table'!$AU409))))),MIN(2,IF('BMP P Tracking Table'!$AQ409="Total Pervious",(-(3630*'BMP P Tracking Table'!$V409+20.691*'BMP P Tracking Table'!$AB409)+SQRT((3630*'BMP P Tracking Table'!$V409+20.691*'BMP P Tracking Table'!$AB409)^2-(4*(996.798*'BMP P Tracking Table'!$AB409)*-'BMP P Tracking Table'!$AX409)))/(2*(996.798*'BMP P Tracking Table'!$AB409)),IF(SUM('BMP P Tracking Table'!$X409:$AA409)=0,'BMP P Tracking Table'!$AX409/(-3630*'BMP P Tracking Table'!$V409),(-(3630*'BMP P Tracking Table'!$V409+20.691*'BMP P Tracking Table'!$AA409-216.711*'BMP P Tracking Table'!$Z409-83.853*'BMP P Tracking Table'!$Y409-42.834*'BMP P Tracking Table'!$X409)+SQRT((3630*'BMP P Tracking Table'!$V409+20.691*'BMP P Tracking Table'!$AA409-216.711*'BMP P Tracking Table'!$Z409-83.853*'BMP P Tracking Table'!$Y409-42.834*'BMP P Tracking Table'!$X409)^2-(4*(149.919*'BMP P Tracking Table'!$X409+236.676*'BMP P Tracking Table'!$Y409+726*'BMP P Tracking Table'!$Z409+996.798*'BMP P Tracking Table'!$AA409)*-'BMP P Tracking Table'!$AX409)))/(2*(149.919*'BMP P Tracking Table'!$X409+236.676*'BMP P Tracking Table'!$Y409+726*'BMP P Tracking Table'!$Z409+996.798*'BMP P Tracking Table'!$AA409)))))),"")</f>
        <v/>
      </c>
      <c r="BB409" s="102" t="str">
        <f>IFERROR((VLOOKUP(CONCATENATE('BMP P Tracking Table'!$AW409," ",'BMP P Tracking Table'!$AY409),'Performance Curves'!$C$1:$L$46,_xlfn.SINGLE(MATCH('BMP P Tracking Table'!$BA409,'Performance Curves'!$D$1:$L$1,1))+2,FALSE)-VLOOKUP(CONCATENATE('BMP P Tracking Table'!$AW409," ",'BMP P Tracking Table'!$AY409),'Performance Curves'!$C$1:$L$46,_xlfn.SINGLE(MATCH('BMP P Tracking Table'!$BA409,'Performance Curves'!$D$1:$L$1,1))+1,FALSE)),"")</f>
        <v/>
      </c>
      <c r="BC409" s="102" t="str">
        <f>IFERROR(('BMP P Tracking Table'!$BA409-INDEX('Performance Curves'!$D$1:$L$1,1,MATCH('BMP P Tracking Table'!$BA409,'Performance Curves'!$D$1:$L$1,1)))/(INDEX('Performance Curves'!$D$1:$L$1,1,MATCH('BMP P Tracking Table'!$BA409,'Performance Curves'!$D$1:$L$1,1)+1)-INDEX('Performance Curves'!$D$1:$L$1,1,MATCH('BMP P Tracking Table'!$BA409,'Performance Curves'!$D$1:$L$1,1))),"")</f>
        <v/>
      </c>
      <c r="BD409" s="103" t="str" cm="1">
        <f t="array" ref="BD409">IFERROR(IF('BMP P Tracking Table'!$BA409=2,VLOOKUP(CONCATENATE('BMP P Tracking Table'!$AW409," ",'BMP P Tracking Table'!$AY409),'Performance Curves'!$C$1:$L$44,_xlfn.SINGLE(MATCH('BMP P Tracking Table'!$BA409,'Performance Curves'!$D$1:$L$1,1))+1,FALSE),'BMP P Tracking Table'!$BB409*'BMP P Tracking Table'!$BC409+VLOOKUP(CONCATENATE('BMP P Tracking Table'!$AW409," ",'BMP P Tracking Table'!$AY409),'Performance Curves'!$C$1:$L$44,_xlfn.SINGLE(MATCH('BMP P Tracking Table'!$BA409,'Performance Curves'!$D$1:$L$1,1))+1,FALSE)),"")</f>
        <v/>
      </c>
      <c r="BE409" s="104" t="str">
        <f>IFERROR('BMP P Tracking Table'!$BD409*'BMP P Tracking Table'!$AZ409,"")</f>
        <v/>
      </c>
      <c r="BF409" s="98"/>
      <c r="BG409" s="37">
        <f t="shared" si="40"/>
        <v>0</v>
      </c>
    </row>
    <row r="410" spans="2:59" s="36" customFormat="1">
      <c r="B410" s="65"/>
      <c r="C410" s="65"/>
      <c r="D410" s="65"/>
      <c r="E410" s="65"/>
      <c r="F410" s="94"/>
      <c r="G410" s="94"/>
      <c r="H410" s="65"/>
      <c r="I410" s="65"/>
      <c r="J410" s="65"/>
      <c r="K410" s="95"/>
      <c r="L410" s="65"/>
      <c r="M410" s="65"/>
      <c r="N410" s="65"/>
      <c r="O410" s="65"/>
      <c r="P410" s="65"/>
      <c r="Q410" s="65"/>
      <c r="R410" s="65" t="str">
        <f>IFERROR(VLOOKUP('BMP P Tracking Table'!$Q410,Dropdowns!$C$2:$E$15,3,FALSE),"")</f>
        <v/>
      </c>
      <c r="S410" s="65" t="str">
        <f>IFERROR(VLOOKUP('BMP P Tracking Table'!$R410,Dropdowns!$Q$3:$R$23,2,FALSE),"")</f>
        <v/>
      </c>
      <c r="T410" s="65"/>
      <c r="U410" s="65"/>
      <c r="V410" s="65"/>
      <c r="W410" s="65"/>
      <c r="X410" s="65"/>
      <c r="Y410" s="65"/>
      <c r="Z410" s="65"/>
      <c r="AA410" s="65"/>
      <c r="AB410" s="65"/>
      <c r="AC410" s="97"/>
      <c r="AD410" s="65"/>
      <c r="AE410" s="104" t="str">
        <f>IFERROR('BMP P Tracking Table'!$V410*VLOOKUP('BMP P Tracking Table'!$R410,'Loading Rates'!$B$1:$L$24,4,FALSE)+IF('BMP P Tracking Table'!$W410="By HSG",'BMP P Tracking Table'!$X410*VLOOKUP('BMP P Tracking Table'!$R410,'Loading Rates'!$B$1:$L$24,6,FALSE)+'BMP P Tracking Table'!$Y410*VLOOKUP('BMP P Tracking Table'!$R410,'Loading Rates'!$B$1:$L$24,7,FALSE)+'BMP P Tracking Table'!$Z410*VLOOKUP('BMP P Tracking Table'!$R410,'Loading Rates'!$B$1:$L$24,8,FALSE)+'BMP P Tracking Table'!$AA410*VLOOKUP('BMP P Tracking Table'!$R410,'Loading Rates'!$B$1:$L$24,9,FALSE),'BMP P Tracking Table'!$AB410*VLOOKUP('BMP P Tracking Table'!$R410,'Loading Rates'!$B$1:$L$24,10,FALSE)),"")</f>
        <v/>
      </c>
      <c r="AF410" s="104" t="str">
        <f>IFERROR(MIN(2,IF('BMP P Tracking Table'!$W410="Total Pervious",(-(3630*'BMP P Tracking Table'!$V410+20.691*'BMP P Tracking Table'!$AB410)+SQRT((3630*'BMP P Tracking Table'!$V410+20.691*'BMP P Tracking Table'!$AB410)^2-(4*(996.798*'BMP P Tracking Table'!$AB410)*-'BMP P Tracking Table'!$AC410)))/(2*(996.798*'BMP P Tracking Table'!$AB410)),IF(SUM('BMP P Tracking Table'!$X410:$AA410)=0,'BMP P Tracking Table'!$AC410/(-3630*'BMP P Tracking Table'!$V410),(-(3630*'BMP P Tracking Table'!$V410+20.691*'BMP P Tracking Table'!$AA410-216.711*'BMP P Tracking Table'!$Z410-83.853*'BMP P Tracking Table'!$Y410-42.834*'BMP P Tracking Table'!$X410)+SQRT((3630*'BMP P Tracking Table'!$V410+20.691*'BMP P Tracking Table'!$AA410-216.711*'BMP P Tracking Table'!$Z410-83.853*'BMP P Tracking Table'!$Y410-42.834*'BMP P Tracking Table'!$X410)^2-(4*(149.919*'BMP P Tracking Table'!$X410+236.676*'BMP P Tracking Table'!$Y410+726*'BMP P Tracking Table'!$Z410+996.798*'BMP P Tracking Table'!$AA410)*-'BMP P Tracking Table'!$AC410)))/(2*(149.919*'BMP P Tracking Table'!$X410+236.676*'BMP P Tracking Table'!$Y410+726*'BMP P Tracking Table'!$Z410+996.798*'BMP P Tracking Table'!$AA410))))),"")</f>
        <v/>
      </c>
      <c r="AG410" s="104" t="str">
        <f>IFERROR((VLOOKUP(CONCATENATE('BMP P Tracking Table'!$U410," ",'BMP P Tracking Table'!$AD410),'Performance Curves'!$C$1:$L$46,_xlfn.SINGLE(MATCH('BMP P Tracking Table'!$AF410,'Performance Curves'!$D$1:$L$1,1))+2,FALSE)-VLOOKUP(CONCATENATE('BMP P Tracking Table'!$U410," ",'BMP P Tracking Table'!$AD410),'Performance Curves'!$C$1:$L$46,_xlfn.SINGLE(MATCH('BMP P Tracking Table'!$AF410,'Performance Curves'!$D$1:$L$1,1))+1,FALSE)),"")</f>
        <v/>
      </c>
      <c r="AH410" s="104" t="str">
        <f>IFERROR(('BMP P Tracking Table'!$AF410-INDEX('Performance Curves'!$D$1:$L$1,1,MATCH('BMP P Tracking Table'!$AF410,'Performance Curves'!$D$1:$L$1,1)))/(INDEX('Performance Curves'!$D$1:$L$1,1,MATCH('BMP P Tracking Table'!$AF410,'Performance Curves'!$D$1:$L$1,1)+1)-INDEX('Performance Curves'!$D$1:$L$1,1,MATCH('BMP P Tracking Table'!$AF410,'Performance Curves'!$D$1:$L$1,1))),"")</f>
        <v/>
      </c>
      <c r="AI410" s="103" t="str">
        <f>IFERROR(IF('BMP P Tracking Table'!$AF410=2,VLOOKUP(CONCATENATE('BMP P Tracking Table'!$U410," ",'BMP P Tracking Table'!$AD410),'Performance Curves'!$C$1:$L$46,_xlfn.SINGLE(MATCH('BMP P Tracking Table'!$AF410,'Performance Curves'!$D$1:$L$1,1))+1,FALSE),'BMP P Tracking Table'!$AG410*'BMP P Tracking Table'!$AH410+VLOOKUP(CONCATENATE('BMP P Tracking Table'!$U410," ",'BMP P Tracking Table'!$AD410),'Performance Curves'!$C$1:$L$46,_xlfn.SINGLE(MATCH('BMP P Tracking Table'!$AF410,'Performance Curves'!$D$1:$L$1,1))+1,FALSE)),"")</f>
        <v/>
      </c>
      <c r="AJ410" s="104" t="str">
        <f>IFERROR('BMP P Tracking Table'!$AI410*'BMP P Tracking Table'!$AE410,"")</f>
        <v/>
      </c>
      <c r="AK410" s="65"/>
      <c r="AL410" s="98"/>
      <c r="AM410" s="98"/>
      <c r="AN410" s="64">
        <v>1</v>
      </c>
      <c r="AO410" s="102" t="str">
        <f t="shared" si="39"/>
        <v/>
      </c>
      <c r="AP410" s="98"/>
      <c r="AQ410" s="98"/>
      <c r="AR410" s="98"/>
      <c r="AS410" s="98"/>
      <c r="AT410" s="98"/>
      <c r="AU410" s="98"/>
      <c r="AV410" s="98"/>
      <c r="AW410" s="65"/>
      <c r="AX410" s="99"/>
      <c r="AY410" s="99"/>
      <c r="AZ410" s="104" t="str">
        <f>IF('BMP P Tracking Table'!$AL410="Yes",IF('BMP P Tracking Table'!$AM410="No",'BMP P Tracking Table'!$V410*VLOOKUP('BMP P Tracking Table'!$R410,'Loading Rates'!$B$1:$L$24,4,FALSE)+IF('BMP P Tracking Table'!$W410="By HSG",'BMP P Tracking Table'!$X410*VLOOKUP('BMP P Tracking Table'!$R410,'Loading Rates'!$B$1:$L$24,6,FALSE)+'BMP P Tracking Table'!$Y410*VLOOKUP('BMP P Tracking Table'!$R410,'Loading Rates'!$B$1:$L$24,7,FALSE)+'BMP P Tracking Table'!$Z410*VLOOKUP('BMP P Tracking Table'!$R410,'Loading Rates'!$B$1:$L$24,8,FALSE)+'BMP P Tracking Table'!$AA410*VLOOKUP('BMP P Tracking Table'!$R410,'Loading Rates'!$B$1:$L$24,9,FALSE),'BMP P Tracking Table'!$AB410*VLOOKUP('BMP P Tracking Table'!$R410,'Loading Rates'!$B$1:$L$24,10,FALSE)),'BMP P Tracking Table'!$AP410*VLOOKUP('BMP P Tracking Table'!$R410,'Loading Rates'!$B$1:$L$24,4,FALSE)+IF('BMP P Tracking Table'!$AQ410="By HSG",'BMP P Tracking Table'!$AR410*VLOOKUP('BMP P Tracking Table'!$R410,'Loading Rates'!$B$1:$L$24,6,FALSE)+'BMP P Tracking Table'!$AS410*VLOOKUP('BMP P Tracking Table'!$R410,'Loading Rates'!$B$1:$L$24,7,FALSE)+'BMP P Tracking Table'!$AT410*VLOOKUP('BMP P Tracking Table'!$R410,'Loading Rates'!$B$1:$L$24,8,FALSE)+'BMP P Tracking Table'!$AU410*VLOOKUP('BMP P Tracking Table'!$R410,'Loading Rates'!$B$1:$L$24,9,FALSE),'BMP P Tracking Table'!$AV410*VLOOKUP('BMP P Tracking Table'!$R410,'Loading Rates'!$B$1:$L$24,10,FALSE))),"")</f>
        <v/>
      </c>
      <c r="BA410" s="104" t="str">
        <f>IFERROR(IF('BMP P Tracking Table'!$AM410="Yes",MIN(2,IF('BMP P Tracking Table'!$AQ410="Total Pervious",(-(3630*'BMP P Tracking Table'!$AP410+20.691*'BMP P Tracking Table'!$AV410)+SQRT((3630*'BMP P Tracking Table'!$AP410+20.691*'BMP P Tracking Table'!$AV410)^2-(4*(996.798*'BMP P Tracking Table'!$AV410)*-'BMP P Tracking Table'!$AX410)))/(2*(996.798*'BMP P Tracking Table'!$AV410)),IF(SUM('BMP P Tracking Table'!$AR410:$AU410)=0,'BMP P Tracking Table'!$AV410/(-3630*'BMP P Tracking Table'!$AP410),(-(3630*'BMP P Tracking Table'!$AP410+20.691*'BMP P Tracking Table'!$AU410-216.711*'BMP P Tracking Table'!$AT410-83.853*'BMP P Tracking Table'!$AS410-42.834*'BMP P Tracking Table'!$AR410)+SQRT((3630*'BMP P Tracking Table'!$AP410+20.691*'BMP P Tracking Table'!$AU410-216.711*'BMP P Tracking Table'!$AT410-83.853*'BMP P Tracking Table'!$AS410-42.834*'BMP P Tracking Table'!$AR410)^2-(4*(149.919*'BMP P Tracking Table'!$AR410+236.676*'BMP P Tracking Table'!$AS410+726*'BMP P Tracking Table'!$AT410+996.798*'BMP P Tracking Table'!$AU410)*-'BMP P Tracking Table'!$AX410)))/(2*(149.919*'BMP P Tracking Table'!$AR410+236.676*'BMP P Tracking Table'!$AS410+726*'BMP P Tracking Table'!$AT410+996.798*'BMP P Tracking Table'!$AU410))))),MIN(2,IF('BMP P Tracking Table'!$AQ410="Total Pervious",(-(3630*'BMP P Tracking Table'!$V410+20.691*'BMP P Tracking Table'!$AB410)+SQRT((3630*'BMP P Tracking Table'!$V410+20.691*'BMP P Tracking Table'!$AB410)^2-(4*(996.798*'BMP P Tracking Table'!$AB410)*-'BMP P Tracking Table'!$AX410)))/(2*(996.798*'BMP P Tracking Table'!$AB410)),IF(SUM('BMP P Tracking Table'!$X410:$AA410)=0,'BMP P Tracking Table'!$AX410/(-3630*'BMP P Tracking Table'!$V410),(-(3630*'BMP P Tracking Table'!$V410+20.691*'BMP P Tracking Table'!$AA410-216.711*'BMP P Tracking Table'!$Z410-83.853*'BMP P Tracking Table'!$Y410-42.834*'BMP P Tracking Table'!$X410)+SQRT((3630*'BMP P Tracking Table'!$V410+20.691*'BMP P Tracking Table'!$AA410-216.711*'BMP P Tracking Table'!$Z410-83.853*'BMP P Tracking Table'!$Y410-42.834*'BMP P Tracking Table'!$X410)^2-(4*(149.919*'BMP P Tracking Table'!$X410+236.676*'BMP P Tracking Table'!$Y410+726*'BMP P Tracking Table'!$Z410+996.798*'BMP P Tracking Table'!$AA410)*-'BMP P Tracking Table'!$AX410)))/(2*(149.919*'BMP P Tracking Table'!$X410+236.676*'BMP P Tracking Table'!$Y410+726*'BMP P Tracking Table'!$Z410+996.798*'BMP P Tracking Table'!$AA410)))))),"")</f>
        <v/>
      </c>
      <c r="BB410" s="102" t="str">
        <f>IFERROR((VLOOKUP(CONCATENATE('BMP P Tracking Table'!$AW410," ",'BMP P Tracking Table'!$AY410),'Performance Curves'!$C$1:$L$46,_xlfn.SINGLE(MATCH('BMP P Tracking Table'!$BA410,'Performance Curves'!$D$1:$L$1,1))+2,FALSE)-VLOOKUP(CONCATENATE('BMP P Tracking Table'!$AW410," ",'BMP P Tracking Table'!$AY410),'Performance Curves'!$C$1:$L$46,_xlfn.SINGLE(MATCH('BMP P Tracking Table'!$BA410,'Performance Curves'!$D$1:$L$1,1))+1,FALSE)),"")</f>
        <v/>
      </c>
      <c r="BC410" s="102" t="str">
        <f>IFERROR(('BMP P Tracking Table'!$BA410-INDEX('Performance Curves'!$D$1:$L$1,1,MATCH('BMP P Tracking Table'!$BA410,'Performance Curves'!$D$1:$L$1,1)))/(INDEX('Performance Curves'!$D$1:$L$1,1,MATCH('BMP P Tracking Table'!$BA410,'Performance Curves'!$D$1:$L$1,1)+1)-INDEX('Performance Curves'!$D$1:$L$1,1,MATCH('BMP P Tracking Table'!$BA410,'Performance Curves'!$D$1:$L$1,1))),"")</f>
        <v/>
      </c>
      <c r="BD410" s="103" t="str" cm="1">
        <f t="array" ref="BD410">IFERROR(IF('BMP P Tracking Table'!$BA410=2,VLOOKUP(CONCATENATE('BMP P Tracking Table'!$AW410," ",'BMP P Tracking Table'!$AY410),'Performance Curves'!$C$1:$L$44,_xlfn.SINGLE(MATCH('BMP P Tracking Table'!$BA410,'Performance Curves'!$D$1:$L$1,1))+1,FALSE),'BMP P Tracking Table'!$BB410*'BMP P Tracking Table'!$BC410+VLOOKUP(CONCATENATE('BMP P Tracking Table'!$AW410," ",'BMP P Tracking Table'!$AY410),'Performance Curves'!$C$1:$L$44,_xlfn.SINGLE(MATCH('BMP P Tracking Table'!$BA410,'Performance Curves'!$D$1:$L$1,1))+1,FALSE)),"")</f>
        <v/>
      </c>
      <c r="BE410" s="104" t="str">
        <f>IFERROR('BMP P Tracking Table'!$BD410*'BMP P Tracking Table'!$AZ410,"")</f>
        <v/>
      </c>
      <c r="BF410" s="98"/>
      <c r="BG410" s="37">
        <f t="shared" si="40"/>
        <v>0</v>
      </c>
    </row>
    <row r="411" spans="2:59" s="36" customFormat="1">
      <c r="B411" s="65"/>
      <c r="C411" s="65"/>
      <c r="D411" s="65"/>
      <c r="E411" s="65"/>
      <c r="F411" s="94"/>
      <c r="G411" s="94"/>
      <c r="H411" s="65"/>
      <c r="I411" s="65"/>
      <c r="J411" s="65"/>
      <c r="K411" s="95"/>
      <c r="L411" s="65"/>
      <c r="M411" s="65"/>
      <c r="N411" s="65"/>
      <c r="O411" s="65"/>
      <c r="P411" s="65"/>
      <c r="Q411" s="65"/>
      <c r="R411" s="65" t="str">
        <f>IFERROR(VLOOKUP('BMP P Tracking Table'!$Q411,Dropdowns!$C$2:$E$15,3,FALSE),"")</f>
        <v/>
      </c>
      <c r="S411" s="65" t="str">
        <f>IFERROR(VLOOKUP('BMP P Tracking Table'!$R411,Dropdowns!$Q$3:$R$23,2,FALSE),"")</f>
        <v/>
      </c>
      <c r="T411" s="65"/>
      <c r="U411" s="65"/>
      <c r="V411" s="65"/>
      <c r="W411" s="65"/>
      <c r="X411" s="65"/>
      <c r="Y411" s="65"/>
      <c r="Z411" s="65"/>
      <c r="AA411" s="65"/>
      <c r="AB411" s="65"/>
      <c r="AC411" s="97"/>
      <c r="AD411" s="65"/>
      <c r="AE411" s="104" t="str">
        <f>IFERROR('BMP P Tracking Table'!$V411*VLOOKUP('BMP P Tracking Table'!$R411,'Loading Rates'!$B$1:$L$24,4,FALSE)+IF('BMP P Tracking Table'!$W411="By HSG",'BMP P Tracking Table'!$X411*VLOOKUP('BMP P Tracking Table'!$R411,'Loading Rates'!$B$1:$L$24,6,FALSE)+'BMP P Tracking Table'!$Y411*VLOOKUP('BMP P Tracking Table'!$R411,'Loading Rates'!$B$1:$L$24,7,FALSE)+'BMP P Tracking Table'!$Z411*VLOOKUP('BMP P Tracking Table'!$R411,'Loading Rates'!$B$1:$L$24,8,FALSE)+'BMP P Tracking Table'!$AA411*VLOOKUP('BMP P Tracking Table'!$R411,'Loading Rates'!$B$1:$L$24,9,FALSE),'BMP P Tracking Table'!$AB411*VLOOKUP('BMP P Tracking Table'!$R411,'Loading Rates'!$B$1:$L$24,10,FALSE)),"")</f>
        <v/>
      </c>
      <c r="AF411" s="104" t="str">
        <f>IFERROR(MIN(2,IF('BMP P Tracking Table'!$W411="Total Pervious",(-(3630*'BMP P Tracking Table'!$V411+20.691*'BMP P Tracking Table'!$AB411)+SQRT((3630*'BMP P Tracking Table'!$V411+20.691*'BMP P Tracking Table'!$AB411)^2-(4*(996.798*'BMP P Tracking Table'!$AB411)*-'BMP P Tracking Table'!$AC411)))/(2*(996.798*'BMP P Tracking Table'!$AB411)),IF(SUM('BMP P Tracking Table'!$X411:$AA411)=0,'BMP P Tracking Table'!$AC411/(-3630*'BMP P Tracking Table'!$V411),(-(3630*'BMP P Tracking Table'!$V411+20.691*'BMP P Tracking Table'!$AA411-216.711*'BMP P Tracking Table'!$Z411-83.853*'BMP P Tracking Table'!$Y411-42.834*'BMP P Tracking Table'!$X411)+SQRT((3630*'BMP P Tracking Table'!$V411+20.691*'BMP P Tracking Table'!$AA411-216.711*'BMP P Tracking Table'!$Z411-83.853*'BMP P Tracking Table'!$Y411-42.834*'BMP P Tracking Table'!$X411)^2-(4*(149.919*'BMP P Tracking Table'!$X411+236.676*'BMP P Tracking Table'!$Y411+726*'BMP P Tracking Table'!$Z411+996.798*'BMP P Tracking Table'!$AA411)*-'BMP P Tracking Table'!$AC411)))/(2*(149.919*'BMP P Tracking Table'!$X411+236.676*'BMP P Tracking Table'!$Y411+726*'BMP P Tracking Table'!$Z411+996.798*'BMP P Tracking Table'!$AA411))))),"")</f>
        <v/>
      </c>
      <c r="AG411" s="104" t="str">
        <f>IFERROR((VLOOKUP(CONCATENATE('BMP P Tracking Table'!$U411," ",'BMP P Tracking Table'!$AD411),'Performance Curves'!$C$1:$L$46,_xlfn.SINGLE(MATCH('BMP P Tracking Table'!$AF411,'Performance Curves'!$D$1:$L$1,1))+2,FALSE)-VLOOKUP(CONCATENATE('BMP P Tracking Table'!$U411," ",'BMP P Tracking Table'!$AD411),'Performance Curves'!$C$1:$L$46,_xlfn.SINGLE(MATCH('BMP P Tracking Table'!$AF411,'Performance Curves'!$D$1:$L$1,1))+1,FALSE)),"")</f>
        <v/>
      </c>
      <c r="AH411" s="104" t="str">
        <f>IFERROR(('BMP P Tracking Table'!$AF411-INDEX('Performance Curves'!$D$1:$L$1,1,MATCH('BMP P Tracking Table'!$AF411,'Performance Curves'!$D$1:$L$1,1)))/(INDEX('Performance Curves'!$D$1:$L$1,1,MATCH('BMP P Tracking Table'!$AF411,'Performance Curves'!$D$1:$L$1,1)+1)-INDEX('Performance Curves'!$D$1:$L$1,1,MATCH('BMP P Tracking Table'!$AF411,'Performance Curves'!$D$1:$L$1,1))),"")</f>
        <v/>
      </c>
      <c r="AI411" s="103" t="str">
        <f>IFERROR(IF('BMP P Tracking Table'!$AF411=2,VLOOKUP(CONCATENATE('BMP P Tracking Table'!$U411," ",'BMP P Tracking Table'!$AD411),'Performance Curves'!$C$1:$L$46,_xlfn.SINGLE(MATCH('BMP P Tracking Table'!$AF411,'Performance Curves'!$D$1:$L$1,1))+1,FALSE),'BMP P Tracking Table'!$AG411*'BMP P Tracking Table'!$AH411+VLOOKUP(CONCATENATE('BMP P Tracking Table'!$U411," ",'BMP P Tracking Table'!$AD411),'Performance Curves'!$C$1:$L$46,_xlfn.SINGLE(MATCH('BMP P Tracking Table'!$AF411,'Performance Curves'!$D$1:$L$1,1))+1,FALSE)),"")</f>
        <v/>
      </c>
      <c r="AJ411" s="104" t="str">
        <f>IFERROR('BMP P Tracking Table'!$AI411*'BMP P Tracking Table'!$AE411,"")</f>
        <v/>
      </c>
      <c r="AK411" s="65"/>
      <c r="AL411" s="98"/>
      <c r="AM411" s="98"/>
      <c r="AN411" s="64">
        <v>1</v>
      </c>
      <c r="AO411" s="102" t="str">
        <f t="shared" ref="AO411:AO460" si="41">IF(AL411="Yes",IF(BG411&gt;0,IF(ISBLANK(AK411),AJ411,AK411)-IF(ISBLANK(BF411),BE411,BF411),"Enter Info --&gt;"),IF(ISBLANK(AK411),AJ411,AK411))</f>
        <v/>
      </c>
      <c r="AP411" s="98"/>
      <c r="AQ411" s="98"/>
      <c r="AR411" s="98"/>
      <c r="AS411" s="98"/>
      <c r="AT411" s="98"/>
      <c r="AU411" s="98"/>
      <c r="AV411" s="98"/>
      <c r="AW411" s="65"/>
      <c r="AX411" s="99"/>
      <c r="AY411" s="99"/>
      <c r="AZ411" s="104" t="str">
        <f>IF('BMP P Tracking Table'!$AL411="Yes",IF('BMP P Tracking Table'!$AM411="No",'BMP P Tracking Table'!$V411*VLOOKUP('BMP P Tracking Table'!$R411,'Loading Rates'!$B$1:$L$24,4,FALSE)+IF('BMP P Tracking Table'!$W411="By HSG",'BMP P Tracking Table'!$X411*VLOOKUP('BMP P Tracking Table'!$R411,'Loading Rates'!$B$1:$L$24,6,FALSE)+'BMP P Tracking Table'!$Y411*VLOOKUP('BMP P Tracking Table'!$R411,'Loading Rates'!$B$1:$L$24,7,FALSE)+'BMP P Tracking Table'!$Z411*VLOOKUP('BMP P Tracking Table'!$R411,'Loading Rates'!$B$1:$L$24,8,FALSE)+'BMP P Tracking Table'!$AA411*VLOOKUP('BMP P Tracking Table'!$R411,'Loading Rates'!$B$1:$L$24,9,FALSE),'BMP P Tracking Table'!$AB411*VLOOKUP('BMP P Tracking Table'!$R411,'Loading Rates'!$B$1:$L$24,10,FALSE)),'BMP P Tracking Table'!$AP411*VLOOKUP('BMP P Tracking Table'!$R411,'Loading Rates'!$B$1:$L$24,4,FALSE)+IF('BMP P Tracking Table'!$AQ411="By HSG",'BMP P Tracking Table'!$AR411*VLOOKUP('BMP P Tracking Table'!$R411,'Loading Rates'!$B$1:$L$24,6,FALSE)+'BMP P Tracking Table'!$AS411*VLOOKUP('BMP P Tracking Table'!$R411,'Loading Rates'!$B$1:$L$24,7,FALSE)+'BMP P Tracking Table'!$AT411*VLOOKUP('BMP P Tracking Table'!$R411,'Loading Rates'!$B$1:$L$24,8,FALSE)+'BMP P Tracking Table'!$AU411*VLOOKUP('BMP P Tracking Table'!$R411,'Loading Rates'!$B$1:$L$24,9,FALSE),'BMP P Tracking Table'!$AV411*VLOOKUP('BMP P Tracking Table'!$R411,'Loading Rates'!$B$1:$L$24,10,FALSE))),"")</f>
        <v/>
      </c>
      <c r="BA411" s="104" t="str">
        <f>IFERROR(IF('BMP P Tracking Table'!$AM411="Yes",MIN(2,IF('BMP P Tracking Table'!$AQ411="Total Pervious",(-(3630*'BMP P Tracking Table'!$AP411+20.691*'BMP P Tracking Table'!$AV411)+SQRT((3630*'BMP P Tracking Table'!$AP411+20.691*'BMP P Tracking Table'!$AV411)^2-(4*(996.798*'BMP P Tracking Table'!$AV411)*-'BMP P Tracking Table'!$AX411)))/(2*(996.798*'BMP P Tracking Table'!$AV411)),IF(SUM('BMP P Tracking Table'!$AR411:$AU411)=0,'BMP P Tracking Table'!$AV411/(-3630*'BMP P Tracking Table'!$AP411),(-(3630*'BMP P Tracking Table'!$AP411+20.691*'BMP P Tracking Table'!$AU411-216.711*'BMP P Tracking Table'!$AT411-83.853*'BMP P Tracking Table'!$AS411-42.834*'BMP P Tracking Table'!$AR411)+SQRT((3630*'BMP P Tracking Table'!$AP411+20.691*'BMP P Tracking Table'!$AU411-216.711*'BMP P Tracking Table'!$AT411-83.853*'BMP P Tracking Table'!$AS411-42.834*'BMP P Tracking Table'!$AR411)^2-(4*(149.919*'BMP P Tracking Table'!$AR411+236.676*'BMP P Tracking Table'!$AS411+726*'BMP P Tracking Table'!$AT411+996.798*'BMP P Tracking Table'!$AU411)*-'BMP P Tracking Table'!$AX411)))/(2*(149.919*'BMP P Tracking Table'!$AR411+236.676*'BMP P Tracking Table'!$AS411+726*'BMP P Tracking Table'!$AT411+996.798*'BMP P Tracking Table'!$AU411))))),MIN(2,IF('BMP P Tracking Table'!$AQ411="Total Pervious",(-(3630*'BMP P Tracking Table'!$V411+20.691*'BMP P Tracking Table'!$AB411)+SQRT((3630*'BMP P Tracking Table'!$V411+20.691*'BMP P Tracking Table'!$AB411)^2-(4*(996.798*'BMP P Tracking Table'!$AB411)*-'BMP P Tracking Table'!$AX411)))/(2*(996.798*'BMP P Tracking Table'!$AB411)),IF(SUM('BMP P Tracking Table'!$X411:$AA411)=0,'BMP P Tracking Table'!$AX411/(-3630*'BMP P Tracking Table'!$V411),(-(3630*'BMP P Tracking Table'!$V411+20.691*'BMP P Tracking Table'!$AA411-216.711*'BMP P Tracking Table'!$Z411-83.853*'BMP P Tracking Table'!$Y411-42.834*'BMP P Tracking Table'!$X411)+SQRT((3630*'BMP P Tracking Table'!$V411+20.691*'BMP P Tracking Table'!$AA411-216.711*'BMP P Tracking Table'!$Z411-83.853*'BMP P Tracking Table'!$Y411-42.834*'BMP P Tracking Table'!$X411)^2-(4*(149.919*'BMP P Tracking Table'!$X411+236.676*'BMP P Tracking Table'!$Y411+726*'BMP P Tracking Table'!$Z411+996.798*'BMP P Tracking Table'!$AA411)*-'BMP P Tracking Table'!$AX411)))/(2*(149.919*'BMP P Tracking Table'!$X411+236.676*'BMP P Tracking Table'!$Y411+726*'BMP P Tracking Table'!$Z411+996.798*'BMP P Tracking Table'!$AA411)))))),"")</f>
        <v/>
      </c>
      <c r="BB411" s="102" t="str">
        <f>IFERROR((VLOOKUP(CONCATENATE('BMP P Tracking Table'!$AW411," ",'BMP P Tracking Table'!$AY411),'Performance Curves'!$C$1:$L$46,_xlfn.SINGLE(MATCH('BMP P Tracking Table'!$BA411,'Performance Curves'!$D$1:$L$1,1))+2,FALSE)-VLOOKUP(CONCATENATE('BMP P Tracking Table'!$AW411," ",'BMP P Tracking Table'!$AY411),'Performance Curves'!$C$1:$L$46,_xlfn.SINGLE(MATCH('BMP P Tracking Table'!$BA411,'Performance Curves'!$D$1:$L$1,1))+1,FALSE)),"")</f>
        <v/>
      </c>
      <c r="BC411" s="102" t="str">
        <f>IFERROR(('BMP P Tracking Table'!$BA411-INDEX('Performance Curves'!$D$1:$L$1,1,MATCH('BMP P Tracking Table'!$BA411,'Performance Curves'!$D$1:$L$1,1)))/(INDEX('Performance Curves'!$D$1:$L$1,1,MATCH('BMP P Tracking Table'!$BA411,'Performance Curves'!$D$1:$L$1,1)+1)-INDEX('Performance Curves'!$D$1:$L$1,1,MATCH('BMP P Tracking Table'!$BA411,'Performance Curves'!$D$1:$L$1,1))),"")</f>
        <v/>
      </c>
      <c r="BD411" s="103" t="str" cm="1">
        <f t="array" ref="BD411">IFERROR(IF('BMP P Tracking Table'!$BA411=2,VLOOKUP(CONCATENATE('BMP P Tracking Table'!$AW411," ",'BMP P Tracking Table'!$AY411),'Performance Curves'!$C$1:$L$44,_xlfn.SINGLE(MATCH('BMP P Tracking Table'!$BA411,'Performance Curves'!$D$1:$L$1,1))+1,FALSE),'BMP P Tracking Table'!$BB411*'BMP P Tracking Table'!$BC411+VLOOKUP(CONCATENATE('BMP P Tracking Table'!$AW411," ",'BMP P Tracking Table'!$AY411),'Performance Curves'!$C$1:$L$44,_xlfn.SINGLE(MATCH('BMP P Tracking Table'!$BA411,'Performance Curves'!$D$1:$L$1,1))+1,FALSE)),"")</f>
        <v/>
      </c>
      <c r="BE411" s="104" t="str">
        <f>IFERROR('BMP P Tracking Table'!$BD411*'BMP P Tracking Table'!$AZ411,"")</f>
        <v/>
      </c>
      <c r="BF411" s="98"/>
      <c r="BG411" s="37">
        <f t="shared" si="40"/>
        <v>0</v>
      </c>
    </row>
    <row r="412" spans="2:59" s="36" customFormat="1">
      <c r="B412" s="65"/>
      <c r="C412" s="65"/>
      <c r="D412" s="65"/>
      <c r="E412" s="65"/>
      <c r="F412" s="94"/>
      <c r="G412" s="94"/>
      <c r="H412" s="65"/>
      <c r="I412" s="65"/>
      <c r="J412" s="65"/>
      <c r="K412" s="95"/>
      <c r="L412" s="65"/>
      <c r="M412" s="65"/>
      <c r="N412" s="65"/>
      <c r="O412" s="65"/>
      <c r="P412" s="65"/>
      <c r="Q412" s="65"/>
      <c r="R412" s="65" t="str">
        <f>IFERROR(VLOOKUP('BMP P Tracking Table'!$Q412,Dropdowns!$C$2:$E$15,3,FALSE),"")</f>
        <v/>
      </c>
      <c r="S412" s="65" t="str">
        <f>IFERROR(VLOOKUP('BMP P Tracking Table'!$R412,Dropdowns!$Q$3:$R$23,2,FALSE),"")</f>
        <v/>
      </c>
      <c r="T412" s="65"/>
      <c r="U412" s="65"/>
      <c r="V412" s="65"/>
      <c r="W412" s="65"/>
      <c r="X412" s="65"/>
      <c r="Y412" s="65"/>
      <c r="Z412" s="65"/>
      <c r="AA412" s="65"/>
      <c r="AB412" s="65"/>
      <c r="AC412" s="97"/>
      <c r="AD412" s="65"/>
      <c r="AE412" s="104" t="str">
        <f>IFERROR('BMP P Tracking Table'!$V412*VLOOKUP('BMP P Tracking Table'!$R412,'Loading Rates'!$B$1:$L$24,4,FALSE)+IF('BMP P Tracking Table'!$W412="By HSG",'BMP P Tracking Table'!$X412*VLOOKUP('BMP P Tracking Table'!$R412,'Loading Rates'!$B$1:$L$24,6,FALSE)+'BMP P Tracking Table'!$Y412*VLOOKUP('BMP P Tracking Table'!$R412,'Loading Rates'!$B$1:$L$24,7,FALSE)+'BMP P Tracking Table'!$Z412*VLOOKUP('BMP P Tracking Table'!$R412,'Loading Rates'!$B$1:$L$24,8,FALSE)+'BMP P Tracking Table'!$AA412*VLOOKUP('BMP P Tracking Table'!$R412,'Loading Rates'!$B$1:$L$24,9,FALSE),'BMP P Tracking Table'!$AB412*VLOOKUP('BMP P Tracking Table'!$R412,'Loading Rates'!$B$1:$L$24,10,FALSE)),"")</f>
        <v/>
      </c>
      <c r="AF412" s="104" t="str">
        <f>IFERROR(MIN(2,IF('BMP P Tracking Table'!$W412="Total Pervious",(-(3630*'BMP P Tracking Table'!$V412+20.691*'BMP P Tracking Table'!$AB412)+SQRT((3630*'BMP P Tracking Table'!$V412+20.691*'BMP P Tracking Table'!$AB412)^2-(4*(996.798*'BMP P Tracking Table'!$AB412)*-'BMP P Tracking Table'!$AC412)))/(2*(996.798*'BMP P Tracking Table'!$AB412)),IF(SUM('BMP P Tracking Table'!$X412:$AA412)=0,'BMP P Tracking Table'!$AC412/(-3630*'BMP P Tracking Table'!$V412),(-(3630*'BMP P Tracking Table'!$V412+20.691*'BMP P Tracking Table'!$AA412-216.711*'BMP P Tracking Table'!$Z412-83.853*'BMP P Tracking Table'!$Y412-42.834*'BMP P Tracking Table'!$X412)+SQRT((3630*'BMP P Tracking Table'!$V412+20.691*'BMP P Tracking Table'!$AA412-216.711*'BMP P Tracking Table'!$Z412-83.853*'BMP P Tracking Table'!$Y412-42.834*'BMP P Tracking Table'!$X412)^2-(4*(149.919*'BMP P Tracking Table'!$X412+236.676*'BMP P Tracking Table'!$Y412+726*'BMP P Tracking Table'!$Z412+996.798*'BMP P Tracking Table'!$AA412)*-'BMP P Tracking Table'!$AC412)))/(2*(149.919*'BMP P Tracking Table'!$X412+236.676*'BMP P Tracking Table'!$Y412+726*'BMP P Tracking Table'!$Z412+996.798*'BMP P Tracking Table'!$AA412))))),"")</f>
        <v/>
      </c>
      <c r="AG412" s="104" t="str">
        <f>IFERROR((VLOOKUP(CONCATENATE('BMP P Tracking Table'!$U412," ",'BMP P Tracking Table'!$AD412),'Performance Curves'!$C$1:$L$46,_xlfn.SINGLE(MATCH('BMP P Tracking Table'!$AF412,'Performance Curves'!$D$1:$L$1,1))+2,FALSE)-VLOOKUP(CONCATENATE('BMP P Tracking Table'!$U412," ",'BMP P Tracking Table'!$AD412),'Performance Curves'!$C$1:$L$46,_xlfn.SINGLE(MATCH('BMP P Tracking Table'!$AF412,'Performance Curves'!$D$1:$L$1,1))+1,FALSE)),"")</f>
        <v/>
      </c>
      <c r="AH412" s="104" t="str">
        <f>IFERROR(('BMP P Tracking Table'!$AF412-INDEX('Performance Curves'!$D$1:$L$1,1,MATCH('BMP P Tracking Table'!$AF412,'Performance Curves'!$D$1:$L$1,1)))/(INDEX('Performance Curves'!$D$1:$L$1,1,MATCH('BMP P Tracking Table'!$AF412,'Performance Curves'!$D$1:$L$1,1)+1)-INDEX('Performance Curves'!$D$1:$L$1,1,MATCH('BMP P Tracking Table'!$AF412,'Performance Curves'!$D$1:$L$1,1))),"")</f>
        <v/>
      </c>
      <c r="AI412" s="103" t="str">
        <f>IFERROR(IF('BMP P Tracking Table'!$AF412=2,VLOOKUP(CONCATENATE('BMP P Tracking Table'!$U412," ",'BMP P Tracking Table'!$AD412),'Performance Curves'!$C$1:$L$46,_xlfn.SINGLE(MATCH('BMP P Tracking Table'!$AF412,'Performance Curves'!$D$1:$L$1,1))+1,FALSE),'BMP P Tracking Table'!$AG412*'BMP P Tracking Table'!$AH412+VLOOKUP(CONCATENATE('BMP P Tracking Table'!$U412," ",'BMP P Tracking Table'!$AD412),'Performance Curves'!$C$1:$L$46,_xlfn.SINGLE(MATCH('BMP P Tracking Table'!$AF412,'Performance Curves'!$D$1:$L$1,1))+1,FALSE)),"")</f>
        <v/>
      </c>
      <c r="AJ412" s="104" t="str">
        <f>IFERROR('BMP P Tracking Table'!$AI412*'BMP P Tracking Table'!$AE412,"")</f>
        <v/>
      </c>
      <c r="AK412" s="65"/>
      <c r="AL412" s="98"/>
      <c r="AM412" s="98"/>
      <c r="AN412" s="64">
        <v>1</v>
      </c>
      <c r="AO412" s="102" t="str">
        <f t="shared" si="41"/>
        <v/>
      </c>
      <c r="AP412" s="98"/>
      <c r="AQ412" s="98"/>
      <c r="AR412" s="98"/>
      <c r="AS412" s="98"/>
      <c r="AT412" s="98"/>
      <c r="AU412" s="98"/>
      <c r="AV412" s="98"/>
      <c r="AW412" s="65"/>
      <c r="AX412" s="99"/>
      <c r="AY412" s="99"/>
      <c r="AZ412" s="104" t="str">
        <f>IF('BMP P Tracking Table'!$AL412="Yes",IF('BMP P Tracking Table'!$AM412="No",'BMP P Tracking Table'!$V412*VLOOKUP('BMP P Tracking Table'!$R412,'Loading Rates'!$B$1:$L$24,4,FALSE)+IF('BMP P Tracking Table'!$W412="By HSG",'BMP P Tracking Table'!$X412*VLOOKUP('BMP P Tracking Table'!$R412,'Loading Rates'!$B$1:$L$24,6,FALSE)+'BMP P Tracking Table'!$Y412*VLOOKUP('BMP P Tracking Table'!$R412,'Loading Rates'!$B$1:$L$24,7,FALSE)+'BMP P Tracking Table'!$Z412*VLOOKUP('BMP P Tracking Table'!$R412,'Loading Rates'!$B$1:$L$24,8,FALSE)+'BMP P Tracking Table'!$AA412*VLOOKUP('BMP P Tracking Table'!$R412,'Loading Rates'!$B$1:$L$24,9,FALSE),'BMP P Tracking Table'!$AB412*VLOOKUP('BMP P Tracking Table'!$R412,'Loading Rates'!$B$1:$L$24,10,FALSE)),'BMP P Tracking Table'!$AP412*VLOOKUP('BMP P Tracking Table'!$R412,'Loading Rates'!$B$1:$L$24,4,FALSE)+IF('BMP P Tracking Table'!$AQ412="By HSG",'BMP P Tracking Table'!$AR412*VLOOKUP('BMP P Tracking Table'!$R412,'Loading Rates'!$B$1:$L$24,6,FALSE)+'BMP P Tracking Table'!$AS412*VLOOKUP('BMP P Tracking Table'!$R412,'Loading Rates'!$B$1:$L$24,7,FALSE)+'BMP P Tracking Table'!$AT412*VLOOKUP('BMP P Tracking Table'!$R412,'Loading Rates'!$B$1:$L$24,8,FALSE)+'BMP P Tracking Table'!$AU412*VLOOKUP('BMP P Tracking Table'!$R412,'Loading Rates'!$B$1:$L$24,9,FALSE),'BMP P Tracking Table'!$AV412*VLOOKUP('BMP P Tracking Table'!$R412,'Loading Rates'!$B$1:$L$24,10,FALSE))),"")</f>
        <v/>
      </c>
      <c r="BA412" s="104" t="str">
        <f>IFERROR(IF('BMP P Tracking Table'!$AM412="Yes",MIN(2,IF('BMP P Tracking Table'!$AQ412="Total Pervious",(-(3630*'BMP P Tracking Table'!$AP412+20.691*'BMP P Tracking Table'!$AV412)+SQRT((3630*'BMP P Tracking Table'!$AP412+20.691*'BMP P Tracking Table'!$AV412)^2-(4*(996.798*'BMP P Tracking Table'!$AV412)*-'BMP P Tracking Table'!$AX412)))/(2*(996.798*'BMP P Tracking Table'!$AV412)),IF(SUM('BMP P Tracking Table'!$AR412:$AU412)=0,'BMP P Tracking Table'!$AV412/(-3630*'BMP P Tracking Table'!$AP412),(-(3630*'BMP P Tracking Table'!$AP412+20.691*'BMP P Tracking Table'!$AU412-216.711*'BMP P Tracking Table'!$AT412-83.853*'BMP P Tracking Table'!$AS412-42.834*'BMP P Tracking Table'!$AR412)+SQRT((3630*'BMP P Tracking Table'!$AP412+20.691*'BMP P Tracking Table'!$AU412-216.711*'BMP P Tracking Table'!$AT412-83.853*'BMP P Tracking Table'!$AS412-42.834*'BMP P Tracking Table'!$AR412)^2-(4*(149.919*'BMP P Tracking Table'!$AR412+236.676*'BMP P Tracking Table'!$AS412+726*'BMP P Tracking Table'!$AT412+996.798*'BMP P Tracking Table'!$AU412)*-'BMP P Tracking Table'!$AX412)))/(2*(149.919*'BMP P Tracking Table'!$AR412+236.676*'BMP P Tracking Table'!$AS412+726*'BMP P Tracking Table'!$AT412+996.798*'BMP P Tracking Table'!$AU412))))),MIN(2,IF('BMP P Tracking Table'!$AQ412="Total Pervious",(-(3630*'BMP P Tracking Table'!$V412+20.691*'BMP P Tracking Table'!$AB412)+SQRT((3630*'BMP P Tracking Table'!$V412+20.691*'BMP P Tracking Table'!$AB412)^2-(4*(996.798*'BMP P Tracking Table'!$AB412)*-'BMP P Tracking Table'!$AX412)))/(2*(996.798*'BMP P Tracking Table'!$AB412)),IF(SUM('BMP P Tracking Table'!$X412:$AA412)=0,'BMP P Tracking Table'!$AX412/(-3630*'BMP P Tracking Table'!$V412),(-(3630*'BMP P Tracking Table'!$V412+20.691*'BMP P Tracking Table'!$AA412-216.711*'BMP P Tracking Table'!$Z412-83.853*'BMP P Tracking Table'!$Y412-42.834*'BMP P Tracking Table'!$X412)+SQRT((3630*'BMP P Tracking Table'!$V412+20.691*'BMP P Tracking Table'!$AA412-216.711*'BMP P Tracking Table'!$Z412-83.853*'BMP P Tracking Table'!$Y412-42.834*'BMP P Tracking Table'!$X412)^2-(4*(149.919*'BMP P Tracking Table'!$X412+236.676*'BMP P Tracking Table'!$Y412+726*'BMP P Tracking Table'!$Z412+996.798*'BMP P Tracking Table'!$AA412)*-'BMP P Tracking Table'!$AX412)))/(2*(149.919*'BMP P Tracking Table'!$X412+236.676*'BMP P Tracking Table'!$Y412+726*'BMP P Tracking Table'!$Z412+996.798*'BMP P Tracking Table'!$AA412)))))),"")</f>
        <v/>
      </c>
      <c r="BB412" s="102" t="str">
        <f>IFERROR((VLOOKUP(CONCATENATE('BMP P Tracking Table'!$AW412," ",'BMP P Tracking Table'!$AY412),'Performance Curves'!$C$1:$L$46,_xlfn.SINGLE(MATCH('BMP P Tracking Table'!$BA412,'Performance Curves'!$D$1:$L$1,1))+2,FALSE)-VLOOKUP(CONCATENATE('BMP P Tracking Table'!$AW412," ",'BMP P Tracking Table'!$AY412),'Performance Curves'!$C$1:$L$46,_xlfn.SINGLE(MATCH('BMP P Tracking Table'!$BA412,'Performance Curves'!$D$1:$L$1,1))+1,FALSE)),"")</f>
        <v/>
      </c>
      <c r="BC412" s="102" t="str">
        <f>IFERROR(('BMP P Tracking Table'!$BA412-INDEX('Performance Curves'!$D$1:$L$1,1,MATCH('BMP P Tracking Table'!$BA412,'Performance Curves'!$D$1:$L$1,1)))/(INDEX('Performance Curves'!$D$1:$L$1,1,MATCH('BMP P Tracking Table'!$BA412,'Performance Curves'!$D$1:$L$1,1)+1)-INDEX('Performance Curves'!$D$1:$L$1,1,MATCH('BMP P Tracking Table'!$BA412,'Performance Curves'!$D$1:$L$1,1))),"")</f>
        <v/>
      </c>
      <c r="BD412" s="103" t="str" cm="1">
        <f t="array" ref="BD412">IFERROR(IF('BMP P Tracking Table'!$BA412=2,VLOOKUP(CONCATENATE('BMP P Tracking Table'!$AW412," ",'BMP P Tracking Table'!$AY412),'Performance Curves'!$C$1:$L$44,_xlfn.SINGLE(MATCH('BMP P Tracking Table'!$BA412,'Performance Curves'!$D$1:$L$1,1))+1,FALSE),'BMP P Tracking Table'!$BB412*'BMP P Tracking Table'!$BC412+VLOOKUP(CONCATENATE('BMP P Tracking Table'!$AW412," ",'BMP P Tracking Table'!$AY412),'Performance Curves'!$C$1:$L$44,_xlfn.SINGLE(MATCH('BMP P Tracking Table'!$BA412,'Performance Curves'!$D$1:$L$1,1))+1,FALSE)),"")</f>
        <v/>
      </c>
      <c r="BE412" s="104" t="str">
        <f>IFERROR('BMP P Tracking Table'!$BD412*'BMP P Tracking Table'!$AZ412,"")</f>
        <v/>
      </c>
      <c r="BF412" s="98"/>
      <c r="BG412" s="37">
        <f t="shared" si="40"/>
        <v>0</v>
      </c>
    </row>
    <row r="413" spans="2:59" s="36" customFormat="1">
      <c r="B413" s="65"/>
      <c r="C413" s="65"/>
      <c r="D413" s="65"/>
      <c r="E413" s="65"/>
      <c r="F413" s="94"/>
      <c r="G413" s="94"/>
      <c r="H413" s="65"/>
      <c r="I413" s="65"/>
      <c r="J413" s="65"/>
      <c r="K413" s="95"/>
      <c r="L413" s="65"/>
      <c r="M413" s="65"/>
      <c r="N413" s="65"/>
      <c r="O413" s="65"/>
      <c r="P413" s="65"/>
      <c r="Q413" s="65"/>
      <c r="R413" s="65" t="str">
        <f>IFERROR(VLOOKUP('BMP P Tracking Table'!$Q413,Dropdowns!$C$2:$E$15,3,FALSE),"")</f>
        <v/>
      </c>
      <c r="S413" s="65" t="str">
        <f>IFERROR(VLOOKUP('BMP P Tracking Table'!$R413,Dropdowns!$Q$3:$R$23,2,FALSE),"")</f>
        <v/>
      </c>
      <c r="T413" s="65"/>
      <c r="U413" s="65"/>
      <c r="V413" s="65"/>
      <c r="W413" s="65"/>
      <c r="X413" s="65"/>
      <c r="Y413" s="65"/>
      <c r="Z413" s="65"/>
      <c r="AA413" s="65"/>
      <c r="AB413" s="65"/>
      <c r="AC413" s="97"/>
      <c r="AD413" s="65"/>
      <c r="AE413" s="104" t="str">
        <f>IFERROR('BMP P Tracking Table'!$V413*VLOOKUP('BMP P Tracking Table'!$R413,'Loading Rates'!$B$1:$L$24,4,FALSE)+IF('BMP P Tracking Table'!$W413="By HSG",'BMP P Tracking Table'!$X413*VLOOKUP('BMP P Tracking Table'!$R413,'Loading Rates'!$B$1:$L$24,6,FALSE)+'BMP P Tracking Table'!$Y413*VLOOKUP('BMP P Tracking Table'!$R413,'Loading Rates'!$B$1:$L$24,7,FALSE)+'BMP P Tracking Table'!$Z413*VLOOKUP('BMP P Tracking Table'!$R413,'Loading Rates'!$B$1:$L$24,8,FALSE)+'BMP P Tracking Table'!$AA413*VLOOKUP('BMP P Tracking Table'!$R413,'Loading Rates'!$B$1:$L$24,9,FALSE),'BMP P Tracking Table'!$AB413*VLOOKUP('BMP P Tracking Table'!$R413,'Loading Rates'!$B$1:$L$24,10,FALSE)),"")</f>
        <v/>
      </c>
      <c r="AF413" s="104" t="str">
        <f>IFERROR(MIN(2,IF('BMP P Tracking Table'!$W413="Total Pervious",(-(3630*'BMP P Tracking Table'!$V413+20.691*'BMP P Tracking Table'!$AB413)+SQRT((3630*'BMP P Tracking Table'!$V413+20.691*'BMP P Tracking Table'!$AB413)^2-(4*(996.798*'BMP P Tracking Table'!$AB413)*-'BMP P Tracking Table'!$AC413)))/(2*(996.798*'BMP P Tracking Table'!$AB413)),IF(SUM('BMP P Tracking Table'!$X413:$AA413)=0,'BMP P Tracking Table'!$AC413/(-3630*'BMP P Tracking Table'!$V413),(-(3630*'BMP P Tracking Table'!$V413+20.691*'BMP P Tracking Table'!$AA413-216.711*'BMP P Tracking Table'!$Z413-83.853*'BMP P Tracking Table'!$Y413-42.834*'BMP P Tracking Table'!$X413)+SQRT((3630*'BMP P Tracking Table'!$V413+20.691*'BMP P Tracking Table'!$AA413-216.711*'BMP P Tracking Table'!$Z413-83.853*'BMP P Tracking Table'!$Y413-42.834*'BMP P Tracking Table'!$X413)^2-(4*(149.919*'BMP P Tracking Table'!$X413+236.676*'BMP P Tracking Table'!$Y413+726*'BMP P Tracking Table'!$Z413+996.798*'BMP P Tracking Table'!$AA413)*-'BMP P Tracking Table'!$AC413)))/(2*(149.919*'BMP P Tracking Table'!$X413+236.676*'BMP P Tracking Table'!$Y413+726*'BMP P Tracking Table'!$Z413+996.798*'BMP P Tracking Table'!$AA413))))),"")</f>
        <v/>
      </c>
      <c r="AG413" s="104" t="str">
        <f>IFERROR((VLOOKUP(CONCATENATE('BMP P Tracking Table'!$U413," ",'BMP P Tracking Table'!$AD413),'Performance Curves'!$C$1:$L$46,_xlfn.SINGLE(MATCH('BMP P Tracking Table'!$AF413,'Performance Curves'!$D$1:$L$1,1))+2,FALSE)-VLOOKUP(CONCATENATE('BMP P Tracking Table'!$U413," ",'BMP P Tracking Table'!$AD413),'Performance Curves'!$C$1:$L$46,_xlfn.SINGLE(MATCH('BMP P Tracking Table'!$AF413,'Performance Curves'!$D$1:$L$1,1))+1,FALSE)),"")</f>
        <v/>
      </c>
      <c r="AH413" s="104" t="str">
        <f>IFERROR(('BMP P Tracking Table'!$AF413-INDEX('Performance Curves'!$D$1:$L$1,1,MATCH('BMP P Tracking Table'!$AF413,'Performance Curves'!$D$1:$L$1,1)))/(INDEX('Performance Curves'!$D$1:$L$1,1,MATCH('BMP P Tracking Table'!$AF413,'Performance Curves'!$D$1:$L$1,1)+1)-INDEX('Performance Curves'!$D$1:$L$1,1,MATCH('BMP P Tracking Table'!$AF413,'Performance Curves'!$D$1:$L$1,1))),"")</f>
        <v/>
      </c>
      <c r="AI413" s="103" t="str">
        <f>IFERROR(IF('BMP P Tracking Table'!$AF413=2,VLOOKUP(CONCATENATE('BMP P Tracking Table'!$U413," ",'BMP P Tracking Table'!$AD413),'Performance Curves'!$C$1:$L$46,_xlfn.SINGLE(MATCH('BMP P Tracking Table'!$AF413,'Performance Curves'!$D$1:$L$1,1))+1,FALSE),'BMP P Tracking Table'!$AG413*'BMP P Tracking Table'!$AH413+VLOOKUP(CONCATENATE('BMP P Tracking Table'!$U413," ",'BMP P Tracking Table'!$AD413),'Performance Curves'!$C$1:$L$46,_xlfn.SINGLE(MATCH('BMP P Tracking Table'!$AF413,'Performance Curves'!$D$1:$L$1,1))+1,FALSE)),"")</f>
        <v/>
      </c>
      <c r="AJ413" s="104" t="str">
        <f>IFERROR('BMP P Tracking Table'!$AI413*'BMP P Tracking Table'!$AE413,"")</f>
        <v/>
      </c>
      <c r="AK413" s="65"/>
      <c r="AL413" s="98"/>
      <c r="AM413" s="98"/>
      <c r="AN413" s="64">
        <v>1</v>
      </c>
      <c r="AO413" s="102" t="str">
        <f t="shared" si="41"/>
        <v/>
      </c>
      <c r="AP413" s="98"/>
      <c r="AQ413" s="98"/>
      <c r="AR413" s="98"/>
      <c r="AS413" s="98"/>
      <c r="AT413" s="98"/>
      <c r="AU413" s="98"/>
      <c r="AV413" s="98"/>
      <c r="AW413" s="65"/>
      <c r="AX413" s="99"/>
      <c r="AY413" s="99"/>
      <c r="AZ413" s="104" t="str">
        <f>IF('BMP P Tracking Table'!$AL413="Yes",IF('BMP P Tracking Table'!$AM413="No",'BMP P Tracking Table'!$V413*VLOOKUP('BMP P Tracking Table'!$R413,'Loading Rates'!$B$1:$L$24,4,FALSE)+IF('BMP P Tracking Table'!$W413="By HSG",'BMP P Tracking Table'!$X413*VLOOKUP('BMP P Tracking Table'!$R413,'Loading Rates'!$B$1:$L$24,6,FALSE)+'BMP P Tracking Table'!$Y413*VLOOKUP('BMP P Tracking Table'!$R413,'Loading Rates'!$B$1:$L$24,7,FALSE)+'BMP P Tracking Table'!$Z413*VLOOKUP('BMP P Tracking Table'!$R413,'Loading Rates'!$B$1:$L$24,8,FALSE)+'BMP P Tracking Table'!$AA413*VLOOKUP('BMP P Tracking Table'!$R413,'Loading Rates'!$B$1:$L$24,9,FALSE),'BMP P Tracking Table'!$AB413*VLOOKUP('BMP P Tracking Table'!$R413,'Loading Rates'!$B$1:$L$24,10,FALSE)),'BMP P Tracking Table'!$AP413*VLOOKUP('BMP P Tracking Table'!$R413,'Loading Rates'!$B$1:$L$24,4,FALSE)+IF('BMP P Tracking Table'!$AQ413="By HSG",'BMP P Tracking Table'!$AR413*VLOOKUP('BMP P Tracking Table'!$R413,'Loading Rates'!$B$1:$L$24,6,FALSE)+'BMP P Tracking Table'!$AS413*VLOOKUP('BMP P Tracking Table'!$R413,'Loading Rates'!$B$1:$L$24,7,FALSE)+'BMP P Tracking Table'!$AT413*VLOOKUP('BMP P Tracking Table'!$R413,'Loading Rates'!$B$1:$L$24,8,FALSE)+'BMP P Tracking Table'!$AU413*VLOOKUP('BMP P Tracking Table'!$R413,'Loading Rates'!$B$1:$L$24,9,FALSE),'BMP P Tracking Table'!$AV413*VLOOKUP('BMP P Tracking Table'!$R413,'Loading Rates'!$B$1:$L$24,10,FALSE))),"")</f>
        <v/>
      </c>
      <c r="BA413" s="104" t="str">
        <f>IFERROR(IF('BMP P Tracking Table'!$AM413="Yes",MIN(2,IF('BMP P Tracking Table'!$AQ413="Total Pervious",(-(3630*'BMP P Tracking Table'!$AP413+20.691*'BMP P Tracking Table'!$AV413)+SQRT((3630*'BMP P Tracking Table'!$AP413+20.691*'BMP P Tracking Table'!$AV413)^2-(4*(996.798*'BMP P Tracking Table'!$AV413)*-'BMP P Tracking Table'!$AX413)))/(2*(996.798*'BMP P Tracking Table'!$AV413)),IF(SUM('BMP P Tracking Table'!$AR413:$AU413)=0,'BMP P Tracking Table'!$AV413/(-3630*'BMP P Tracking Table'!$AP413),(-(3630*'BMP P Tracking Table'!$AP413+20.691*'BMP P Tracking Table'!$AU413-216.711*'BMP P Tracking Table'!$AT413-83.853*'BMP P Tracking Table'!$AS413-42.834*'BMP P Tracking Table'!$AR413)+SQRT((3630*'BMP P Tracking Table'!$AP413+20.691*'BMP P Tracking Table'!$AU413-216.711*'BMP P Tracking Table'!$AT413-83.853*'BMP P Tracking Table'!$AS413-42.834*'BMP P Tracking Table'!$AR413)^2-(4*(149.919*'BMP P Tracking Table'!$AR413+236.676*'BMP P Tracking Table'!$AS413+726*'BMP P Tracking Table'!$AT413+996.798*'BMP P Tracking Table'!$AU413)*-'BMP P Tracking Table'!$AX413)))/(2*(149.919*'BMP P Tracking Table'!$AR413+236.676*'BMP P Tracking Table'!$AS413+726*'BMP P Tracking Table'!$AT413+996.798*'BMP P Tracking Table'!$AU413))))),MIN(2,IF('BMP P Tracking Table'!$AQ413="Total Pervious",(-(3630*'BMP P Tracking Table'!$V413+20.691*'BMP P Tracking Table'!$AB413)+SQRT((3630*'BMP P Tracking Table'!$V413+20.691*'BMP P Tracking Table'!$AB413)^2-(4*(996.798*'BMP P Tracking Table'!$AB413)*-'BMP P Tracking Table'!$AX413)))/(2*(996.798*'BMP P Tracking Table'!$AB413)),IF(SUM('BMP P Tracking Table'!$X413:$AA413)=0,'BMP P Tracking Table'!$AX413/(-3630*'BMP P Tracking Table'!$V413),(-(3630*'BMP P Tracking Table'!$V413+20.691*'BMP P Tracking Table'!$AA413-216.711*'BMP P Tracking Table'!$Z413-83.853*'BMP P Tracking Table'!$Y413-42.834*'BMP P Tracking Table'!$X413)+SQRT((3630*'BMP P Tracking Table'!$V413+20.691*'BMP P Tracking Table'!$AA413-216.711*'BMP P Tracking Table'!$Z413-83.853*'BMP P Tracking Table'!$Y413-42.834*'BMP P Tracking Table'!$X413)^2-(4*(149.919*'BMP P Tracking Table'!$X413+236.676*'BMP P Tracking Table'!$Y413+726*'BMP P Tracking Table'!$Z413+996.798*'BMP P Tracking Table'!$AA413)*-'BMP P Tracking Table'!$AX413)))/(2*(149.919*'BMP P Tracking Table'!$X413+236.676*'BMP P Tracking Table'!$Y413+726*'BMP P Tracking Table'!$Z413+996.798*'BMP P Tracking Table'!$AA413)))))),"")</f>
        <v/>
      </c>
      <c r="BB413" s="102" t="str">
        <f>IFERROR((VLOOKUP(CONCATENATE('BMP P Tracking Table'!$AW413," ",'BMP P Tracking Table'!$AY413),'Performance Curves'!$C$1:$L$46,_xlfn.SINGLE(MATCH('BMP P Tracking Table'!$BA413,'Performance Curves'!$D$1:$L$1,1))+2,FALSE)-VLOOKUP(CONCATENATE('BMP P Tracking Table'!$AW413," ",'BMP P Tracking Table'!$AY413),'Performance Curves'!$C$1:$L$46,_xlfn.SINGLE(MATCH('BMP P Tracking Table'!$BA413,'Performance Curves'!$D$1:$L$1,1))+1,FALSE)),"")</f>
        <v/>
      </c>
      <c r="BC413" s="102" t="str">
        <f>IFERROR(('BMP P Tracking Table'!$BA413-INDEX('Performance Curves'!$D$1:$L$1,1,MATCH('BMP P Tracking Table'!$BA413,'Performance Curves'!$D$1:$L$1,1)))/(INDEX('Performance Curves'!$D$1:$L$1,1,MATCH('BMP P Tracking Table'!$BA413,'Performance Curves'!$D$1:$L$1,1)+1)-INDEX('Performance Curves'!$D$1:$L$1,1,MATCH('BMP P Tracking Table'!$BA413,'Performance Curves'!$D$1:$L$1,1))),"")</f>
        <v/>
      </c>
      <c r="BD413" s="103" t="str" cm="1">
        <f t="array" ref="BD413">IFERROR(IF('BMP P Tracking Table'!$BA413=2,VLOOKUP(CONCATENATE('BMP P Tracking Table'!$AW413," ",'BMP P Tracking Table'!$AY413),'Performance Curves'!$C$1:$L$44,_xlfn.SINGLE(MATCH('BMP P Tracking Table'!$BA413,'Performance Curves'!$D$1:$L$1,1))+1,FALSE),'BMP P Tracking Table'!$BB413*'BMP P Tracking Table'!$BC413+VLOOKUP(CONCATENATE('BMP P Tracking Table'!$AW413," ",'BMP P Tracking Table'!$AY413),'Performance Curves'!$C$1:$L$44,_xlfn.SINGLE(MATCH('BMP P Tracking Table'!$BA413,'Performance Curves'!$D$1:$L$1,1))+1,FALSE)),"")</f>
        <v/>
      </c>
      <c r="BE413" s="104" t="str">
        <f>IFERROR('BMP P Tracking Table'!$BD413*'BMP P Tracking Table'!$AZ413,"")</f>
        <v/>
      </c>
      <c r="BF413" s="92"/>
      <c r="BG413" s="37">
        <f t="shared" ref="BG413:BG460" si="42">IFERROR(BE413+BF413,0)</f>
        <v>0</v>
      </c>
    </row>
    <row r="414" spans="2:59" s="36" customFormat="1">
      <c r="B414" s="65"/>
      <c r="C414" s="65"/>
      <c r="D414" s="65"/>
      <c r="E414" s="65"/>
      <c r="F414" s="94"/>
      <c r="G414" s="94"/>
      <c r="H414" s="65"/>
      <c r="I414" s="65"/>
      <c r="J414" s="65"/>
      <c r="K414" s="95"/>
      <c r="L414" s="65"/>
      <c r="M414" s="65"/>
      <c r="N414" s="65"/>
      <c r="O414" s="65"/>
      <c r="P414" s="65"/>
      <c r="Q414" s="65"/>
      <c r="R414" s="65" t="str">
        <f>IFERROR(VLOOKUP('BMP P Tracking Table'!$Q414,Dropdowns!$C$2:$E$15,3,FALSE),"")</f>
        <v/>
      </c>
      <c r="S414" s="65" t="str">
        <f>IFERROR(VLOOKUP('BMP P Tracking Table'!$R414,Dropdowns!$Q$3:$R$23,2,FALSE),"")</f>
        <v/>
      </c>
      <c r="T414" s="65"/>
      <c r="U414" s="65"/>
      <c r="V414" s="65"/>
      <c r="W414" s="65"/>
      <c r="X414" s="65"/>
      <c r="Y414" s="65"/>
      <c r="Z414" s="65"/>
      <c r="AA414" s="65"/>
      <c r="AB414" s="65"/>
      <c r="AC414" s="97"/>
      <c r="AD414" s="65"/>
      <c r="AE414" s="104" t="str">
        <f>IFERROR('BMP P Tracking Table'!$V414*VLOOKUP('BMP P Tracking Table'!$R414,'Loading Rates'!$B$1:$L$24,4,FALSE)+IF('BMP P Tracking Table'!$W414="By HSG",'BMP P Tracking Table'!$X414*VLOOKUP('BMP P Tracking Table'!$R414,'Loading Rates'!$B$1:$L$24,6,FALSE)+'BMP P Tracking Table'!$Y414*VLOOKUP('BMP P Tracking Table'!$R414,'Loading Rates'!$B$1:$L$24,7,FALSE)+'BMP P Tracking Table'!$Z414*VLOOKUP('BMP P Tracking Table'!$R414,'Loading Rates'!$B$1:$L$24,8,FALSE)+'BMP P Tracking Table'!$AA414*VLOOKUP('BMP P Tracking Table'!$R414,'Loading Rates'!$B$1:$L$24,9,FALSE),'BMP P Tracking Table'!$AB414*VLOOKUP('BMP P Tracking Table'!$R414,'Loading Rates'!$B$1:$L$24,10,FALSE)),"")</f>
        <v/>
      </c>
      <c r="AF414" s="104" t="str">
        <f>IFERROR(MIN(2,IF('BMP P Tracking Table'!$W414="Total Pervious",(-(3630*'BMP P Tracking Table'!$V414+20.691*'BMP P Tracking Table'!$AB414)+SQRT((3630*'BMP P Tracking Table'!$V414+20.691*'BMP P Tracking Table'!$AB414)^2-(4*(996.798*'BMP P Tracking Table'!$AB414)*-'BMP P Tracking Table'!$AC414)))/(2*(996.798*'BMP P Tracking Table'!$AB414)),IF(SUM('BMP P Tracking Table'!$X414:$AA414)=0,'BMP P Tracking Table'!$AC414/(-3630*'BMP P Tracking Table'!$V414),(-(3630*'BMP P Tracking Table'!$V414+20.691*'BMP P Tracking Table'!$AA414-216.711*'BMP P Tracking Table'!$Z414-83.853*'BMP P Tracking Table'!$Y414-42.834*'BMP P Tracking Table'!$X414)+SQRT((3630*'BMP P Tracking Table'!$V414+20.691*'BMP P Tracking Table'!$AA414-216.711*'BMP P Tracking Table'!$Z414-83.853*'BMP P Tracking Table'!$Y414-42.834*'BMP P Tracking Table'!$X414)^2-(4*(149.919*'BMP P Tracking Table'!$X414+236.676*'BMP P Tracking Table'!$Y414+726*'BMP P Tracking Table'!$Z414+996.798*'BMP P Tracking Table'!$AA414)*-'BMP P Tracking Table'!$AC414)))/(2*(149.919*'BMP P Tracking Table'!$X414+236.676*'BMP P Tracking Table'!$Y414+726*'BMP P Tracking Table'!$Z414+996.798*'BMP P Tracking Table'!$AA414))))),"")</f>
        <v/>
      </c>
      <c r="AG414" s="104" t="str">
        <f>IFERROR((VLOOKUP(CONCATENATE('BMP P Tracking Table'!$U414," ",'BMP P Tracking Table'!$AD414),'Performance Curves'!$C$1:$L$46,_xlfn.SINGLE(MATCH('BMP P Tracking Table'!$AF414,'Performance Curves'!$D$1:$L$1,1))+2,FALSE)-VLOOKUP(CONCATENATE('BMP P Tracking Table'!$U414," ",'BMP P Tracking Table'!$AD414),'Performance Curves'!$C$1:$L$46,_xlfn.SINGLE(MATCH('BMP P Tracking Table'!$AF414,'Performance Curves'!$D$1:$L$1,1))+1,FALSE)),"")</f>
        <v/>
      </c>
      <c r="AH414" s="104" t="str">
        <f>IFERROR(('BMP P Tracking Table'!$AF414-INDEX('Performance Curves'!$D$1:$L$1,1,MATCH('BMP P Tracking Table'!$AF414,'Performance Curves'!$D$1:$L$1,1)))/(INDEX('Performance Curves'!$D$1:$L$1,1,MATCH('BMP P Tracking Table'!$AF414,'Performance Curves'!$D$1:$L$1,1)+1)-INDEX('Performance Curves'!$D$1:$L$1,1,MATCH('BMP P Tracking Table'!$AF414,'Performance Curves'!$D$1:$L$1,1))),"")</f>
        <v/>
      </c>
      <c r="AI414" s="103" t="str">
        <f>IFERROR(IF('BMP P Tracking Table'!$AF414=2,VLOOKUP(CONCATENATE('BMP P Tracking Table'!$U414," ",'BMP P Tracking Table'!$AD414),'Performance Curves'!$C$1:$L$46,_xlfn.SINGLE(MATCH('BMP P Tracking Table'!$AF414,'Performance Curves'!$D$1:$L$1,1))+1,FALSE),'BMP P Tracking Table'!$AG414*'BMP P Tracking Table'!$AH414+VLOOKUP(CONCATENATE('BMP P Tracking Table'!$U414," ",'BMP P Tracking Table'!$AD414),'Performance Curves'!$C$1:$L$46,_xlfn.SINGLE(MATCH('BMP P Tracking Table'!$AF414,'Performance Curves'!$D$1:$L$1,1))+1,FALSE)),"")</f>
        <v/>
      </c>
      <c r="AJ414" s="104" t="str">
        <f>IFERROR('BMP P Tracking Table'!$AI414*'BMP P Tracking Table'!$AE414,"")</f>
        <v/>
      </c>
      <c r="AK414" s="65"/>
      <c r="AL414" s="98"/>
      <c r="AM414" s="98"/>
      <c r="AN414" s="64">
        <v>1</v>
      </c>
      <c r="AO414" s="102" t="str">
        <f t="shared" si="41"/>
        <v/>
      </c>
      <c r="AP414" s="98"/>
      <c r="AQ414" s="98"/>
      <c r="AR414" s="98"/>
      <c r="AS414" s="98"/>
      <c r="AT414" s="98"/>
      <c r="AU414" s="98"/>
      <c r="AV414" s="98"/>
      <c r="AW414" s="65"/>
      <c r="AX414" s="99"/>
      <c r="AY414" s="99"/>
      <c r="AZ414" s="104" t="str">
        <f>IF('BMP P Tracking Table'!$AL414="Yes",IF('BMP P Tracking Table'!$AM414="No",'BMP P Tracking Table'!$V414*VLOOKUP('BMP P Tracking Table'!$R414,'Loading Rates'!$B$1:$L$24,4,FALSE)+IF('BMP P Tracking Table'!$W414="By HSG",'BMP P Tracking Table'!$X414*VLOOKUP('BMP P Tracking Table'!$R414,'Loading Rates'!$B$1:$L$24,6,FALSE)+'BMP P Tracking Table'!$Y414*VLOOKUP('BMP P Tracking Table'!$R414,'Loading Rates'!$B$1:$L$24,7,FALSE)+'BMP P Tracking Table'!$Z414*VLOOKUP('BMP P Tracking Table'!$R414,'Loading Rates'!$B$1:$L$24,8,FALSE)+'BMP P Tracking Table'!$AA414*VLOOKUP('BMP P Tracking Table'!$R414,'Loading Rates'!$B$1:$L$24,9,FALSE),'BMP P Tracking Table'!$AB414*VLOOKUP('BMP P Tracking Table'!$R414,'Loading Rates'!$B$1:$L$24,10,FALSE)),'BMP P Tracking Table'!$AP414*VLOOKUP('BMP P Tracking Table'!$R414,'Loading Rates'!$B$1:$L$24,4,FALSE)+IF('BMP P Tracking Table'!$AQ414="By HSG",'BMP P Tracking Table'!$AR414*VLOOKUP('BMP P Tracking Table'!$R414,'Loading Rates'!$B$1:$L$24,6,FALSE)+'BMP P Tracking Table'!$AS414*VLOOKUP('BMP P Tracking Table'!$R414,'Loading Rates'!$B$1:$L$24,7,FALSE)+'BMP P Tracking Table'!$AT414*VLOOKUP('BMP P Tracking Table'!$R414,'Loading Rates'!$B$1:$L$24,8,FALSE)+'BMP P Tracking Table'!$AU414*VLOOKUP('BMP P Tracking Table'!$R414,'Loading Rates'!$B$1:$L$24,9,FALSE),'BMP P Tracking Table'!$AV414*VLOOKUP('BMP P Tracking Table'!$R414,'Loading Rates'!$B$1:$L$24,10,FALSE))),"")</f>
        <v/>
      </c>
      <c r="BA414" s="104" t="str">
        <f>IFERROR(IF('BMP P Tracking Table'!$AM414="Yes",MIN(2,IF('BMP P Tracking Table'!$AQ414="Total Pervious",(-(3630*'BMP P Tracking Table'!$AP414+20.691*'BMP P Tracking Table'!$AV414)+SQRT((3630*'BMP P Tracking Table'!$AP414+20.691*'BMP P Tracking Table'!$AV414)^2-(4*(996.798*'BMP P Tracking Table'!$AV414)*-'BMP P Tracking Table'!$AX414)))/(2*(996.798*'BMP P Tracking Table'!$AV414)),IF(SUM('BMP P Tracking Table'!$AR414:$AU414)=0,'BMP P Tracking Table'!$AV414/(-3630*'BMP P Tracking Table'!$AP414),(-(3630*'BMP P Tracking Table'!$AP414+20.691*'BMP P Tracking Table'!$AU414-216.711*'BMP P Tracking Table'!$AT414-83.853*'BMP P Tracking Table'!$AS414-42.834*'BMP P Tracking Table'!$AR414)+SQRT((3630*'BMP P Tracking Table'!$AP414+20.691*'BMP P Tracking Table'!$AU414-216.711*'BMP P Tracking Table'!$AT414-83.853*'BMP P Tracking Table'!$AS414-42.834*'BMP P Tracking Table'!$AR414)^2-(4*(149.919*'BMP P Tracking Table'!$AR414+236.676*'BMP P Tracking Table'!$AS414+726*'BMP P Tracking Table'!$AT414+996.798*'BMP P Tracking Table'!$AU414)*-'BMP P Tracking Table'!$AX414)))/(2*(149.919*'BMP P Tracking Table'!$AR414+236.676*'BMP P Tracking Table'!$AS414+726*'BMP P Tracking Table'!$AT414+996.798*'BMP P Tracking Table'!$AU414))))),MIN(2,IF('BMP P Tracking Table'!$AQ414="Total Pervious",(-(3630*'BMP P Tracking Table'!$V414+20.691*'BMP P Tracking Table'!$AB414)+SQRT((3630*'BMP P Tracking Table'!$V414+20.691*'BMP P Tracking Table'!$AB414)^2-(4*(996.798*'BMP P Tracking Table'!$AB414)*-'BMP P Tracking Table'!$AX414)))/(2*(996.798*'BMP P Tracking Table'!$AB414)),IF(SUM('BMP P Tracking Table'!$X414:$AA414)=0,'BMP P Tracking Table'!$AX414/(-3630*'BMP P Tracking Table'!$V414),(-(3630*'BMP P Tracking Table'!$V414+20.691*'BMP P Tracking Table'!$AA414-216.711*'BMP P Tracking Table'!$Z414-83.853*'BMP P Tracking Table'!$Y414-42.834*'BMP P Tracking Table'!$X414)+SQRT((3630*'BMP P Tracking Table'!$V414+20.691*'BMP P Tracking Table'!$AA414-216.711*'BMP P Tracking Table'!$Z414-83.853*'BMP P Tracking Table'!$Y414-42.834*'BMP P Tracking Table'!$X414)^2-(4*(149.919*'BMP P Tracking Table'!$X414+236.676*'BMP P Tracking Table'!$Y414+726*'BMP P Tracking Table'!$Z414+996.798*'BMP P Tracking Table'!$AA414)*-'BMP P Tracking Table'!$AX414)))/(2*(149.919*'BMP P Tracking Table'!$X414+236.676*'BMP P Tracking Table'!$Y414+726*'BMP P Tracking Table'!$Z414+996.798*'BMP P Tracking Table'!$AA414)))))),"")</f>
        <v/>
      </c>
      <c r="BB414" s="102" t="str">
        <f>IFERROR((VLOOKUP(CONCATENATE('BMP P Tracking Table'!$AW414," ",'BMP P Tracking Table'!$AY414),'Performance Curves'!$C$1:$L$46,_xlfn.SINGLE(MATCH('BMP P Tracking Table'!$BA414,'Performance Curves'!$D$1:$L$1,1))+2,FALSE)-VLOOKUP(CONCATENATE('BMP P Tracking Table'!$AW414," ",'BMP P Tracking Table'!$AY414),'Performance Curves'!$C$1:$L$46,_xlfn.SINGLE(MATCH('BMP P Tracking Table'!$BA414,'Performance Curves'!$D$1:$L$1,1))+1,FALSE)),"")</f>
        <v/>
      </c>
      <c r="BC414" s="102" t="str">
        <f>IFERROR(('BMP P Tracking Table'!$BA414-INDEX('Performance Curves'!$D$1:$L$1,1,MATCH('BMP P Tracking Table'!$BA414,'Performance Curves'!$D$1:$L$1,1)))/(INDEX('Performance Curves'!$D$1:$L$1,1,MATCH('BMP P Tracking Table'!$BA414,'Performance Curves'!$D$1:$L$1,1)+1)-INDEX('Performance Curves'!$D$1:$L$1,1,MATCH('BMP P Tracking Table'!$BA414,'Performance Curves'!$D$1:$L$1,1))),"")</f>
        <v/>
      </c>
      <c r="BD414" s="103" t="str" cm="1">
        <f t="array" ref="BD414">IFERROR(IF('BMP P Tracking Table'!$BA414=2,VLOOKUP(CONCATENATE('BMP P Tracking Table'!$AW414," ",'BMP P Tracking Table'!$AY414),'Performance Curves'!$C$1:$L$44,_xlfn.SINGLE(MATCH('BMP P Tracking Table'!$BA414,'Performance Curves'!$D$1:$L$1,1))+1,FALSE),'BMP P Tracking Table'!$BB414*'BMP P Tracking Table'!$BC414+VLOOKUP(CONCATENATE('BMP P Tracking Table'!$AW414," ",'BMP P Tracking Table'!$AY414),'Performance Curves'!$C$1:$L$44,_xlfn.SINGLE(MATCH('BMP P Tracking Table'!$BA414,'Performance Curves'!$D$1:$L$1,1))+1,FALSE)),"")</f>
        <v/>
      </c>
      <c r="BE414" s="104" t="str">
        <f>IFERROR('BMP P Tracking Table'!$BD414*'BMP P Tracking Table'!$AZ414,"")</f>
        <v/>
      </c>
      <c r="BF414" s="98"/>
      <c r="BG414" s="37">
        <f t="shared" si="42"/>
        <v>0</v>
      </c>
    </row>
    <row r="415" spans="2:59" s="36" customFormat="1">
      <c r="B415" s="65"/>
      <c r="C415" s="65"/>
      <c r="D415" s="65"/>
      <c r="E415" s="65"/>
      <c r="F415" s="94"/>
      <c r="G415" s="94"/>
      <c r="H415" s="65"/>
      <c r="I415" s="65"/>
      <c r="J415" s="65"/>
      <c r="K415" s="95"/>
      <c r="L415" s="65"/>
      <c r="M415" s="65"/>
      <c r="N415" s="65"/>
      <c r="O415" s="65"/>
      <c r="P415" s="65"/>
      <c r="Q415" s="65"/>
      <c r="R415" s="65" t="str">
        <f>IFERROR(VLOOKUP('BMP P Tracking Table'!$Q415,Dropdowns!$C$2:$E$15,3,FALSE),"")</f>
        <v/>
      </c>
      <c r="S415" s="65" t="str">
        <f>IFERROR(VLOOKUP('BMP P Tracking Table'!$R415,Dropdowns!$Q$3:$R$23,2,FALSE),"")</f>
        <v/>
      </c>
      <c r="T415" s="65"/>
      <c r="U415" s="65"/>
      <c r="V415" s="65"/>
      <c r="W415" s="65"/>
      <c r="X415" s="65"/>
      <c r="Y415" s="65"/>
      <c r="Z415" s="65"/>
      <c r="AA415" s="65"/>
      <c r="AB415" s="65"/>
      <c r="AC415" s="97"/>
      <c r="AD415" s="65"/>
      <c r="AE415" s="104" t="str">
        <f>IFERROR('BMP P Tracking Table'!$V415*VLOOKUP('BMP P Tracking Table'!$R415,'Loading Rates'!$B$1:$L$24,4,FALSE)+IF('BMP P Tracking Table'!$W415="By HSG",'BMP P Tracking Table'!$X415*VLOOKUP('BMP P Tracking Table'!$R415,'Loading Rates'!$B$1:$L$24,6,FALSE)+'BMP P Tracking Table'!$Y415*VLOOKUP('BMP P Tracking Table'!$R415,'Loading Rates'!$B$1:$L$24,7,FALSE)+'BMP P Tracking Table'!$Z415*VLOOKUP('BMP P Tracking Table'!$R415,'Loading Rates'!$B$1:$L$24,8,FALSE)+'BMP P Tracking Table'!$AA415*VLOOKUP('BMP P Tracking Table'!$R415,'Loading Rates'!$B$1:$L$24,9,FALSE),'BMP P Tracking Table'!$AB415*VLOOKUP('BMP P Tracking Table'!$R415,'Loading Rates'!$B$1:$L$24,10,FALSE)),"")</f>
        <v/>
      </c>
      <c r="AF415" s="104" t="str">
        <f>IFERROR(MIN(2,IF('BMP P Tracking Table'!$W415="Total Pervious",(-(3630*'BMP P Tracking Table'!$V415+20.691*'BMP P Tracking Table'!$AB415)+SQRT((3630*'BMP P Tracking Table'!$V415+20.691*'BMP P Tracking Table'!$AB415)^2-(4*(996.798*'BMP P Tracking Table'!$AB415)*-'BMP P Tracking Table'!$AC415)))/(2*(996.798*'BMP P Tracking Table'!$AB415)),IF(SUM('BMP P Tracking Table'!$X415:$AA415)=0,'BMP P Tracking Table'!$AC415/(-3630*'BMP P Tracking Table'!$V415),(-(3630*'BMP P Tracking Table'!$V415+20.691*'BMP P Tracking Table'!$AA415-216.711*'BMP P Tracking Table'!$Z415-83.853*'BMP P Tracking Table'!$Y415-42.834*'BMP P Tracking Table'!$X415)+SQRT((3630*'BMP P Tracking Table'!$V415+20.691*'BMP P Tracking Table'!$AA415-216.711*'BMP P Tracking Table'!$Z415-83.853*'BMP P Tracking Table'!$Y415-42.834*'BMP P Tracking Table'!$X415)^2-(4*(149.919*'BMP P Tracking Table'!$X415+236.676*'BMP P Tracking Table'!$Y415+726*'BMP P Tracking Table'!$Z415+996.798*'BMP P Tracking Table'!$AA415)*-'BMP P Tracking Table'!$AC415)))/(2*(149.919*'BMP P Tracking Table'!$X415+236.676*'BMP P Tracking Table'!$Y415+726*'BMP P Tracking Table'!$Z415+996.798*'BMP P Tracking Table'!$AA415))))),"")</f>
        <v/>
      </c>
      <c r="AG415" s="104" t="str">
        <f>IFERROR((VLOOKUP(CONCATENATE('BMP P Tracking Table'!$U415," ",'BMP P Tracking Table'!$AD415),'Performance Curves'!$C$1:$L$46,_xlfn.SINGLE(MATCH('BMP P Tracking Table'!$AF415,'Performance Curves'!$D$1:$L$1,1))+2,FALSE)-VLOOKUP(CONCATENATE('BMP P Tracking Table'!$U415," ",'BMP P Tracking Table'!$AD415),'Performance Curves'!$C$1:$L$46,_xlfn.SINGLE(MATCH('BMP P Tracking Table'!$AF415,'Performance Curves'!$D$1:$L$1,1))+1,FALSE)),"")</f>
        <v/>
      </c>
      <c r="AH415" s="104" t="str">
        <f>IFERROR(('BMP P Tracking Table'!$AF415-INDEX('Performance Curves'!$D$1:$L$1,1,MATCH('BMP P Tracking Table'!$AF415,'Performance Curves'!$D$1:$L$1,1)))/(INDEX('Performance Curves'!$D$1:$L$1,1,MATCH('BMP P Tracking Table'!$AF415,'Performance Curves'!$D$1:$L$1,1)+1)-INDEX('Performance Curves'!$D$1:$L$1,1,MATCH('BMP P Tracking Table'!$AF415,'Performance Curves'!$D$1:$L$1,1))),"")</f>
        <v/>
      </c>
      <c r="AI415" s="103" t="str">
        <f>IFERROR(IF('BMP P Tracking Table'!$AF415=2,VLOOKUP(CONCATENATE('BMP P Tracking Table'!$U415," ",'BMP P Tracking Table'!$AD415),'Performance Curves'!$C$1:$L$46,_xlfn.SINGLE(MATCH('BMP P Tracking Table'!$AF415,'Performance Curves'!$D$1:$L$1,1))+1,FALSE),'BMP P Tracking Table'!$AG415*'BMP P Tracking Table'!$AH415+VLOOKUP(CONCATENATE('BMP P Tracking Table'!$U415," ",'BMP P Tracking Table'!$AD415),'Performance Curves'!$C$1:$L$46,_xlfn.SINGLE(MATCH('BMP P Tracking Table'!$AF415,'Performance Curves'!$D$1:$L$1,1))+1,FALSE)),"")</f>
        <v/>
      </c>
      <c r="AJ415" s="104" t="str">
        <f>IFERROR('BMP P Tracking Table'!$AI415*'BMP P Tracking Table'!$AE415,"")</f>
        <v/>
      </c>
      <c r="AK415" s="65"/>
      <c r="AL415" s="98"/>
      <c r="AM415" s="98"/>
      <c r="AN415" s="64">
        <v>1</v>
      </c>
      <c r="AO415" s="102" t="str">
        <f t="shared" si="41"/>
        <v/>
      </c>
      <c r="AP415" s="98"/>
      <c r="AQ415" s="98"/>
      <c r="AR415" s="98"/>
      <c r="AS415" s="98"/>
      <c r="AT415" s="98"/>
      <c r="AU415" s="98"/>
      <c r="AV415" s="98"/>
      <c r="AW415" s="65"/>
      <c r="AX415" s="99"/>
      <c r="AY415" s="99"/>
      <c r="AZ415" s="104" t="str">
        <f>IF('BMP P Tracking Table'!$AL415="Yes",IF('BMP P Tracking Table'!$AM415="No",'BMP P Tracking Table'!$V415*VLOOKUP('BMP P Tracking Table'!$R415,'Loading Rates'!$B$1:$L$24,4,FALSE)+IF('BMP P Tracking Table'!$W415="By HSG",'BMP P Tracking Table'!$X415*VLOOKUP('BMP P Tracking Table'!$R415,'Loading Rates'!$B$1:$L$24,6,FALSE)+'BMP P Tracking Table'!$Y415*VLOOKUP('BMP P Tracking Table'!$R415,'Loading Rates'!$B$1:$L$24,7,FALSE)+'BMP P Tracking Table'!$Z415*VLOOKUP('BMP P Tracking Table'!$R415,'Loading Rates'!$B$1:$L$24,8,FALSE)+'BMP P Tracking Table'!$AA415*VLOOKUP('BMP P Tracking Table'!$R415,'Loading Rates'!$B$1:$L$24,9,FALSE),'BMP P Tracking Table'!$AB415*VLOOKUP('BMP P Tracking Table'!$R415,'Loading Rates'!$B$1:$L$24,10,FALSE)),'BMP P Tracking Table'!$AP415*VLOOKUP('BMP P Tracking Table'!$R415,'Loading Rates'!$B$1:$L$24,4,FALSE)+IF('BMP P Tracking Table'!$AQ415="By HSG",'BMP P Tracking Table'!$AR415*VLOOKUP('BMP P Tracking Table'!$R415,'Loading Rates'!$B$1:$L$24,6,FALSE)+'BMP P Tracking Table'!$AS415*VLOOKUP('BMP P Tracking Table'!$R415,'Loading Rates'!$B$1:$L$24,7,FALSE)+'BMP P Tracking Table'!$AT415*VLOOKUP('BMP P Tracking Table'!$R415,'Loading Rates'!$B$1:$L$24,8,FALSE)+'BMP P Tracking Table'!$AU415*VLOOKUP('BMP P Tracking Table'!$R415,'Loading Rates'!$B$1:$L$24,9,FALSE),'BMP P Tracking Table'!$AV415*VLOOKUP('BMP P Tracking Table'!$R415,'Loading Rates'!$B$1:$L$24,10,FALSE))),"")</f>
        <v/>
      </c>
      <c r="BA415" s="104" t="str">
        <f>IFERROR(IF('BMP P Tracking Table'!$AM415="Yes",MIN(2,IF('BMP P Tracking Table'!$AQ415="Total Pervious",(-(3630*'BMP P Tracking Table'!$AP415+20.691*'BMP P Tracking Table'!$AV415)+SQRT((3630*'BMP P Tracking Table'!$AP415+20.691*'BMP P Tracking Table'!$AV415)^2-(4*(996.798*'BMP P Tracking Table'!$AV415)*-'BMP P Tracking Table'!$AX415)))/(2*(996.798*'BMP P Tracking Table'!$AV415)),IF(SUM('BMP P Tracking Table'!$AR415:$AU415)=0,'BMP P Tracking Table'!$AV415/(-3630*'BMP P Tracking Table'!$AP415),(-(3630*'BMP P Tracking Table'!$AP415+20.691*'BMP P Tracking Table'!$AU415-216.711*'BMP P Tracking Table'!$AT415-83.853*'BMP P Tracking Table'!$AS415-42.834*'BMP P Tracking Table'!$AR415)+SQRT((3630*'BMP P Tracking Table'!$AP415+20.691*'BMP P Tracking Table'!$AU415-216.711*'BMP P Tracking Table'!$AT415-83.853*'BMP P Tracking Table'!$AS415-42.834*'BMP P Tracking Table'!$AR415)^2-(4*(149.919*'BMP P Tracking Table'!$AR415+236.676*'BMP P Tracking Table'!$AS415+726*'BMP P Tracking Table'!$AT415+996.798*'BMP P Tracking Table'!$AU415)*-'BMP P Tracking Table'!$AX415)))/(2*(149.919*'BMP P Tracking Table'!$AR415+236.676*'BMP P Tracking Table'!$AS415+726*'BMP P Tracking Table'!$AT415+996.798*'BMP P Tracking Table'!$AU415))))),MIN(2,IF('BMP P Tracking Table'!$AQ415="Total Pervious",(-(3630*'BMP P Tracking Table'!$V415+20.691*'BMP P Tracking Table'!$AB415)+SQRT((3630*'BMP P Tracking Table'!$V415+20.691*'BMP P Tracking Table'!$AB415)^2-(4*(996.798*'BMP P Tracking Table'!$AB415)*-'BMP P Tracking Table'!$AX415)))/(2*(996.798*'BMP P Tracking Table'!$AB415)),IF(SUM('BMP P Tracking Table'!$X415:$AA415)=0,'BMP P Tracking Table'!$AX415/(-3630*'BMP P Tracking Table'!$V415),(-(3630*'BMP P Tracking Table'!$V415+20.691*'BMP P Tracking Table'!$AA415-216.711*'BMP P Tracking Table'!$Z415-83.853*'BMP P Tracking Table'!$Y415-42.834*'BMP P Tracking Table'!$X415)+SQRT((3630*'BMP P Tracking Table'!$V415+20.691*'BMP P Tracking Table'!$AA415-216.711*'BMP P Tracking Table'!$Z415-83.853*'BMP P Tracking Table'!$Y415-42.834*'BMP P Tracking Table'!$X415)^2-(4*(149.919*'BMP P Tracking Table'!$X415+236.676*'BMP P Tracking Table'!$Y415+726*'BMP P Tracking Table'!$Z415+996.798*'BMP P Tracking Table'!$AA415)*-'BMP P Tracking Table'!$AX415)))/(2*(149.919*'BMP P Tracking Table'!$X415+236.676*'BMP P Tracking Table'!$Y415+726*'BMP P Tracking Table'!$Z415+996.798*'BMP P Tracking Table'!$AA415)))))),"")</f>
        <v/>
      </c>
      <c r="BB415" s="102" t="str">
        <f>IFERROR((VLOOKUP(CONCATENATE('BMP P Tracking Table'!$AW415," ",'BMP P Tracking Table'!$AY415),'Performance Curves'!$C$1:$L$46,_xlfn.SINGLE(MATCH('BMP P Tracking Table'!$BA415,'Performance Curves'!$D$1:$L$1,1))+2,FALSE)-VLOOKUP(CONCATENATE('BMP P Tracking Table'!$AW415," ",'BMP P Tracking Table'!$AY415),'Performance Curves'!$C$1:$L$46,_xlfn.SINGLE(MATCH('BMP P Tracking Table'!$BA415,'Performance Curves'!$D$1:$L$1,1))+1,FALSE)),"")</f>
        <v/>
      </c>
      <c r="BC415" s="102" t="str">
        <f>IFERROR(('BMP P Tracking Table'!$BA415-INDEX('Performance Curves'!$D$1:$L$1,1,MATCH('BMP P Tracking Table'!$BA415,'Performance Curves'!$D$1:$L$1,1)))/(INDEX('Performance Curves'!$D$1:$L$1,1,MATCH('BMP P Tracking Table'!$BA415,'Performance Curves'!$D$1:$L$1,1)+1)-INDEX('Performance Curves'!$D$1:$L$1,1,MATCH('BMP P Tracking Table'!$BA415,'Performance Curves'!$D$1:$L$1,1))),"")</f>
        <v/>
      </c>
      <c r="BD415" s="103" t="str" cm="1">
        <f t="array" ref="BD415">IFERROR(IF('BMP P Tracking Table'!$BA415=2,VLOOKUP(CONCATENATE('BMP P Tracking Table'!$AW415," ",'BMP P Tracking Table'!$AY415),'Performance Curves'!$C$1:$L$44,_xlfn.SINGLE(MATCH('BMP P Tracking Table'!$BA415,'Performance Curves'!$D$1:$L$1,1))+1,FALSE),'BMP P Tracking Table'!$BB415*'BMP P Tracking Table'!$BC415+VLOOKUP(CONCATENATE('BMP P Tracking Table'!$AW415," ",'BMP P Tracking Table'!$AY415),'Performance Curves'!$C$1:$L$44,_xlfn.SINGLE(MATCH('BMP P Tracking Table'!$BA415,'Performance Curves'!$D$1:$L$1,1))+1,FALSE)),"")</f>
        <v/>
      </c>
      <c r="BE415" s="104" t="str">
        <f>IFERROR('BMP P Tracking Table'!$BD415*'BMP P Tracking Table'!$AZ415,"")</f>
        <v/>
      </c>
      <c r="BF415" s="98"/>
      <c r="BG415" s="37">
        <f t="shared" si="42"/>
        <v>0</v>
      </c>
    </row>
    <row r="416" spans="2:59" s="36" customFormat="1">
      <c r="B416" s="65"/>
      <c r="C416" s="65"/>
      <c r="D416" s="65"/>
      <c r="E416" s="65"/>
      <c r="F416" s="94"/>
      <c r="G416" s="94"/>
      <c r="H416" s="65"/>
      <c r="I416" s="65"/>
      <c r="J416" s="65"/>
      <c r="K416" s="95"/>
      <c r="L416" s="65"/>
      <c r="M416" s="65"/>
      <c r="N416" s="65"/>
      <c r="O416" s="65"/>
      <c r="P416" s="65"/>
      <c r="Q416" s="65"/>
      <c r="R416" s="65" t="str">
        <f>IFERROR(VLOOKUP('BMP P Tracking Table'!$Q416,Dropdowns!$C$2:$E$15,3,FALSE),"")</f>
        <v/>
      </c>
      <c r="S416" s="65" t="str">
        <f>IFERROR(VLOOKUP('BMP P Tracking Table'!$R416,Dropdowns!$Q$3:$R$23,2,FALSE),"")</f>
        <v/>
      </c>
      <c r="T416" s="65"/>
      <c r="U416" s="65"/>
      <c r="V416" s="65"/>
      <c r="W416" s="65"/>
      <c r="X416" s="65"/>
      <c r="Y416" s="65"/>
      <c r="Z416" s="65"/>
      <c r="AA416" s="65"/>
      <c r="AB416" s="65"/>
      <c r="AC416" s="97"/>
      <c r="AD416" s="65"/>
      <c r="AE416" s="104" t="str">
        <f>IFERROR('BMP P Tracking Table'!$V416*VLOOKUP('BMP P Tracking Table'!$R416,'Loading Rates'!$B$1:$L$24,4,FALSE)+IF('BMP P Tracking Table'!$W416="By HSG",'BMP P Tracking Table'!$X416*VLOOKUP('BMP P Tracking Table'!$R416,'Loading Rates'!$B$1:$L$24,6,FALSE)+'BMP P Tracking Table'!$Y416*VLOOKUP('BMP P Tracking Table'!$R416,'Loading Rates'!$B$1:$L$24,7,FALSE)+'BMP P Tracking Table'!$Z416*VLOOKUP('BMP P Tracking Table'!$R416,'Loading Rates'!$B$1:$L$24,8,FALSE)+'BMP P Tracking Table'!$AA416*VLOOKUP('BMP P Tracking Table'!$R416,'Loading Rates'!$B$1:$L$24,9,FALSE),'BMP P Tracking Table'!$AB416*VLOOKUP('BMP P Tracking Table'!$R416,'Loading Rates'!$B$1:$L$24,10,FALSE)),"")</f>
        <v/>
      </c>
      <c r="AF416" s="104" t="str">
        <f>IFERROR(MIN(2,IF('BMP P Tracking Table'!$W416="Total Pervious",(-(3630*'BMP P Tracking Table'!$V416+20.691*'BMP P Tracking Table'!$AB416)+SQRT((3630*'BMP P Tracking Table'!$V416+20.691*'BMP P Tracking Table'!$AB416)^2-(4*(996.798*'BMP P Tracking Table'!$AB416)*-'BMP P Tracking Table'!$AC416)))/(2*(996.798*'BMP P Tracking Table'!$AB416)),IF(SUM('BMP P Tracking Table'!$X416:$AA416)=0,'BMP P Tracking Table'!$AC416/(-3630*'BMP P Tracking Table'!$V416),(-(3630*'BMP P Tracking Table'!$V416+20.691*'BMP P Tracking Table'!$AA416-216.711*'BMP P Tracking Table'!$Z416-83.853*'BMP P Tracking Table'!$Y416-42.834*'BMP P Tracking Table'!$X416)+SQRT((3630*'BMP P Tracking Table'!$V416+20.691*'BMP P Tracking Table'!$AA416-216.711*'BMP P Tracking Table'!$Z416-83.853*'BMP P Tracking Table'!$Y416-42.834*'BMP P Tracking Table'!$X416)^2-(4*(149.919*'BMP P Tracking Table'!$X416+236.676*'BMP P Tracking Table'!$Y416+726*'BMP P Tracking Table'!$Z416+996.798*'BMP P Tracking Table'!$AA416)*-'BMP P Tracking Table'!$AC416)))/(2*(149.919*'BMP P Tracking Table'!$X416+236.676*'BMP P Tracking Table'!$Y416+726*'BMP P Tracking Table'!$Z416+996.798*'BMP P Tracking Table'!$AA416))))),"")</f>
        <v/>
      </c>
      <c r="AG416" s="104" t="str">
        <f>IFERROR((VLOOKUP(CONCATENATE('BMP P Tracking Table'!$U416," ",'BMP P Tracking Table'!$AD416),'Performance Curves'!$C$1:$L$46,_xlfn.SINGLE(MATCH('BMP P Tracking Table'!$AF416,'Performance Curves'!$D$1:$L$1,1))+2,FALSE)-VLOOKUP(CONCATENATE('BMP P Tracking Table'!$U416," ",'BMP P Tracking Table'!$AD416),'Performance Curves'!$C$1:$L$46,_xlfn.SINGLE(MATCH('BMP P Tracking Table'!$AF416,'Performance Curves'!$D$1:$L$1,1))+1,FALSE)),"")</f>
        <v/>
      </c>
      <c r="AH416" s="104" t="str">
        <f>IFERROR(('BMP P Tracking Table'!$AF416-INDEX('Performance Curves'!$D$1:$L$1,1,MATCH('BMP P Tracking Table'!$AF416,'Performance Curves'!$D$1:$L$1,1)))/(INDEX('Performance Curves'!$D$1:$L$1,1,MATCH('BMP P Tracking Table'!$AF416,'Performance Curves'!$D$1:$L$1,1)+1)-INDEX('Performance Curves'!$D$1:$L$1,1,MATCH('BMP P Tracking Table'!$AF416,'Performance Curves'!$D$1:$L$1,1))),"")</f>
        <v/>
      </c>
      <c r="AI416" s="103" t="str">
        <f>IFERROR(IF('BMP P Tracking Table'!$AF416=2,VLOOKUP(CONCATENATE('BMP P Tracking Table'!$U416," ",'BMP P Tracking Table'!$AD416),'Performance Curves'!$C$1:$L$46,_xlfn.SINGLE(MATCH('BMP P Tracking Table'!$AF416,'Performance Curves'!$D$1:$L$1,1))+1,FALSE),'BMP P Tracking Table'!$AG416*'BMP P Tracking Table'!$AH416+VLOOKUP(CONCATENATE('BMP P Tracking Table'!$U416," ",'BMP P Tracking Table'!$AD416),'Performance Curves'!$C$1:$L$46,_xlfn.SINGLE(MATCH('BMP P Tracking Table'!$AF416,'Performance Curves'!$D$1:$L$1,1))+1,FALSE)),"")</f>
        <v/>
      </c>
      <c r="AJ416" s="104" t="str">
        <f>IFERROR('BMP P Tracking Table'!$AI416*'BMP P Tracking Table'!$AE416,"")</f>
        <v/>
      </c>
      <c r="AK416" s="65"/>
      <c r="AL416" s="98"/>
      <c r="AM416" s="98"/>
      <c r="AN416" s="64">
        <v>1</v>
      </c>
      <c r="AO416" s="102" t="str">
        <f t="shared" si="41"/>
        <v/>
      </c>
      <c r="AP416" s="98"/>
      <c r="AQ416" s="98"/>
      <c r="AR416" s="98"/>
      <c r="AS416" s="98"/>
      <c r="AT416" s="98"/>
      <c r="AU416" s="98"/>
      <c r="AV416" s="98"/>
      <c r="AW416" s="65"/>
      <c r="AX416" s="99"/>
      <c r="AY416" s="99"/>
      <c r="AZ416" s="104" t="str">
        <f>IF('BMP P Tracking Table'!$AL416="Yes",IF('BMP P Tracking Table'!$AM416="No",'BMP P Tracking Table'!$V416*VLOOKUP('BMP P Tracking Table'!$R416,'Loading Rates'!$B$1:$L$24,4,FALSE)+IF('BMP P Tracking Table'!$W416="By HSG",'BMP P Tracking Table'!$X416*VLOOKUP('BMP P Tracking Table'!$R416,'Loading Rates'!$B$1:$L$24,6,FALSE)+'BMP P Tracking Table'!$Y416*VLOOKUP('BMP P Tracking Table'!$R416,'Loading Rates'!$B$1:$L$24,7,FALSE)+'BMP P Tracking Table'!$Z416*VLOOKUP('BMP P Tracking Table'!$R416,'Loading Rates'!$B$1:$L$24,8,FALSE)+'BMP P Tracking Table'!$AA416*VLOOKUP('BMP P Tracking Table'!$R416,'Loading Rates'!$B$1:$L$24,9,FALSE),'BMP P Tracking Table'!$AB416*VLOOKUP('BMP P Tracking Table'!$R416,'Loading Rates'!$B$1:$L$24,10,FALSE)),'BMP P Tracking Table'!$AP416*VLOOKUP('BMP P Tracking Table'!$R416,'Loading Rates'!$B$1:$L$24,4,FALSE)+IF('BMP P Tracking Table'!$AQ416="By HSG",'BMP P Tracking Table'!$AR416*VLOOKUP('BMP P Tracking Table'!$R416,'Loading Rates'!$B$1:$L$24,6,FALSE)+'BMP P Tracking Table'!$AS416*VLOOKUP('BMP P Tracking Table'!$R416,'Loading Rates'!$B$1:$L$24,7,FALSE)+'BMP P Tracking Table'!$AT416*VLOOKUP('BMP P Tracking Table'!$R416,'Loading Rates'!$B$1:$L$24,8,FALSE)+'BMP P Tracking Table'!$AU416*VLOOKUP('BMP P Tracking Table'!$R416,'Loading Rates'!$B$1:$L$24,9,FALSE),'BMP P Tracking Table'!$AV416*VLOOKUP('BMP P Tracking Table'!$R416,'Loading Rates'!$B$1:$L$24,10,FALSE))),"")</f>
        <v/>
      </c>
      <c r="BA416" s="104" t="str">
        <f>IFERROR(IF('BMP P Tracking Table'!$AM416="Yes",MIN(2,IF('BMP P Tracking Table'!$AQ416="Total Pervious",(-(3630*'BMP P Tracking Table'!$AP416+20.691*'BMP P Tracking Table'!$AV416)+SQRT((3630*'BMP P Tracking Table'!$AP416+20.691*'BMP P Tracking Table'!$AV416)^2-(4*(996.798*'BMP P Tracking Table'!$AV416)*-'BMP P Tracking Table'!$AX416)))/(2*(996.798*'BMP P Tracking Table'!$AV416)),IF(SUM('BMP P Tracking Table'!$AR416:$AU416)=0,'BMP P Tracking Table'!$AV416/(-3630*'BMP P Tracking Table'!$AP416),(-(3630*'BMP P Tracking Table'!$AP416+20.691*'BMP P Tracking Table'!$AU416-216.711*'BMP P Tracking Table'!$AT416-83.853*'BMP P Tracking Table'!$AS416-42.834*'BMP P Tracking Table'!$AR416)+SQRT((3630*'BMP P Tracking Table'!$AP416+20.691*'BMP P Tracking Table'!$AU416-216.711*'BMP P Tracking Table'!$AT416-83.853*'BMP P Tracking Table'!$AS416-42.834*'BMP P Tracking Table'!$AR416)^2-(4*(149.919*'BMP P Tracking Table'!$AR416+236.676*'BMP P Tracking Table'!$AS416+726*'BMP P Tracking Table'!$AT416+996.798*'BMP P Tracking Table'!$AU416)*-'BMP P Tracking Table'!$AX416)))/(2*(149.919*'BMP P Tracking Table'!$AR416+236.676*'BMP P Tracking Table'!$AS416+726*'BMP P Tracking Table'!$AT416+996.798*'BMP P Tracking Table'!$AU416))))),MIN(2,IF('BMP P Tracking Table'!$AQ416="Total Pervious",(-(3630*'BMP P Tracking Table'!$V416+20.691*'BMP P Tracking Table'!$AB416)+SQRT((3630*'BMP P Tracking Table'!$V416+20.691*'BMP P Tracking Table'!$AB416)^2-(4*(996.798*'BMP P Tracking Table'!$AB416)*-'BMP P Tracking Table'!$AX416)))/(2*(996.798*'BMP P Tracking Table'!$AB416)),IF(SUM('BMP P Tracking Table'!$X416:$AA416)=0,'BMP P Tracking Table'!$AX416/(-3630*'BMP P Tracking Table'!$V416),(-(3630*'BMP P Tracking Table'!$V416+20.691*'BMP P Tracking Table'!$AA416-216.711*'BMP P Tracking Table'!$Z416-83.853*'BMP P Tracking Table'!$Y416-42.834*'BMP P Tracking Table'!$X416)+SQRT((3630*'BMP P Tracking Table'!$V416+20.691*'BMP P Tracking Table'!$AA416-216.711*'BMP P Tracking Table'!$Z416-83.853*'BMP P Tracking Table'!$Y416-42.834*'BMP P Tracking Table'!$X416)^2-(4*(149.919*'BMP P Tracking Table'!$X416+236.676*'BMP P Tracking Table'!$Y416+726*'BMP P Tracking Table'!$Z416+996.798*'BMP P Tracking Table'!$AA416)*-'BMP P Tracking Table'!$AX416)))/(2*(149.919*'BMP P Tracking Table'!$X416+236.676*'BMP P Tracking Table'!$Y416+726*'BMP P Tracking Table'!$Z416+996.798*'BMP P Tracking Table'!$AA416)))))),"")</f>
        <v/>
      </c>
      <c r="BB416" s="102" t="str">
        <f>IFERROR((VLOOKUP(CONCATENATE('BMP P Tracking Table'!$AW416," ",'BMP P Tracking Table'!$AY416),'Performance Curves'!$C$1:$L$46,_xlfn.SINGLE(MATCH('BMP P Tracking Table'!$BA416,'Performance Curves'!$D$1:$L$1,1))+2,FALSE)-VLOOKUP(CONCATENATE('BMP P Tracking Table'!$AW416," ",'BMP P Tracking Table'!$AY416),'Performance Curves'!$C$1:$L$46,_xlfn.SINGLE(MATCH('BMP P Tracking Table'!$BA416,'Performance Curves'!$D$1:$L$1,1))+1,FALSE)),"")</f>
        <v/>
      </c>
      <c r="BC416" s="102" t="str">
        <f>IFERROR(('BMP P Tracking Table'!$BA416-INDEX('Performance Curves'!$D$1:$L$1,1,MATCH('BMP P Tracking Table'!$BA416,'Performance Curves'!$D$1:$L$1,1)))/(INDEX('Performance Curves'!$D$1:$L$1,1,MATCH('BMP P Tracking Table'!$BA416,'Performance Curves'!$D$1:$L$1,1)+1)-INDEX('Performance Curves'!$D$1:$L$1,1,MATCH('BMP P Tracking Table'!$BA416,'Performance Curves'!$D$1:$L$1,1))),"")</f>
        <v/>
      </c>
      <c r="BD416" s="103" t="str" cm="1">
        <f t="array" ref="BD416">IFERROR(IF('BMP P Tracking Table'!$BA416=2,VLOOKUP(CONCATENATE('BMP P Tracking Table'!$AW416," ",'BMP P Tracking Table'!$AY416),'Performance Curves'!$C$1:$L$44,_xlfn.SINGLE(MATCH('BMP P Tracking Table'!$BA416,'Performance Curves'!$D$1:$L$1,1))+1,FALSE),'BMP P Tracking Table'!$BB416*'BMP P Tracking Table'!$BC416+VLOOKUP(CONCATENATE('BMP P Tracking Table'!$AW416," ",'BMP P Tracking Table'!$AY416),'Performance Curves'!$C$1:$L$44,_xlfn.SINGLE(MATCH('BMP P Tracking Table'!$BA416,'Performance Curves'!$D$1:$L$1,1))+1,FALSE)),"")</f>
        <v/>
      </c>
      <c r="BE416" s="104" t="str">
        <f>IFERROR('BMP P Tracking Table'!$BD416*'BMP P Tracking Table'!$AZ416,"")</f>
        <v/>
      </c>
      <c r="BF416" s="98"/>
      <c r="BG416" s="37">
        <f t="shared" si="42"/>
        <v>0</v>
      </c>
    </row>
    <row r="417" spans="2:59" s="36" customFormat="1">
      <c r="B417" s="65"/>
      <c r="C417" s="65"/>
      <c r="D417" s="65"/>
      <c r="E417" s="65"/>
      <c r="F417" s="94"/>
      <c r="G417" s="94"/>
      <c r="H417" s="65"/>
      <c r="I417" s="65"/>
      <c r="J417" s="65"/>
      <c r="K417" s="95"/>
      <c r="L417" s="65"/>
      <c r="M417" s="65"/>
      <c r="N417" s="65"/>
      <c r="O417" s="65"/>
      <c r="P417" s="65"/>
      <c r="Q417" s="65"/>
      <c r="R417" s="65" t="str">
        <f>IFERROR(VLOOKUP('BMP P Tracking Table'!$Q417,Dropdowns!$C$2:$E$15,3,FALSE),"")</f>
        <v/>
      </c>
      <c r="S417" s="65" t="str">
        <f>IFERROR(VLOOKUP('BMP P Tracking Table'!$R417,Dropdowns!$Q$3:$R$23,2,FALSE),"")</f>
        <v/>
      </c>
      <c r="T417" s="65"/>
      <c r="U417" s="65"/>
      <c r="V417" s="65"/>
      <c r="W417" s="65"/>
      <c r="X417" s="65"/>
      <c r="Y417" s="65"/>
      <c r="Z417" s="65"/>
      <c r="AA417" s="65"/>
      <c r="AB417" s="65"/>
      <c r="AC417" s="97"/>
      <c r="AD417" s="65"/>
      <c r="AE417" s="104" t="str">
        <f>IFERROR('BMP P Tracking Table'!$V417*VLOOKUP('BMP P Tracking Table'!$R417,'Loading Rates'!$B$1:$L$24,4,FALSE)+IF('BMP P Tracking Table'!$W417="By HSG",'BMP P Tracking Table'!$X417*VLOOKUP('BMP P Tracking Table'!$R417,'Loading Rates'!$B$1:$L$24,6,FALSE)+'BMP P Tracking Table'!$Y417*VLOOKUP('BMP P Tracking Table'!$R417,'Loading Rates'!$B$1:$L$24,7,FALSE)+'BMP P Tracking Table'!$Z417*VLOOKUP('BMP P Tracking Table'!$R417,'Loading Rates'!$B$1:$L$24,8,FALSE)+'BMP P Tracking Table'!$AA417*VLOOKUP('BMP P Tracking Table'!$R417,'Loading Rates'!$B$1:$L$24,9,FALSE),'BMP P Tracking Table'!$AB417*VLOOKUP('BMP P Tracking Table'!$R417,'Loading Rates'!$B$1:$L$24,10,FALSE)),"")</f>
        <v/>
      </c>
      <c r="AF417" s="104" t="str">
        <f>IFERROR(MIN(2,IF('BMP P Tracking Table'!$W417="Total Pervious",(-(3630*'BMP P Tracking Table'!$V417+20.691*'BMP P Tracking Table'!$AB417)+SQRT((3630*'BMP P Tracking Table'!$V417+20.691*'BMP P Tracking Table'!$AB417)^2-(4*(996.798*'BMP P Tracking Table'!$AB417)*-'BMP P Tracking Table'!$AC417)))/(2*(996.798*'BMP P Tracking Table'!$AB417)),IF(SUM('BMP P Tracking Table'!$X417:$AA417)=0,'BMP P Tracking Table'!$AC417/(-3630*'BMP P Tracking Table'!$V417),(-(3630*'BMP P Tracking Table'!$V417+20.691*'BMP P Tracking Table'!$AA417-216.711*'BMP P Tracking Table'!$Z417-83.853*'BMP P Tracking Table'!$Y417-42.834*'BMP P Tracking Table'!$X417)+SQRT((3630*'BMP P Tracking Table'!$V417+20.691*'BMP P Tracking Table'!$AA417-216.711*'BMP P Tracking Table'!$Z417-83.853*'BMP P Tracking Table'!$Y417-42.834*'BMP P Tracking Table'!$X417)^2-(4*(149.919*'BMP P Tracking Table'!$X417+236.676*'BMP P Tracking Table'!$Y417+726*'BMP P Tracking Table'!$Z417+996.798*'BMP P Tracking Table'!$AA417)*-'BMP P Tracking Table'!$AC417)))/(2*(149.919*'BMP P Tracking Table'!$X417+236.676*'BMP P Tracking Table'!$Y417+726*'BMP P Tracking Table'!$Z417+996.798*'BMP P Tracking Table'!$AA417))))),"")</f>
        <v/>
      </c>
      <c r="AG417" s="104" t="str">
        <f>IFERROR((VLOOKUP(CONCATENATE('BMP P Tracking Table'!$U417," ",'BMP P Tracking Table'!$AD417),'Performance Curves'!$C$1:$L$46,_xlfn.SINGLE(MATCH('BMP P Tracking Table'!$AF417,'Performance Curves'!$D$1:$L$1,1))+2,FALSE)-VLOOKUP(CONCATENATE('BMP P Tracking Table'!$U417," ",'BMP P Tracking Table'!$AD417),'Performance Curves'!$C$1:$L$46,_xlfn.SINGLE(MATCH('BMP P Tracking Table'!$AF417,'Performance Curves'!$D$1:$L$1,1))+1,FALSE)),"")</f>
        <v/>
      </c>
      <c r="AH417" s="104" t="str">
        <f>IFERROR(('BMP P Tracking Table'!$AF417-INDEX('Performance Curves'!$D$1:$L$1,1,MATCH('BMP P Tracking Table'!$AF417,'Performance Curves'!$D$1:$L$1,1)))/(INDEX('Performance Curves'!$D$1:$L$1,1,MATCH('BMP P Tracking Table'!$AF417,'Performance Curves'!$D$1:$L$1,1)+1)-INDEX('Performance Curves'!$D$1:$L$1,1,MATCH('BMP P Tracking Table'!$AF417,'Performance Curves'!$D$1:$L$1,1))),"")</f>
        <v/>
      </c>
      <c r="AI417" s="103" t="str">
        <f>IFERROR(IF('BMP P Tracking Table'!$AF417=2,VLOOKUP(CONCATENATE('BMP P Tracking Table'!$U417," ",'BMP P Tracking Table'!$AD417),'Performance Curves'!$C$1:$L$46,_xlfn.SINGLE(MATCH('BMP P Tracking Table'!$AF417,'Performance Curves'!$D$1:$L$1,1))+1,FALSE),'BMP P Tracking Table'!$AG417*'BMP P Tracking Table'!$AH417+VLOOKUP(CONCATENATE('BMP P Tracking Table'!$U417," ",'BMP P Tracking Table'!$AD417),'Performance Curves'!$C$1:$L$46,_xlfn.SINGLE(MATCH('BMP P Tracking Table'!$AF417,'Performance Curves'!$D$1:$L$1,1))+1,FALSE)),"")</f>
        <v/>
      </c>
      <c r="AJ417" s="104" t="str">
        <f>IFERROR('BMP P Tracking Table'!$AI417*'BMP P Tracking Table'!$AE417,"")</f>
        <v/>
      </c>
      <c r="AK417" s="65"/>
      <c r="AL417" s="98"/>
      <c r="AM417" s="98"/>
      <c r="AN417" s="64">
        <v>1</v>
      </c>
      <c r="AO417" s="102" t="str">
        <f t="shared" si="41"/>
        <v/>
      </c>
      <c r="AP417" s="98"/>
      <c r="AQ417" s="98"/>
      <c r="AR417" s="98"/>
      <c r="AS417" s="98"/>
      <c r="AT417" s="98"/>
      <c r="AU417" s="98"/>
      <c r="AV417" s="98"/>
      <c r="AW417" s="65"/>
      <c r="AX417" s="99"/>
      <c r="AY417" s="99"/>
      <c r="AZ417" s="104" t="str">
        <f>IF('BMP P Tracking Table'!$AL417="Yes",IF('BMP P Tracking Table'!$AM417="No",'BMP P Tracking Table'!$V417*VLOOKUP('BMP P Tracking Table'!$R417,'Loading Rates'!$B$1:$L$24,4,FALSE)+IF('BMP P Tracking Table'!$W417="By HSG",'BMP P Tracking Table'!$X417*VLOOKUP('BMP P Tracking Table'!$R417,'Loading Rates'!$B$1:$L$24,6,FALSE)+'BMP P Tracking Table'!$Y417*VLOOKUP('BMP P Tracking Table'!$R417,'Loading Rates'!$B$1:$L$24,7,FALSE)+'BMP P Tracking Table'!$Z417*VLOOKUP('BMP P Tracking Table'!$R417,'Loading Rates'!$B$1:$L$24,8,FALSE)+'BMP P Tracking Table'!$AA417*VLOOKUP('BMP P Tracking Table'!$R417,'Loading Rates'!$B$1:$L$24,9,FALSE),'BMP P Tracking Table'!$AB417*VLOOKUP('BMP P Tracking Table'!$R417,'Loading Rates'!$B$1:$L$24,10,FALSE)),'BMP P Tracking Table'!$AP417*VLOOKUP('BMP P Tracking Table'!$R417,'Loading Rates'!$B$1:$L$24,4,FALSE)+IF('BMP P Tracking Table'!$AQ417="By HSG",'BMP P Tracking Table'!$AR417*VLOOKUP('BMP P Tracking Table'!$R417,'Loading Rates'!$B$1:$L$24,6,FALSE)+'BMP P Tracking Table'!$AS417*VLOOKUP('BMP P Tracking Table'!$R417,'Loading Rates'!$B$1:$L$24,7,FALSE)+'BMP P Tracking Table'!$AT417*VLOOKUP('BMP P Tracking Table'!$R417,'Loading Rates'!$B$1:$L$24,8,FALSE)+'BMP P Tracking Table'!$AU417*VLOOKUP('BMP P Tracking Table'!$R417,'Loading Rates'!$B$1:$L$24,9,FALSE),'BMP P Tracking Table'!$AV417*VLOOKUP('BMP P Tracking Table'!$R417,'Loading Rates'!$B$1:$L$24,10,FALSE))),"")</f>
        <v/>
      </c>
      <c r="BA417" s="104" t="str">
        <f>IFERROR(IF('BMP P Tracking Table'!$AM417="Yes",MIN(2,IF('BMP P Tracking Table'!$AQ417="Total Pervious",(-(3630*'BMP P Tracking Table'!$AP417+20.691*'BMP P Tracking Table'!$AV417)+SQRT((3630*'BMP P Tracking Table'!$AP417+20.691*'BMP P Tracking Table'!$AV417)^2-(4*(996.798*'BMP P Tracking Table'!$AV417)*-'BMP P Tracking Table'!$AX417)))/(2*(996.798*'BMP P Tracking Table'!$AV417)),IF(SUM('BMP P Tracking Table'!$AR417:$AU417)=0,'BMP P Tracking Table'!$AV417/(-3630*'BMP P Tracking Table'!$AP417),(-(3630*'BMP P Tracking Table'!$AP417+20.691*'BMP P Tracking Table'!$AU417-216.711*'BMP P Tracking Table'!$AT417-83.853*'BMP P Tracking Table'!$AS417-42.834*'BMP P Tracking Table'!$AR417)+SQRT((3630*'BMP P Tracking Table'!$AP417+20.691*'BMP P Tracking Table'!$AU417-216.711*'BMP P Tracking Table'!$AT417-83.853*'BMP P Tracking Table'!$AS417-42.834*'BMP P Tracking Table'!$AR417)^2-(4*(149.919*'BMP P Tracking Table'!$AR417+236.676*'BMP P Tracking Table'!$AS417+726*'BMP P Tracking Table'!$AT417+996.798*'BMP P Tracking Table'!$AU417)*-'BMP P Tracking Table'!$AX417)))/(2*(149.919*'BMP P Tracking Table'!$AR417+236.676*'BMP P Tracking Table'!$AS417+726*'BMP P Tracking Table'!$AT417+996.798*'BMP P Tracking Table'!$AU417))))),MIN(2,IF('BMP P Tracking Table'!$AQ417="Total Pervious",(-(3630*'BMP P Tracking Table'!$V417+20.691*'BMP P Tracking Table'!$AB417)+SQRT((3630*'BMP P Tracking Table'!$V417+20.691*'BMP P Tracking Table'!$AB417)^2-(4*(996.798*'BMP P Tracking Table'!$AB417)*-'BMP P Tracking Table'!$AX417)))/(2*(996.798*'BMP P Tracking Table'!$AB417)),IF(SUM('BMP P Tracking Table'!$X417:$AA417)=0,'BMP P Tracking Table'!$AX417/(-3630*'BMP P Tracking Table'!$V417),(-(3630*'BMP P Tracking Table'!$V417+20.691*'BMP P Tracking Table'!$AA417-216.711*'BMP P Tracking Table'!$Z417-83.853*'BMP P Tracking Table'!$Y417-42.834*'BMP P Tracking Table'!$X417)+SQRT((3630*'BMP P Tracking Table'!$V417+20.691*'BMP P Tracking Table'!$AA417-216.711*'BMP P Tracking Table'!$Z417-83.853*'BMP P Tracking Table'!$Y417-42.834*'BMP P Tracking Table'!$X417)^2-(4*(149.919*'BMP P Tracking Table'!$X417+236.676*'BMP P Tracking Table'!$Y417+726*'BMP P Tracking Table'!$Z417+996.798*'BMP P Tracking Table'!$AA417)*-'BMP P Tracking Table'!$AX417)))/(2*(149.919*'BMP P Tracking Table'!$X417+236.676*'BMP P Tracking Table'!$Y417+726*'BMP P Tracking Table'!$Z417+996.798*'BMP P Tracking Table'!$AA417)))))),"")</f>
        <v/>
      </c>
      <c r="BB417" s="102" t="str">
        <f>IFERROR((VLOOKUP(CONCATENATE('BMP P Tracking Table'!$AW417," ",'BMP P Tracking Table'!$AY417),'Performance Curves'!$C$1:$L$46,_xlfn.SINGLE(MATCH('BMP P Tracking Table'!$BA417,'Performance Curves'!$D$1:$L$1,1))+2,FALSE)-VLOOKUP(CONCATENATE('BMP P Tracking Table'!$AW417," ",'BMP P Tracking Table'!$AY417),'Performance Curves'!$C$1:$L$46,_xlfn.SINGLE(MATCH('BMP P Tracking Table'!$BA417,'Performance Curves'!$D$1:$L$1,1))+1,FALSE)),"")</f>
        <v/>
      </c>
      <c r="BC417" s="102" t="str">
        <f>IFERROR(('BMP P Tracking Table'!$BA417-INDEX('Performance Curves'!$D$1:$L$1,1,MATCH('BMP P Tracking Table'!$BA417,'Performance Curves'!$D$1:$L$1,1)))/(INDEX('Performance Curves'!$D$1:$L$1,1,MATCH('BMP P Tracking Table'!$BA417,'Performance Curves'!$D$1:$L$1,1)+1)-INDEX('Performance Curves'!$D$1:$L$1,1,MATCH('BMP P Tracking Table'!$BA417,'Performance Curves'!$D$1:$L$1,1))),"")</f>
        <v/>
      </c>
      <c r="BD417" s="103" t="str" cm="1">
        <f t="array" ref="BD417">IFERROR(IF('BMP P Tracking Table'!$BA417=2,VLOOKUP(CONCATENATE('BMP P Tracking Table'!$AW417," ",'BMP P Tracking Table'!$AY417),'Performance Curves'!$C$1:$L$44,_xlfn.SINGLE(MATCH('BMP P Tracking Table'!$BA417,'Performance Curves'!$D$1:$L$1,1))+1,FALSE),'BMP P Tracking Table'!$BB417*'BMP P Tracking Table'!$BC417+VLOOKUP(CONCATENATE('BMP P Tracking Table'!$AW417," ",'BMP P Tracking Table'!$AY417),'Performance Curves'!$C$1:$L$44,_xlfn.SINGLE(MATCH('BMP P Tracking Table'!$BA417,'Performance Curves'!$D$1:$L$1,1))+1,FALSE)),"")</f>
        <v/>
      </c>
      <c r="BE417" s="104" t="str">
        <f>IFERROR('BMP P Tracking Table'!$BD417*'BMP P Tracking Table'!$AZ417,"")</f>
        <v/>
      </c>
      <c r="BF417" s="98"/>
      <c r="BG417" s="37">
        <f t="shared" si="42"/>
        <v>0</v>
      </c>
    </row>
    <row r="418" spans="2:59" s="36" customFormat="1">
      <c r="B418" s="65"/>
      <c r="C418" s="65"/>
      <c r="D418" s="65"/>
      <c r="E418" s="65"/>
      <c r="F418" s="94"/>
      <c r="G418" s="94"/>
      <c r="H418" s="65"/>
      <c r="I418" s="65"/>
      <c r="J418" s="65"/>
      <c r="K418" s="95"/>
      <c r="L418" s="65"/>
      <c r="M418" s="65"/>
      <c r="N418" s="65"/>
      <c r="O418" s="65"/>
      <c r="P418" s="65"/>
      <c r="Q418" s="65"/>
      <c r="R418" s="65" t="str">
        <f>IFERROR(VLOOKUP('BMP P Tracking Table'!$Q418,Dropdowns!$C$2:$E$15,3,FALSE),"")</f>
        <v/>
      </c>
      <c r="S418" s="65" t="str">
        <f>IFERROR(VLOOKUP('BMP P Tracking Table'!$R418,Dropdowns!$Q$3:$R$23,2,FALSE),"")</f>
        <v/>
      </c>
      <c r="T418" s="65"/>
      <c r="U418" s="65"/>
      <c r="V418" s="65"/>
      <c r="W418" s="65"/>
      <c r="X418" s="65"/>
      <c r="Y418" s="65"/>
      <c r="Z418" s="65"/>
      <c r="AA418" s="65"/>
      <c r="AB418" s="65"/>
      <c r="AC418" s="97"/>
      <c r="AD418" s="65"/>
      <c r="AE418" s="104" t="str">
        <f>IFERROR('BMP P Tracking Table'!$V418*VLOOKUP('BMP P Tracking Table'!$R418,'Loading Rates'!$B$1:$L$24,4,FALSE)+IF('BMP P Tracking Table'!$W418="By HSG",'BMP P Tracking Table'!$X418*VLOOKUP('BMP P Tracking Table'!$R418,'Loading Rates'!$B$1:$L$24,6,FALSE)+'BMP P Tracking Table'!$Y418*VLOOKUP('BMP P Tracking Table'!$R418,'Loading Rates'!$B$1:$L$24,7,FALSE)+'BMP P Tracking Table'!$Z418*VLOOKUP('BMP P Tracking Table'!$R418,'Loading Rates'!$B$1:$L$24,8,FALSE)+'BMP P Tracking Table'!$AA418*VLOOKUP('BMP P Tracking Table'!$R418,'Loading Rates'!$B$1:$L$24,9,FALSE),'BMP P Tracking Table'!$AB418*VLOOKUP('BMP P Tracking Table'!$R418,'Loading Rates'!$B$1:$L$24,10,FALSE)),"")</f>
        <v/>
      </c>
      <c r="AF418" s="104" t="str">
        <f>IFERROR(MIN(2,IF('BMP P Tracking Table'!$W418="Total Pervious",(-(3630*'BMP P Tracking Table'!$V418+20.691*'BMP P Tracking Table'!$AB418)+SQRT((3630*'BMP P Tracking Table'!$V418+20.691*'BMP P Tracking Table'!$AB418)^2-(4*(996.798*'BMP P Tracking Table'!$AB418)*-'BMP P Tracking Table'!$AC418)))/(2*(996.798*'BMP P Tracking Table'!$AB418)),IF(SUM('BMP P Tracking Table'!$X418:$AA418)=0,'BMP P Tracking Table'!$AC418/(-3630*'BMP P Tracking Table'!$V418),(-(3630*'BMP P Tracking Table'!$V418+20.691*'BMP P Tracking Table'!$AA418-216.711*'BMP P Tracking Table'!$Z418-83.853*'BMP P Tracking Table'!$Y418-42.834*'BMP P Tracking Table'!$X418)+SQRT((3630*'BMP P Tracking Table'!$V418+20.691*'BMP P Tracking Table'!$AA418-216.711*'BMP P Tracking Table'!$Z418-83.853*'BMP P Tracking Table'!$Y418-42.834*'BMP P Tracking Table'!$X418)^2-(4*(149.919*'BMP P Tracking Table'!$X418+236.676*'BMP P Tracking Table'!$Y418+726*'BMP P Tracking Table'!$Z418+996.798*'BMP P Tracking Table'!$AA418)*-'BMP P Tracking Table'!$AC418)))/(2*(149.919*'BMP P Tracking Table'!$X418+236.676*'BMP P Tracking Table'!$Y418+726*'BMP P Tracking Table'!$Z418+996.798*'BMP P Tracking Table'!$AA418))))),"")</f>
        <v/>
      </c>
      <c r="AG418" s="104" t="str">
        <f>IFERROR((VLOOKUP(CONCATENATE('BMP P Tracking Table'!$U418," ",'BMP P Tracking Table'!$AD418),'Performance Curves'!$C$1:$L$46,_xlfn.SINGLE(MATCH('BMP P Tracking Table'!$AF418,'Performance Curves'!$D$1:$L$1,1))+2,FALSE)-VLOOKUP(CONCATENATE('BMP P Tracking Table'!$U418," ",'BMP P Tracking Table'!$AD418),'Performance Curves'!$C$1:$L$46,_xlfn.SINGLE(MATCH('BMP P Tracking Table'!$AF418,'Performance Curves'!$D$1:$L$1,1))+1,FALSE)),"")</f>
        <v/>
      </c>
      <c r="AH418" s="104" t="str">
        <f>IFERROR(('BMP P Tracking Table'!$AF418-INDEX('Performance Curves'!$D$1:$L$1,1,MATCH('BMP P Tracking Table'!$AF418,'Performance Curves'!$D$1:$L$1,1)))/(INDEX('Performance Curves'!$D$1:$L$1,1,MATCH('BMP P Tracking Table'!$AF418,'Performance Curves'!$D$1:$L$1,1)+1)-INDEX('Performance Curves'!$D$1:$L$1,1,MATCH('BMP P Tracking Table'!$AF418,'Performance Curves'!$D$1:$L$1,1))),"")</f>
        <v/>
      </c>
      <c r="AI418" s="103" t="str">
        <f>IFERROR(IF('BMP P Tracking Table'!$AF418=2,VLOOKUP(CONCATENATE('BMP P Tracking Table'!$U418," ",'BMP P Tracking Table'!$AD418),'Performance Curves'!$C$1:$L$46,_xlfn.SINGLE(MATCH('BMP P Tracking Table'!$AF418,'Performance Curves'!$D$1:$L$1,1))+1,FALSE),'BMP P Tracking Table'!$AG418*'BMP P Tracking Table'!$AH418+VLOOKUP(CONCATENATE('BMP P Tracking Table'!$U418," ",'BMP P Tracking Table'!$AD418),'Performance Curves'!$C$1:$L$46,_xlfn.SINGLE(MATCH('BMP P Tracking Table'!$AF418,'Performance Curves'!$D$1:$L$1,1))+1,FALSE)),"")</f>
        <v/>
      </c>
      <c r="AJ418" s="104" t="str">
        <f>IFERROR('BMP P Tracking Table'!$AI418*'BMP P Tracking Table'!$AE418,"")</f>
        <v/>
      </c>
      <c r="AK418" s="65"/>
      <c r="AL418" s="98"/>
      <c r="AM418" s="98"/>
      <c r="AN418" s="64">
        <v>1</v>
      </c>
      <c r="AO418" s="102" t="str">
        <f t="shared" si="41"/>
        <v/>
      </c>
      <c r="AP418" s="98"/>
      <c r="AQ418" s="98"/>
      <c r="AR418" s="98"/>
      <c r="AS418" s="98"/>
      <c r="AT418" s="98"/>
      <c r="AU418" s="98"/>
      <c r="AV418" s="98"/>
      <c r="AW418" s="65"/>
      <c r="AX418" s="99"/>
      <c r="AY418" s="99"/>
      <c r="AZ418" s="104" t="str">
        <f>IF('BMP P Tracking Table'!$AL418="Yes",IF('BMP P Tracking Table'!$AM418="No",'BMP P Tracking Table'!$V418*VLOOKUP('BMP P Tracking Table'!$R418,'Loading Rates'!$B$1:$L$24,4,FALSE)+IF('BMP P Tracking Table'!$W418="By HSG",'BMP P Tracking Table'!$X418*VLOOKUP('BMP P Tracking Table'!$R418,'Loading Rates'!$B$1:$L$24,6,FALSE)+'BMP P Tracking Table'!$Y418*VLOOKUP('BMP P Tracking Table'!$R418,'Loading Rates'!$B$1:$L$24,7,FALSE)+'BMP P Tracking Table'!$Z418*VLOOKUP('BMP P Tracking Table'!$R418,'Loading Rates'!$B$1:$L$24,8,FALSE)+'BMP P Tracking Table'!$AA418*VLOOKUP('BMP P Tracking Table'!$R418,'Loading Rates'!$B$1:$L$24,9,FALSE),'BMP P Tracking Table'!$AB418*VLOOKUP('BMP P Tracking Table'!$R418,'Loading Rates'!$B$1:$L$24,10,FALSE)),'BMP P Tracking Table'!$AP418*VLOOKUP('BMP P Tracking Table'!$R418,'Loading Rates'!$B$1:$L$24,4,FALSE)+IF('BMP P Tracking Table'!$AQ418="By HSG",'BMP P Tracking Table'!$AR418*VLOOKUP('BMP P Tracking Table'!$R418,'Loading Rates'!$B$1:$L$24,6,FALSE)+'BMP P Tracking Table'!$AS418*VLOOKUP('BMP P Tracking Table'!$R418,'Loading Rates'!$B$1:$L$24,7,FALSE)+'BMP P Tracking Table'!$AT418*VLOOKUP('BMP P Tracking Table'!$R418,'Loading Rates'!$B$1:$L$24,8,FALSE)+'BMP P Tracking Table'!$AU418*VLOOKUP('BMP P Tracking Table'!$R418,'Loading Rates'!$B$1:$L$24,9,FALSE),'BMP P Tracking Table'!$AV418*VLOOKUP('BMP P Tracking Table'!$R418,'Loading Rates'!$B$1:$L$24,10,FALSE))),"")</f>
        <v/>
      </c>
      <c r="BA418" s="104" t="str">
        <f>IFERROR(IF('BMP P Tracking Table'!$AM418="Yes",MIN(2,IF('BMP P Tracking Table'!$AQ418="Total Pervious",(-(3630*'BMP P Tracking Table'!$AP418+20.691*'BMP P Tracking Table'!$AV418)+SQRT((3630*'BMP P Tracking Table'!$AP418+20.691*'BMP P Tracking Table'!$AV418)^2-(4*(996.798*'BMP P Tracking Table'!$AV418)*-'BMP P Tracking Table'!$AX418)))/(2*(996.798*'BMP P Tracking Table'!$AV418)),IF(SUM('BMP P Tracking Table'!$AR418:$AU418)=0,'BMP P Tracking Table'!$AV418/(-3630*'BMP P Tracking Table'!$AP418),(-(3630*'BMP P Tracking Table'!$AP418+20.691*'BMP P Tracking Table'!$AU418-216.711*'BMP P Tracking Table'!$AT418-83.853*'BMP P Tracking Table'!$AS418-42.834*'BMP P Tracking Table'!$AR418)+SQRT((3630*'BMP P Tracking Table'!$AP418+20.691*'BMP P Tracking Table'!$AU418-216.711*'BMP P Tracking Table'!$AT418-83.853*'BMP P Tracking Table'!$AS418-42.834*'BMP P Tracking Table'!$AR418)^2-(4*(149.919*'BMP P Tracking Table'!$AR418+236.676*'BMP P Tracking Table'!$AS418+726*'BMP P Tracking Table'!$AT418+996.798*'BMP P Tracking Table'!$AU418)*-'BMP P Tracking Table'!$AX418)))/(2*(149.919*'BMP P Tracking Table'!$AR418+236.676*'BMP P Tracking Table'!$AS418+726*'BMP P Tracking Table'!$AT418+996.798*'BMP P Tracking Table'!$AU418))))),MIN(2,IF('BMP P Tracking Table'!$AQ418="Total Pervious",(-(3630*'BMP P Tracking Table'!$V418+20.691*'BMP P Tracking Table'!$AB418)+SQRT((3630*'BMP P Tracking Table'!$V418+20.691*'BMP P Tracking Table'!$AB418)^2-(4*(996.798*'BMP P Tracking Table'!$AB418)*-'BMP P Tracking Table'!$AX418)))/(2*(996.798*'BMP P Tracking Table'!$AB418)),IF(SUM('BMP P Tracking Table'!$X418:$AA418)=0,'BMP P Tracking Table'!$AX418/(-3630*'BMP P Tracking Table'!$V418),(-(3630*'BMP P Tracking Table'!$V418+20.691*'BMP P Tracking Table'!$AA418-216.711*'BMP P Tracking Table'!$Z418-83.853*'BMP P Tracking Table'!$Y418-42.834*'BMP P Tracking Table'!$X418)+SQRT((3630*'BMP P Tracking Table'!$V418+20.691*'BMP P Tracking Table'!$AA418-216.711*'BMP P Tracking Table'!$Z418-83.853*'BMP P Tracking Table'!$Y418-42.834*'BMP P Tracking Table'!$X418)^2-(4*(149.919*'BMP P Tracking Table'!$X418+236.676*'BMP P Tracking Table'!$Y418+726*'BMP P Tracking Table'!$Z418+996.798*'BMP P Tracking Table'!$AA418)*-'BMP P Tracking Table'!$AX418)))/(2*(149.919*'BMP P Tracking Table'!$X418+236.676*'BMP P Tracking Table'!$Y418+726*'BMP P Tracking Table'!$Z418+996.798*'BMP P Tracking Table'!$AA418)))))),"")</f>
        <v/>
      </c>
      <c r="BB418" s="102" t="str">
        <f>IFERROR((VLOOKUP(CONCATENATE('BMP P Tracking Table'!$AW418," ",'BMP P Tracking Table'!$AY418),'Performance Curves'!$C$1:$L$46,_xlfn.SINGLE(MATCH('BMP P Tracking Table'!$BA418,'Performance Curves'!$D$1:$L$1,1))+2,FALSE)-VLOOKUP(CONCATENATE('BMP P Tracking Table'!$AW418," ",'BMP P Tracking Table'!$AY418),'Performance Curves'!$C$1:$L$46,_xlfn.SINGLE(MATCH('BMP P Tracking Table'!$BA418,'Performance Curves'!$D$1:$L$1,1))+1,FALSE)),"")</f>
        <v/>
      </c>
      <c r="BC418" s="102" t="str">
        <f>IFERROR(('BMP P Tracking Table'!$BA418-INDEX('Performance Curves'!$D$1:$L$1,1,MATCH('BMP P Tracking Table'!$BA418,'Performance Curves'!$D$1:$L$1,1)))/(INDEX('Performance Curves'!$D$1:$L$1,1,MATCH('BMP P Tracking Table'!$BA418,'Performance Curves'!$D$1:$L$1,1)+1)-INDEX('Performance Curves'!$D$1:$L$1,1,MATCH('BMP P Tracking Table'!$BA418,'Performance Curves'!$D$1:$L$1,1))),"")</f>
        <v/>
      </c>
      <c r="BD418" s="103" t="str" cm="1">
        <f t="array" ref="BD418">IFERROR(IF('BMP P Tracking Table'!$BA418=2,VLOOKUP(CONCATENATE('BMP P Tracking Table'!$AW418," ",'BMP P Tracking Table'!$AY418),'Performance Curves'!$C$1:$L$44,_xlfn.SINGLE(MATCH('BMP P Tracking Table'!$BA418,'Performance Curves'!$D$1:$L$1,1))+1,FALSE),'BMP P Tracking Table'!$BB418*'BMP P Tracking Table'!$BC418+VLOOKUP(CONCATENATE('BMP P Tracking Table'!$AW418," ",'BMP P Tracking Table'!$AY418),'Performance Curves'!$C$1:$L$44,_xlfn.SINGLE(MATCH('BMP P Tracking Table'!$BA418,'Performance Curves'!$D$1:$L$1,1))+1,FALSE)),"")</f>
        <v/>
      </c>
      <c r="BE418" s="104" t="str">
        <f>IFERROR('BMP P Tracking Table'!$BD418*'BMP P Tracking Table'!$AZ418,"")</f>
        <v/>
      </c>
      <c r="BF418" s="98"/>
      <c r="BG418" s="37">
        <f t="shared" si="42"/>
        <v>0</v>
      </c>
    </row>
    <row r="419" spans="2:59" s="36" customFormat="1">
      <c r="B419" s="65"/>
      <c r="C419" s="65"/>
      <c r="D419" s="65"/>
      <c r="E419" s="65"/>
      <c r="F419" s="94"/>
      <c r="G419" s="94"/>
      <c r="H419" s="65"/>
      <c r="I419" s="65"/>
      <c r="J419" s="65"/>
      <c r="K419" s="95"/>
      <c r="L419" s="65"/>
      <c r="M419" s="65"/>
      <c r="N419" s="65"/>
      <c r="O419" s="65"/>
      <c r="P419" s="65"/>
      <c r="Q419" s="65"/>
      <c r="R419" s="65" t="str">
        <f>IFERROR(VLOOKUP('BMP P Tracking Table'!$Q419,Dropdowns!$C$2:$E$15,3,FALSE),"")</f>
        <v/>
      </c>
      <c r="S419" s="65" t="str">
        <f>IFERROR(VLOOKUP('BMP P Tracking Table'!$R419,Dropdowns!$Q$3:$R$23,2,FALSE),"")</f>
        <v/>
      </c>
      <c r="T419" s="65"/>
      <c r="U419" s="65"/>
      <c r="V419" s="65"/>
      <c r="W419" s="65"/>
      <c r="X419" s="65"/>
      <c r="Y419" s="65"/>
      <c r="Z419" s="65"/>
      <c r="AA419" s="65"/>
      <c r="AB419" s="65"/>
      <c r="AC419" s="97"/>
      <c r="AD419" s="65"/>
      <c r="AE419" s="104" t="str">
        <f>IFERROR('BMP P Tracking Table'!$V419*VLOOKUP('BMP P Tracking Table'!$R419,'Loading Rates'!$B$1:$L$24,4,FALSE)+IF('BMP P Tracking Table'!$W419="By HSG",'BMP P Tracking Table'!$X419*VLOOKUP('BMP P Tracking Table'!$R419,'Loading Rates'!$B$1:$L$24,6,FALSE)+'BMP P Tracking Table'!$Y419*VLOOKUP('BMP P Tracking Table'!$R419,'Loading Rates'!$B$1:$L$24,7,FALSE)+'BMP P Tracking Table'!$Z419*VLOOKUP('BMP P Tracking Table'!$R419,'Loading Rates'!$B$1:$L$24,8,FALSE)+'BMP P Tracking Table'!$AA419*VLOOKUP('BMP P Tracking Table'!$R419,'Loading Rates'!$B$1:$L$24,9,FALSE),'BMP P Tracking Table'!$AB419*VLOOKUP('BMP P Tracking Table'!$R419,'Loading Rates'!$B$1:$L$24,10,FALSE)),"")</f>
        <v/>
      </c>
      <c r="AF419" s="104" t="str">
        <f>IFERROR(MIN(2,IF('BMP P Tracking Table'!$W419="Total Pervious",(-(3630*'BMP P Tracking Table'!$V419+20.691*'BMP P Tracking Table'!$AB419)+SQRT((3630*'BMP P Tracking Table'!$V419+20.691*'BMP P Tracking Table'!$AB419)^2-(4*(996.798*'BMP P Tracking Table'!$AB419)*-'BMP P Tracking Table'!$AC419)))/(2*(996.798*'BMP P Tracking Table'!$AB419)),IF(SUM('BMP P Tracking Table'!$X419:$AA419)=0,'BMP P Tracking Table'!$AC419/(-3630*'BMP P Tracking Table'!$V419),(-(3630*'BMP P Tracking Table'!$V419+20.691*'BMP P Tracking Table'!$AA419-216.711*'BMP P Tracking Table'!$Z419-83.853*'BMP P Tracking Table'!$Y419-42.834*'BMP P Tracking Table'!$X419)+SQRT((3630*'BMP P Tracking Table'!$V419+20.691*'BMP P Tracking Table'!$AA419-216.711*'BMP P Tracking Table'!$Z419-83.853*'BMP P Tracking Table'!$Y419-42.834*'BMP P Tracking Table'!$X419)^2-(4*(149.919*'BMP P Tracking Table'!$X419+236.676*'BMP P Tracking Table'!$Y419+726*'BMP P Tracking Table'!$Z419+996.798*'BMP P Tracking Table'!$AA419)*-'BMP P Tracking Table'!$AC419)))/(2*(149.919*'BMP P Tracking Table'!$X419+236.676*'BMP P Tracking Table'!$Y419+726*'BMP P Tracking Table'!$Z419+996.798*'BMP P Tracking Table'!$AA419))))),"")</f>
        <v/>
      </c>
      <c r="AG419" s="104" t="str">
        <f>IFERROR((VLOOKUP(CONCATENATE('BMP P Tracking Table'!$U419," ",'BMP P Tracking Table'!$AD419),'Performance Curves'!$C$1:$L$46,_xlfn.SINGLE(MATCH('BMP P Tracking Table'!$AF419,'Performance Curves'!$D$1:$L$1,1))+2,FALSE)-VLOOKUP(CONCATENATE('BMP P Tracking Table'!$U419," ",'BMP P Tracking Table'!$AD419),'Performance Curves'!$C$1:$L$46,_xlfn.SINGLE(MATCH('BMP P Tracking Table'!$AF419,'Performance Curves'!$D$1:$L$1,1))+1,FALSE)),"")</f>
        <v/>
      </c>
      <c r="AH419" s="104" t="str">
        <f>IFERROR(('BMP P Tracking Table'!$AF419-INDEX('Performance Curves'!$D$1:$L$1,1,MATCH('BMP P Tracking Table'!$AF419,'Performance Curves'!$D$1:$L$1,1)))/(INDEX('Performance Curves'!$D$1:$L$1,1,MATCH('BMP P Tracking Table'!$AF419,'Performance Curves'!$D$1:$L$1,1)+1)-INDEX('Performance Curves'!$D$1:$L$1,1,MATCH('BMP P Tracking Table'!$AF419,'Performance Curves'!$D$1:$L$1,1))),"")</f>
        <v/>
      </c>
      <c r="AI419" s="103" t="str">
        <f>IFERROR(IF('BMP P Tracking Table'!$AF419=2,VLOOKUP(CONCATENATE('BMP P Tracking Table'!$U419," ",'BMP P Tracking Table'!$AD419),'Performance Curves'!$C$1:$L$46,_xlfn.SINGLE(MATCH('BMP P Tracking Table'!$AF419,'Performance Curves'!$D$1:$L$1,1))+1,FALSE),'BMP P Tracking Table'!$AG419*'BMP P Tracking Table'!$AH419+VLOOKUP(CONCATENATE('BMP P Tracking Table'!$U419," ",'BMP P Tracking Table'!$AD419),'Performance Curves'!$C$1:$L$46,_xlfn.SINGLE(MATCH('BMP P Tracking Table'!$AF419,'Performance Curves'!$D$1:$L$1,1))+1,FALSE)),"")</f>
        <v/>
      </c>
      <c r="AJ419" s="104" t="str">
        <f>IFERROR('BMP P Tracking Table'!$AI419*'BMP P Tracking Table'!$AE419,"")</f>
        <v/>
      </c>
      <c r="AK419" s="65"/>
      <c r="AL419" s="98"/>
      <c r="AM419" s="98"/>
      <c r="AN419" s="64">
        <v>1</v>
      </c>
      <c r="AO419" s="102" t="str">
        <f t="shared" si="41"/>
        <v/>
      </c>
      <c r="AP419" s="98"/>
      <c r="AQ419" s="98"/>
      <c r="AR419" s="98"/>
      <c r="AS419" s="98"/>
      <c r="AT419" s="98"/>
      <c r="AU419" s="98"/>
      <c r="AV419" s="98"/>
      <c r="AW419" s="65"/>
      <c r="AX419" s="99"/>
      <c r="AY419" s="99"/>
      <c r="AZ419" s="104" t="str">
        <f>IF('BMP P Tracking Table'!$AL419="Yes",IF('BMP P Tracking Table'!$AM419="No",'BMP P Tracking Table'!$V419*VLOOKUP('BMP P Tracking Table'!$R419,'Loading Rates'!$B$1:$L$24,4,FALSE)+IF('BMP P Tracking Table'!$W419="By HSG",'BMP P Tracking Table'!$X419*VLOOKUP('BMP P Tracking Table'!$R419,'Loading Rates'!$B$1:$L$24,6,FALSE)+'BMP P Tracking Table'!$Y419*VLOOKUP('BMP P Tracking Table'!$R419,'Loading Rates'!$B$1:$L$24,7,FALSE)+'BMP P Tracking Table'!$Z419*VLOOKUP('BMP P Tracking Table'!$R419,'Loading Rates'!$B$1:$L$24,8,FALSE)+'BMP P Tracking Table'!$AA419*VLOOKUP('BMP P Tracking Table'!$R419,'Loading Rates'!$B$1:$L$24,9,FALSE),'BMP P Tracking Table'!$AB419*VLOOKUP('BMP P Tracking Table'!$R419,'Loading Rates'!$B$1:$L$24,10,FALSE)),'BMP P Tracking Table'!$AP419*VLOOKUP('BMP P Tracking Table'!$R419,'Loading Rates'!$B$1:$L$24,4,FALSE)+IF('BMP P Tracking Table'!$AQ419="By HSG",'BMP P Tracking Table'!$AR419*VLOOKUP('BMP P Tracking Table'!$R419,'Loading Rates'!$B$1:$L$24,6,FALSE)+'BMP P Tracking Table'!$AS419*VLOOKUP('BMP P Tracking Table'!$R419,'Loading Rates'!$B$1:$L$24,7,FALSE)+'BMP P Tracking Table'!$AT419*VLOOKUP('BMP P Tracking Table'!$R419,'Loading Rates'!$B$1:$L$24,8,FALSE)+'BMP P Tracking Table'!$AU419*VLOOKUP('BMP P Tracking Table'!$R419,'Loading Rates'!$B$1:$L$24,9,FALSE),'BMP P Tracking Table'!$AV419*VLOOKUP('BMP P Tracking Table'!$R419,'Loading Rates'!$B$1:$L$24,10,FALSE))),"")</f>
        <v/>
      </c>
      <c r="BA419" s="104" t="str">
        <f>IFERROR(IF('BMP P Tracking Table'!$AM419="Yes",MIN(2,IF('BMP P Tracking Table'!$AQ419="Total Pervious",(-(3630*'BMP P Tracking Table'!$AP419+20.691*'BMP P Tracking Table'!$AV419)+SQRT((3630*'BMP P Tracking Table'!$AP419+20.691*'BMP P Tracking Table'!$AV419)^2-(4*(996.798*'BMP P Tracking Table'!$AV419)*-'BMP P Tracking Table'!$AX419)))/(2*(996.798*'BMP P Tracking Table'!$AV419)),IF(SUM('BMP P Tracking Table'!$AR419:$AU419)=0,'BMP P Tracking Table'!$AV419/(-3630*'BMP P Tracking Table'!$AP419),(-(3630*'BMP P Tracking Table'!$AP419+20.691*'BMP P Tracking Table'!$AU419-216.711*'BMP P Tracking Table'!$AT419-83.853*'BMP P Tracking Table'!$AS419-42.834*'BMP P Tracking Table'!$AR419)+SQRT((3630*'BMP P Tracking Table'!$AP419+20.691*'BMP P Tracking Table'!$AU419-216.711*'BMP P Tracking Table'!$AT419-83.853*'BMP P Tracking Table'!$AS419-42.834*'BMP P Tracking Table'!$AR419)^2-(4*(149.919*'BMP P Tracking Table'!$AR419+236.676*'BMP P Tracking Table'!$AS419+726*'BMP P Tracking Table'!$AT419+996.798*'BMP P Tracking Table'!$AU419)*-'BMP P Tracking Table'!$AX419)))/(2*(149.919*'BMP P Tracking Table'!$AR419+236.676*'BMP P Tracking Table'!$AS419+726*'BMP P Tracking Table'!$AT419+996.798*'BMP P Tracking Table'!$AU419))))),MIN(2,IF('BMP P Tracking Table'!$AQ419="Total Pervious",(-(3630*'BMP P Tracking Table'!$V419+20.691*'BMP P Tracking Table'!$AB419)+SQRT((3630*'BMP P Tracking Table'!$V419+20.691*'BMP P Tracking Table'!$AB419)^2-(4*(996.798*'BMP P Tracking Table'!$AB419)*-'BMP P Tracking Table'!$AX419)))/(2*(996.798*'BMP P Tracking Table'!$AB419)),IF(SUM('BMP P Tracking Table'!$X419:$AA419)=0,'BMP P Tracking Table'!$AX419/(-3630*'BMP P Tracking Table'!$V419),(-(3630*'BMP P Tracking Table'!$V419+20.691*'BMP P Tracking Table'!$AA419-216.711*'BMP P Tracking Table'!$Z419-83.853*'BMP P Tracking Table'!$Y419-42.834*'BMP P Tracking Table'!$X419)+SQRT((3630*'BMP P Tracking Table'!$V419+20.691*'BMP P Tracking Table'!$AA419-216.711*'BMP P Tracking Table'!$Z419-83.853*'BMP P Tracking Table'!$Y419-42.834*'BMP P Tracking Table'!$X419)^2-(4*(149.919*'BMP P Tracking Table'!$X419+236.676*'BMP P Tracking Table'!$Y419+726*'BMP P Tracking Table'!$Z419+996.798*'BMP P Tracking Table'!$AA419)*-'BMP P Tracking Table'!$AX419)))/(2*(149.919*'BMP P Tracking Table'!$X419+236.676*'BMP P Tracking Table'!$Y419+726*'BMP P Tracking Table'!$Z419+996.798*'BMP P Tracking Table'!$AA419)))))),"")</f>
        <v/>
      </c>
      <c r="BB419" s="102" t="str">
        <f>IFERROR((VLOOKUP(CONCATENATE('BMP P Tracking Table'!$AW419," ",'BMP P Tracking Table'!$AY419),'Performance Curves'!$C$1:$L$46,_xlfn.SINGLE(MATCH('BMP P Tracking Table'!$BA419,'Performance Curves'!$D$1:$L$1,1))+2,FALSE)-VLOOKUP(CONCATENATE('BMP P Tracking Table'!$AW419," ",'BMP P Tracking Table'!$AY419),'Performance Curves'!$C$1:$L$46,_xlfn.SINGLE(MATCH('BMP P Tracking Table'!$BA419,'Performance Curves'!$D$1:$L$1,1))+1,FALSE)),"")</f>
        <v/>
      </c>
      <c r="BC419" s="102" t="str">
        <f>IFERROR(('BMP P Tracking Table'!$BA419-INDEX('Performance Curves'!$D$1:$L$1,1,MATCH('BMP P Tracking Table'!$BA419,'Performance Curves'!$D$1:$L$1,1)))/(INDEX('Performance Curves'!$D$1:$L$1,1,MATCH('BMP P Tracking Table'!$BA419,'Performance Curves'!$D$1:$L$1,1)+1)-INDEX('Performance Curves'!$D$1:$L$1,1,MATCH('BMP P Tracking Table'!$BA419,'Performance Curves'!$D$1:$L$1,1))),"")</f>
        <v/>
      </c>
      <c r="BD419" s="103" t="str" cm="1">
        <f t="array" ref="BD419">IFERROR(IF('BMP P Tracking Table'!$BA419=2,VLOOKUP(CONCATENATE('BMP P Tracking Table'!$AW419," ",'BMP P Tracking Table'!$AY419),'Performance Curves'!$C$1:$L$44,_xlfn.SINGLE(MATCH('BMP P Tracking Table'!$BA419,'Performance Curves'!$D$1:$L$1,1))+1,FALSE),'BMP P Tracking Table'!$BB419*'BMP P Tracking Table'!$BC419+VLOOKUP(CONCATENATE('BMP P Tracking Table'!$AW419," ",'BMP P Tracking Table'!$AY419),'Performance Curves'!$C$1:$L$44,_xlfn.SINGLE(MATCH('BMP P Tracking Table'!$BA419,'Performance Curves'!$D$1:$L$1,1))+1,FALSE)),"")</f>
        <v/>
      </c>
      <c r="BE419" s="104" t="str">
        <f>IFERROR('BMP P Tracking Table'!$BD419*'BMP P Tracking Table'!$AZ419,"")</f>
        <v/>
      </c>
      <c r="BF419" s="98"/>
      <c r="BG419" s="37">
        <f t="shared" si="42"/>
        <v>0</v>
      </c>
    </row>
    <row r="420" spans="2:59" s="36" customFormat="1">
      <c r="B420" s="65"/>
      <c r="C420" s="65"/>
      <c r="D420" s="65"/>
      <c r="E420" s="65"/>
      <c r="F420" s="94"/>
      <c r="G420" s="94"/>
      <c r="H420" s="65"/>
      <c r="I420" s="65"/>
      <c r="J420" s="65"/>
      <c r="K420" s="95"/>
      <c r="L420" s="65"/>
      <c r="M420" s="65"/>
      <c r="N420" s="65"/>
      <c r="O420" s="65"/>
      <c r="P420" s="65"/>
      <c r="Q420" s="65"/>
      <c r="R420" s="65" t="str">
        <f>IFERROR(VLOOKUP('BMP P Tracking Table'!$Q420,Dropdowns!$C$2:$E$15,3,FALSE),"")</f>
        <v/>
      </c>
      <c r="S420" s="65" t="str">
        <f>IFERROR(VLOOKUP('BMP P Tracking Table'!$R420,Dropdowns!$Q$3:$R$23,2,FALSE),"")</f>
        <v/>
      </c>
      <c r="T420" s="65"/>
      <c r="U420" s="65"/>
      <c r="V420" s="65"/>
      <c r="W420" s="65"/>
      <c r="X420" s="65"/>
      <c r="Y420" s="65"/>
      <c r="Z420" s="65"/>
      <c r="AA420" s="65"/>
      <c r="AB420" s="65"/>
      <c r="AC420" s="97"/>
      <c r="AD420" s="65"/>
      <c r="AE420" s="104" t="str">
        <f>IFERROR('BMP P Tracking Table'!$V420*VLOOKUP('BMP P Tracking Table'!$R420,'Loading Rates'!$B$1:$L$24,4,FALSE)+IF('BMP P Tracking Table'!$W420="By HSG",'BMP P Tracking Table'!$X420*VLOOKUP('BMP P Tracking Table'!$R420,'Loading Rates'!$B$1:$L$24,6,FALSE)+'BMP P Tracking Table'!$Y420*VLOOKUP('BMP P Tracking Table'!$R420,'Loading Rates'!$B$1:$L$24,7,FALSE)+'BMP P Tracking Table'!$Z420*VLOOKUP('BMP P Tracking Table'!$R420,'Loading Rates'!$B$1:$L$24,8,FALSE)+'BMP P Tracking Table'!$AA420*VLOOKUP('BMP P Tracking Table'!$R420,'Loading Rates'!$B$1:$L$24,9,FALSE),'BMP P Tracking Table'!$AB420*VLOOKUP('BMP P Tracking Table'!$R420,'Loading Rates'!$B$1:$L$24,10,FALSE)),"")</f>
        <v/>
      </c>
      <c r="AF420" s="104" t="str">
        <f>IFERROR(MIN(2,IF('BMP P Tracking Table'!$W420="Total Pervious",(-(3630*'BMP P Tracking Table'!$V420+20.691*'BMP P Tracking Table'!$AB420)+SQRT((3630*'BMP P Tracking Table'!$V420+20.691*'BMP P Tracking Table'!$AB420)^2-(4*(996.798*'BMP P Tracking Table'!$AB420)*-'BMP P Tracking Table'!$AC420)))/(2*(996.798*'BMP P Tracking Table'!$AB420)),IF(SUM('BMP P Tracking Table'!$X420:$AA420)=0,'BMP P Tracking Table'!$AC420/(-3630*'BMP P Tracking Table'!$V420),(-(3630*'BMP P Tracking Table'!$V420+20.691*'BMP P Tracking Table'!$AA420-216.711*'BMP P Tracking Table'!$Z420-83.853*'BMP P Tracking Table'!$Y420-42.834*'BMP P Tracking Table'!$X420)+SQRT((3630*'BMP P Tracking Table'!$V420+20.691*'BMP P Tracking Table'!$AA420-216.711*'BMP P Tracking Table'!$Z420-83.853*'BMP P Tracking Table'!$Y420-42.834*'BMP P Tracking Table'!$X420)^2-(4*(149.919*'BMP P Tracking Table'!$X420+236.676*'BMP P Tracking Table'!$Y420+726*'BMP P Tracking Table'!$Z420+996.798*'BMP P Tracking Table'!$AA420)*-'BMP P Tracking Table'!$AC420)))/(2*(149.919*'BMP P Tracking Table'!$X420+236.676*'BMP P Tracking Table'!$Y420+726*'BMP P Tracking Table'!$Z420+996.798*'BMP P Tracking Table'!$AA420))))),"")</f>
        <v/>
      </c>
      <c r="AG420" s="104" t="str">
        <f>IFERROR((VLOOKUP(CONCATENATE('BMP P Tracking Table'!$U420," ",'BMP P Tracking Table'!$AD420),'Performance Curves'!$C$1:$L$46,_xlfn.SINGLE(MATCH('BMP P Tracking Table'!$AF420,'Performance Curves'!$D$1:$L$1,1))+2,FALSE)-VLOOKUP(CONCATENATE('BMP P Tracking Table'!$U420," ",'BMP P Tracking Table'!$AD420),'Performance Curves'!$C$1:$L$46,_xlfn.SINGLE(MATCH('BMP P Tracking Table'!$AF420,'Performance Curves'!$D$1:$L$1,1))+1,FALSE)),"")</f>
        <v/>
      </c>
      <c r="AH420" s="104" t="str">
        <f>IFERROR(('BMP P Tracking Table'!$AF420-INDEX('Performance Curves'!$D$1:$L$1,1,MATCH('BMP P Tracking Table'!$AF420,'Performance Curves'!$D$1:$L$1,1)))/(INDEX('Performance Curves'!$D$1:$L$1,1,MATCH('BMP P Tracking Table'!$AF420,'Performance Curves'!$D$1:$L$1,1)+1)-INDEX('Performance Curves'!$D$1:$L$1,1,MATCH('BMP P Tracking Table'!$AF420,'Performance Curves'!$D$1:$L$1,1))),"")</f>
        <v/>
      </c>
      <c r="AI420" s="103" t="str">
        <f>IFERROR(IF('BMP P Tracking Table'!$AF420=2,VLOOKUP(CONCATENATE('BMP P Tracking Table'!$U420," ",'BMP P Tracking Table'!$AD420),'Performance Curves'!$C$1:$L$46,_xlfn.SINGLE(MATCH('BMP P Tracking Table'!$AF420,'Performance Curves'!$D$1:$L$1,1))+1,FALSE),'BMP P Tracking Table'!$AG420*'BMP P Tracking Table'!$AH420+VLOOKUP(CONCATENATE('BMP P Tracking Table'!$U420," ",'BMP P Tracking Table'!$AD420),'Performance Curves'!$C$1:$L$46,_xlfn.SINGLE(MATCH('BMP P Tracking Table'!$AF420,'Performance Curves'!$D$1:$L$1,1))+1,FALSE)),"")</f>
        <v/>
      </c>
      <c r="AJ420" s="104" t="str">
        <f>IFERROR('BMP P Tracking Table'!$AI420*'BMP P Tracking Table'!$AE420,"")</f>
        <v/>
      </c>
      <c r="AK420" s="65"/>
      <c r="AL420" s="98"/>
      <c r="AM420" s="98"/>
      <c r="AN420" s="64">
        <v>1</v>
      </c>
      <c r="AO420" s="102" t="str">
        <f t="shared" si="41"/>
        <v/>
      </c>
      <c r="AP420" s="98"/>
      <c r="AQ420" s="98"/>
      <c r="AR420" s="98"/>
      <c r="AS420" s="98"/>
      <c r="AT420" s="98"/>
      <c r="AU420" s="98"/>
      <c r="AV420" s="98"/>
      <c r="AW420" s="65"/>
      <c r="AX420" s="99"/>
      <c r="AY420" s="99"/>
      <c r="AZ420" s="104" t="str">
        <f>IF('BMP P Tracking Table'!$AL420="Yes",IF('BMP P Tracking Table'!$AM420="No",'BMP P Tracking Table'!$V420*VLOOKUP('BMP P Tracking Table'!$R420,'Loading Rates'!$B$1:$L$24,4,FALSE)+IF('BMP P Tracking Table'!$W420="By HSG",'BMP P Tracking Table'!$X420*VLOOKUP('BMP P Tracking Table'!$R420,'Loading Rates'!$B$1:$L$24,6,FALSE)+'BMP P Tracking Table'!$Y420*VLOOKUP('BMP P Tracking Table'!$R420,'Loading Rates'!$B$1:$L$24,7,FALSE)+'BMP P Tracking Table'!$Z420*VLOOKUP('BMP P Tracking Table'!$R420,'Loading Rates'!$B$1:$L$24,8,FALSE)+'BMP P Tracking Table'!$AA420*VLOOKUP('BMP P Tracking Table'!$R420,'Loading Rates'!$B$1:$L$24,9,FALSE),'BMP P Tracking Table'!$AB420*VLOOKUP('BMP P Tracking Table'!$R420,'Loading Rates'!$B$1:$L$24,10,FALSE)),'BMP P Tracking Table'!$AP420*VLOOKUP('BMP P Tracking Table'!$R420,'Loading Rates'!$B$1:$L$24,4,FALSE)+IF('BMP P Tracking Table'!$AQ420="By HSG",'BMP P Tracking Table'!$AR420*VLOOKUP('BMP P Tracking Table'!$R420,'Loading Rates'!$B$1:$L$24,6,FALSE)+'BMP P Tracking Table'!$AS420*VLOOKUP('BMP P Tracking Table'!$R420,'Loading Rates'!$B$1:$L$24,7,FALSE)+'BMP P Tracking Table'!$AT420*VLOOKUP('BMP P Tracking Table'!$R420,'Loading Rates'!$B$1:$L$24,8,FALSE)+'BMP P Tracking Table'!$AU420*VLOOKUP('BMP P Tracking Table'!$R420,'Loading Rates'!$B$1:$L$24,9,FALSE),'BMP P Tracking Table'!$AV420*VLOOKUP('BMP P Tracking Table'!$R420,'Loading Rates'!$B$1:$L$24,10,FALSE))),"")</f>
        <v/>
      </c>
      <c r="BA420" s="104" t="str">
        <f>IFERROR(IF('BMP P Tracking Table'!$AM420="Yes",MIN(2,IF('BMP P Tracking Table'!$AQ420="Total Pervious",(-(3630*'BMP P Tracking Table'!$AP420+20.691*'BMP P Tracking Table'!$AV420)+SQRT((3630*'BMP P Tracking Table'!$AP420+20.691*'BMP P Tracking Table'!$AV420)^2-(4*(996.798*'BMP P Tracking Table'!$AV420)*-'BMP P Tracking Table'!$AX420)))/(2*(996.798*'BMP P Tracking Table'!$AV420)),IF(SUM('BMP P Tracking Table'!$AR420:$AU420)=0,'BMP P Tracking Table'!$AV420/(-3630*'BMP P Tracking Table'!$AP420),(-(3630*'BMP P Tracking Table'!$AP420+20.691*'BMP P Tracking Table'!$AU420-216.711*'BMP P Tracking Table'!$AT420-83.853*'BMP P Tracking Table'!$AS420-42.834*'BMP P Tracking Table'!$AR420)+SQRT((3630*'BMP P Tracking Table'!$AP420+20.691*'BMP P Tracking Table'!$AU420-216.711*'BMP P Tracking Table'!$AT420-83.853*'BMP P Tracking Table'!$AS420-42.834*'BMP P Tracking Table'!$AR420)^2-(4*(149.919*'BMP P Tracking Table'!$AR420+236.676*'BMP P Tracking Table'!$AS420+726*'BMP P Tracking Table'!$AT420+996.798*'BMP P Tracking Table'!$AU420)*-'BMP P Tracking Table'!$AX420)))/(2*(149.919*'BMP P Tracking Table'!$AR420+236.676*'BMP P Tracking Table'!$AS420+726*'BMP P Tracking Table'!$AT420+996.798*'BMP P Tracking Table'!$AU420))))),MIN(2,IF('BMP P Tracking Table'!$AQ420="Total Pervious",(-(3630*'BMP P Tracking Table'!$V420+20.691*'BMP P Tracking Table'!$AB420)+SQRT((3630*'BMP P Tracking Table'!$V420+20.691*'BMP P Tracking Table'!$AB420)^2-(4*(996.798*'BMP P Tracking Table'!$AB420)*-'BMP P Tracking Table'!$AX420)))/(2*(996.798*'BMP P Tracking Table'!$AB420)),IF(SUM('BMP P Tracking Table'!$X420:$AA420)=0,'BMP P Tracking Table'!$AX420/(-3630*'BMP P Tracking Table'!$V420),(-(3630*'BMP P Tracking Table'!$V420+20.691*'BMP P Tracking Table'!$AA420-216.711*'BMP P Tracking Table'!$Z420-83.853*'BMP P Tracking Table'!$Y420-42.834*'BMP P Tracking Table'!$X420)+SQRT((3630*'BMP P Tracking Table'!$V420+20.691*'BMP P Tracking Table'!$AA420-216.711*'BMP P Tracking Table'!$Z420-83.853*'BMP P Tracking Table'!$Y420-42.834*'BMP P Tracking Table'!$X420)^2-(4*(149.919*'BMP P Tracking Table'!$X420+236.676*'BMP P Tracking Table'!$Y420+726*'BMP P Tracking Table'!$Z420+996.798*'BMP P Tracking Table'!$AA420)*-'BMP P Tracking Table'!$AX420)))/(2*(149.919*'BMP P Tracking Table'!$X420+236.676*'BMP P Tracking Table'!$Y420+726*'BMP P Tracking Table'!$Z420+996.798*'BMP P Tracking Table'!$AA420)))))),"")</f>
        <v/>
      </c>
      <c r="BB420" s="102" t="str">
        <f>IFERROR((VLOOKUP(CONCATENATE('BMP P Tracking Table'!$AW420," ",'BMP P Tracking Table'!$AY420),'Performance Curves'!$C$1:$L$46,_xlfn.SINGLE(MATCH('BMP P Tracking Table'!$BA420,'Performance Curves'!$D$1:$L$1,1))+2,FALSE)-VLOOKUP(CONCATENATE('BMP P Tracking Table'!$AW420," ",'BMP P Tracking Table'!$AY420),'Performance Curves'!$C$1:$L$46,_xlfn.SINGLE(MATCH('BMP P Tracking Table'!$BA420,'Performance Curves'!$D$1:$L$1,1))+1,FALSE)),"")</f>
        <v/>
      </c>
      <c r="BC420" s="102" t="str">
        <f>IFERROR(('BMP P Tracking Table'!$BA420-INDEX('Performance Curves'!$D$1:$L$1,1,MATCH('BMP P Tracking Table'!$BA420,'Performance Curves'!$D$1:$L$1,1)))/(INDEX('Performance Curves'!$D$1:$L$1,1,MATCH('BMP P Tracking Table'!$BA420,'Performance Curves'!$D$1:$L$1,1)+1)-INDEX('Performance Curves'!$D$1:$L$1,1,MATCH('BMP P Tracking Table'!$BA420,'Performance Curves'!$D$1:$L$1,1))),"")</f>
        <v/>
      </c>
      <c r="BD420" s="103" t="str" cm="1">
        <f t="array" ref="BD420">IFERROR(IF('BMP P Tracking Table'!$BA420=2,VLOOKUP(CONCATENATE('BMP P Tracking Table'!$AW420," ",'BMP P Tracking Table'!$AY420),'Performance Curves'!$C$1:$L$44,_xlfn.SINGLE(MATCH('BMP P Tracking Table'!$BA420,'Performance Curves'!$D$1:$L$1,1))+1,FALSE),'BMP P Tracking Table'!$BB420*'BMP P Tracking Table'!$BC420+VLOOKUP(CONCATENATE('BMP P Tracking Table'!$AW420," ",'BMP P Tracking Table'!$AY420),'Performance Curves'!$C$1:$L$44,_xlfn.SINGLE(MATCH('BMP P Tracking Table'!$BA420,'Performance Curves'!$D$1:$L$1,1))+1,FALSE)),"")</f>
        <v/>
      </c>
      <c r="BE420" s="104" t="str">
        <f>IFERROR('BMP P Tracking Table'!$BD420*'BMP P Tracking Table'!$AZ420,"")</f>
        <v/>
      </c>
      <c r="BF420" s="98"/>
      <c r="BG420" s="37">
        <f t="shared" si="42"/>
        <v>0</v>
      </c>
    </row>
    <row r="421" spans="2:59" s="36" customFormat="1">
      <c r="B421" s="65"/>
      <c r="C421" s="65"/>
      <c r="D421" s="65"/>
      <c r="E421" s="65"/>
      <c r="F421" s="94"/>
      <c r="G421" s="94"/>
      <c r="H421" s="65"/>
      <c r="I421" s="65"/>
      <c r="J421" s="65"/>
      <c r="K421" s="95"/>
      <c r="L421" s="65"/>
      <c r="M421" s="65"/>
      <c r="N421" s="65"/>
      <c r="O421" s="65"/>
      <c r="P421" s="65"/>
      <c r="Q421" s="65"/>
      <c r="R421" s="65" t="str">
        <f>IFERROR(VLOOKUP('BMP P Tracking Table'!$Q421,Dropdowns!$C$2:$E$15,3,FALSE),"")</f>
        <v/>
      </c>
      <c r="S421" s="65" t="str">
        <f>IFERROR(VLOOKUP('BMP P Tracking Table'!$R421,Dropdowns!$Q$3:$R$23,2,FALSE),"")</f>
        <v/>
      </c>
      <c r="T421" s="65"/>
      <c r="U421" s="65"/>
      <c r="V421" s="65"/>
      <c r="W421" s="65"/>
      <c r="X421" s="65"/>
      <c r="Y421" s="65"/>
      <c r="Z421" s="65"/>
      <c r="AA421" s="65"/>
      <c r="AB421" s="65"/>
      <c r="AC421" s="97"/>
      <c r="AD421" s="65"/>
      <c r="AE421" s="104" t="str">
        <f>IFERROR('BMP P Tracking Table'!$V421*VLOOKUP('BMP P Tracking Table'!$R421,'Loading Rates'!$B$1:$L$24,4,FALSE)+IF('BMP P Tracking Table'!$W421="By HSG",'BMP P Tracking Table'!$X421*VLOOKUP('BMP P Tracking Table'!$R421,'Loading Rates'!$B$1:$L$24,6,FALSE)+'BMP P Tracking Table'!$Y421*VLOOKUP('BMP P Tracking Table'!$R421,'Loading Rates'!$B$1:$L$24,7,FALSE)+'BMP P Tracking Table'!$Z421*VLOOKUP('BMP P Tracking Table'!$R421,'Loading Rates'!$B$1:$L$24,8,FALSE)+'BMP P Tracking Table'!$AA421*VLOOKUP('BMP P Tracking Table'!$R421,'Loading Rates'!$B$1:$L$24,9,FALSE),'BMP P Tracking Table'!$AB421*VLOOKUP('BMP P Tracking Table'!$R421,'Loading Rates'!$B$1:$L$24,10,FALSE)),"")</f>
        <v/>
      </c>
      <c r="AF421" s="104" t="str">
        <f>IFERROR(MIN(2,IF('BMP P Tracking Table'!$W421="Total Pervious",(-(3630*'BMP P Tracking Table'!$V421+20.691*'BMP P Tracking Table'!$AB421)+SQRT((3630*'BMP P Tracking Table'!$V421+20.691*'BMP P Tracking Table'!$AB421)^2-(4*(996.798*'BMP P Tracking Table'!$AB421)*-'BMP P Tracking Table'!$AC421)))/(2*(996.798*'BMP P Tracking Table'!$AB421)),IF(SUM('BMP P Tracking Table'!$X421:$AA421)=0,'BMP P Tracking Table'!$AC421/(-3630*'BMP P Tracking Table'!$V421),(-(3630*'BMP P Tracking Table'!$V421+20.691*'BMP P Tracking Table'!$AA421-216.711*'BMP P Tracking Table'!$Z421-83.853*'BMP P Tracking Table'!$Y421-42.834*'BMP P Tracking Table'!$X421)+SQRT((3630*'BMP P Tracking Table'!$V421+20.691*'BMP P Tracking Table'!$AA421-216.711*'BMP P Tracking Table'!$Z421-83.853*'BMP P Tracking Table'!$Y421-42.834*'BMP P Tracking Table'!$X421)^2-(4*(149.919*'BMP P Tracking Table'!$X421+236.676*'BMP P Tracking Table'!$Y421+726*'BMP P Tracking Table'!$Z421+996.798*'BMP P Tracking Table'!$AA421)*-'BMP P Tracking Table'!$AC421)))/(2*(149.919*'BMP P Tracking Table'!$X421+236.676*'BMP P Tracking Table'!$Y421+726*'BMP P Tracking Table'!$Z421+996.798*'BMP P Tracking Table'!$AA421))))),"")</f>
        <v/>
      </c>
      <c r="AG421" s="104" t="str">
        <f>IFERROR((VLOOKUP(CONCATENATE('BMP P Tracking Table'!$U421," ",'BMP P Tracking Table'!$AD421),'Performance Curves'!$C$1:$L$46,_xlfn.SINGLE(MATCH('BMP P Tracking Table'!$AF421,'Performance Curves'!$D$1:$L$1,1))+2,FALSE)-VLOOKUP(CONCATENATE('BMP P Tracking Table'!$U421," ",'BMP P Tracking Table'!$AD421),'Performance Curves'!$C$1:$L$46,_xlfn.SINGLE(MATCH('BMP P Tracking Table'!$AF421,'Performance Curves'!$D$1:$L$1,1))+1,FALSE)),"")</f>
        <v/>
      </c>
      <c r="AH421" s="104" t="str">
        <f>IFERROR(('BMP P Tracking Table'!$AF421-INDEX('Performance Curves'!$D$1:$L$1,1,MATCH('BMP P Tracking Table'!$AF421,'Performance Curves'!$D$1:$L$1,1)))/(INDEX('Performance Curves'!$D$1:$L$1,1,MATCH('BMP P Tracking Table'!$AF421,'Performance Curves'!$D$1:$L$1,1)+1)-INDEX('Performance Curves'!$D$1:$L$1,1,MATCH('BMP P Tracking Table'!$AF421,'Performance Curves'!$D$1:$L$1,1))),"")</f>
        <v/>
      </c>
      <c r="AI421" s="103" t="str">
        <f>IFERROR(IF('BMP P Tracking Table'!$AF421=2,VLOOKUP(CONCATENATE('BMP P Tracking Table'!$U421," ",'BMP P Tracking Table'!$AD421),'Performance Curves'!$C$1:$L$46,_xlfn.SINGLE(MATCH('BMP P Tracking Table'!$AF421,'Performance Curves'!$D$1:$L$1,1))+1,FALSE),'BMP P Tracking Table'!$AG421*'BMP P Tracking Table'!$AH421+VLOOKUP(CONCATENATE('BMP P Tracking Table'!$U421," ",'BMP P Tracking Table'!$AD421),'Performance Curves'!$C$1:$L$46,_xlfn.SINGLE(MATCH('BMP P Tracking Table'!$AF421,'Performance Curves'!$D$1:$L$1,1))+1,FALSE)),"")</f>
        <v/>
      </c>
      <c r="AJ421" s="104" t="str">
        <f>IFERROR('BMP P Tracking Table'!$AI421*'BMP P Tracking Table'!$AE421,"")</f>
        <v/>
      </c>
      <c r="AK421" s="65"/>
      <c r="AL421" s="98"/>
      <c r="AM421" s="98"/>
      <c r="AN421" s="64">
        <v>1</v>
      </c>
      <c r="AO421" s="102" t="str">
        <f t="shared" si="41"/>
        <v/>
      </c>
      <c r="AP421" s="98"/>
      <c r="AQ421" s="98"/>
      <c r="AR421" s="98"/>
      <c r="AS421" s="98"/>
      <c r="AT421" s="98"/>
      <c r="AU421" s="98"/>
      <c r="AV421" s="98"/>
      <c r="AW421" s="65"/>
      <c r="AX421" s="99"/>
      <c r="AY421" s="99"/>
      <c r="AZ421" s="104" t="str">
        <f>IF('BMP P Tracking Table'!$AL421="Yes",IF('BMP P Tracking Table'!$AM421="No",'BMP P Tracking Table'!$V421*VLOOKUP('BMP P Tracking Table'!$R421,'Loading Rates'!$B$1:$L$24,4,FALSE)+IF('BMP P Tracking Table'!$W421="By HSG",'BMP P Tracking Table'!$X421*VLOOKUP('BMP P Tracking Table'!$R421,'Loading Rates'!$B$1:$L$24,6,FALSE)+'BMP P Tracking Table'!$Y421*VLOOKUP('BMP P Tracking Table'!$R421,'Loading Rates'!$B$1:$L$24,7,FALSE)+'BMP P Tracking Table'!$Z421*VLOOKUP('BMP P Tracking Table'!$R421,'Loading Rates'!$B$1:$L$24,8,FALSE)+'BMP P Tracking Table'!$AA421*VLOOKUP('BMP P Tracking Table'!$R421,'Loading Rates'!$B$1:$L$24,9,FALSE),'BMP P Tracking Table'!$AB421*VLOOKUP('BMP P Tracking Table'!$R421,'Loading Rates'!$B$1:$L$24,10,FALSE)),'BMP P Tracking Table'!$AP421*VLOOKUP('BMP P Tracking Table'!$R421,'Loading Rates'!$B$1:$L$24,4,FALSE)+IF('BMP P Tracking Table'!$AQ421="By HSG",'BMP P Tracking Table'!$AR421*VLOOKUP('BMP P Tracking Table'!$R421,'Loading Rates'!$B$1:$L$24,6,FALSE)+'BMP P Tracking Table'!$AS421*VLOOKUP('BMP P Tracking Table'!$R421,'Loading Rates'!$B$1:$L$24,7,FALSE)+'BMP P Tracking Table'!$AT421*VLOOKUP('BMP P Tracking Table'!$R421,'Loading Rates'!$B$1:$L$24,8,FALSE)+'BMP P Tracking Table'!$AU421*VLOOKUP('BMP P Tracking Table'!$R421,'Loading Rates'!$B$1:$L$24,9,FALSE),'BMP P Tracking Table'!$AV421*VLOOKUP('BMP P Tracking Table'!$R421,'Loading Rates'!$B$1:$L$24,10,FALSE))),"")</f>
        <v/>
      </c>
      <c r="BA421" s="104" t="str">
        <f>IFERROR(IF('BMP P Tracking Table'!$AM421="Yes",MIN(2,IF('BMP P Tracking Table'!$AQ421="Total Pervious",(-(3630*'BMP P Tracking Table'!$AP421+20.691*'BMP P Tracking Table'!$AV421)+SQRT((3630*'BMP P Tracking Table'!$AP421+20.691*'BMP P Tracking Table'!$AV421)^2-(4*(996.798*'BMP P Tracking Table'!$AV421)*-'BMP P Tracking Table'!$AX421)))/(2*(996.798*'BMP P Tracking Table'!$AV421)),IF(SUM('BMP P Tracking Table'!$AR421:$AU421)=0,'BMP P Tracking Table'!$AV421/(-3630*'BMP P Tracking Table'!$AP421),(-(3630*'BMP P Tracking Table'!$AP421+20.691*'BMP P Tracking Table'!$AU421-216.711*'BMP P Tracking Table'!$AT421-83.853*'BMP P Tracking Table'!$AS421-42.834*'BMP P Tracking Table'!$AR421)+SQRT((3630*'BMP P Tracking Table'!$AP421+20.691*'BMP P Tracking Table'!$AU421-216.711*'BMP P Tracking Table'!$AT421-83.853*'BMP P Tracking Table'!$AS421-42.834*'BMP P Tracking Table'!$AR421)^2-(4*(149.919*'BMP P Tracking Table'!$AR421+236.676*'BMP P Tracking Table'!$AS421+726*'BMP P Tracking Table'!$AT421+996.798*'BMP P Tracking Table'!$AU421)*-'BMP P Tracking Table'!$AX421)))/(2*(149.919*'BMP P Tracking Table'!$AR421+236.676*'BMP P Tracking Table'!$AS421+726*'BMP P Tracking Table'!$AT421+996.798*'BMP P Tracking Table'!$AU421))))),MIN(2,IF('BMP P Tracking Table'!$AQ421="Total Pervious",(-(3630*'BMP P Tracking Table'!$V421+20.691*'BMP P Tracking Table'!$AB421)+SQRT((3630*'BMP P Tracking Table'!$V421+20.691*'BMP P Tracking Table'!$AB421)^2-(4*(996.798*'BMP P Tracking Table'!$AB421)*-'BMP P Tracking Table'!$AX421)))/(2*(996.798*'BMP P Tracking Table'!$AB421)),IF(SUM('BMP P Tracking Table'!$X421:$AA421)=0,'BMP P Tracking Table'!$AX421/(-3630*'BMP P Tracking Table'!$V421),(-(3630*'BMP P Tracking Table'!$V421+20.691*'BMP P Tracking Table'!$AA421-216.711*'BMP P Tracking Table'!$Z421-83.853*'BMP P Tracking Table'!$Y421-42.834*'BMP P Tracking Table'!$X421)+SQRT((3630*'BMP P Tracking Table'!$V421+20.691*'BMP P Tracking Table'!$AA421-216.711*'BMP P Tracking Table'!$Z421-83.853*'BMP P Tracking Table'!$Y421-42.834*'BMP P Tracking Table'!$X421)^2-(4*(149.919*'BMP P Tracking Table'!$X421+236.676*'BMP P Tracking Table'!$Y421+726*'BMP P Tracking Table'!$Z421+996.798*'BMP P Tracking Table'!$AA421)*-'BMP P Tracking Table'!$AX421)))/(2*(149.919*'BMP P Tracking Table'!$X421+236.676*'BMP P Tracking Table'!$Y421+726*'BMP P Tracking Table'!$Z421+996.798*'BMP P Tracking Table'!$AA421)))))),"")</f>
        <v/>
      </c>
      <c r="BB421" s="102" t="str">
        <f>IFERROR((VLOOKUP(CONCATENATE('BMP P Tracking Table'!$AW421," ",'BMP P Tracking Table'!$AY421),'Performance Curves'!$C$1:$L$46,_xlfn.SINGLE(MATCH('BMP P Tracking Table'!$BA421,'Performance Curves'!$D$1:$L$1,1))+2,FALSE)-VLOOKUP(CONCATENATE('BMP P Tracking Table'!$AW421," ",'BMP P Tracking Table'!$AY421),'Performance Curves'!$C$1:$L$46,_xlfn.SINGLE(MATCH('BMP P Tracking Table'!$BA421,'Performance Curves'!$D$1:$L$1,1))+1,FALSE)),"")</f>
        <v/>
      </c>
      <c r="BC421" s="102" t="str">
        <f>IFERROR(('BMP P Tracking Table'!$BA421-INDEX('Performance Curves'!$D$1:$L$1,1,MATCH('BMP P Tracking Table'!$BA421,'Performance Curves'!$D$1:$L$1,1)))/(INDEX('Performance Curves'!$D$1:$L$1,1,MATCH('BMP P Tracking Table'!$BA421,'Performance Curves'!$D$1:$L$1,1)+1)-INDEX('Performance Curves'!$D$1:$L$1,1,MATCH('BMP P Tracking Table'!$BA421,'Performance Curves'!$D$1:$L$1,1))),"")</f>
        <v/>
      </c>
      <c r="BD421" s="103" t="str" cm="1">
        <f t="array" ref="BD421">IFERROR(IF('BMP P Tracking Table'!$BA421=2,VLOOKUP(CONCATENATE('BMP P Tracking Table'!$AW421," ",'BMP P Tracking Table'!$AY421),'Performance Curves'!$C$1:$L$44,_xlfn.SINGLE(MATCH('BMP P Tracking Table'!$BA421,'Performance Curves'!$D$1:$L$1,1))+1,FALSE),'BMP P Tracking Table'!$BB421*'BMP P Tracking Table'!$BC421+VLOOKUP(CONCATENATE('BMP P Tracking Table'!$AW421," ",'BMP P Tracking Table'!$AY421),'Performance Curves'!$C$1:$L$44,_xlfn.SINGLE(MATCH('BMP P Tracking Table'!$BA421,'Performance Curves'!$D$1:$L$1,1))+1,FALSE)),"")</f>
        <v/>
      </c>
      <c r="BE421" s="104" t="str">
        <f>IFERROR('BMP P Tracking Table'!$BD421*'BMP P Tracking Table'!$AZ421,"")</f>
        <v/>
      </c>
      <c r="BF421" s="98"/>
      <c r="BG421" s="37">
        <f t="shared" si="42"/>
        <v>0</v>
      </c>
    </row>
    <row r="422" spans="2:59" s="36" customFormat="1">
      <c r="B422" s="65"/>
      <c r="C422" s="65"/>
      <c r="D422" s="65"/>
      <c r="E422" s="65"/>
      <c r="F422" s="94"/>
      <c r="G422" s="94"/>
      <c r="H422" s="65"/>
      <c r="I422" s="65"/>
      <c r="J422" s="65"/>
      <c r="K422" s="95"/>
      <c r="L422" s="65"/>
      <c r="M422" s="65"/>
      <c r="N422" s="65"/>
      <c r="O422" s="65"/>
      <c r="P422" s="65"/>
      <c r="Q422" s="65"/>
      <c r="R422" s="65" t="str">
        <f>IFERROR(VLOOKUP('BMP P Tracking Table'!$Q422,Dropdowns!$C$2:$E$15,3,FALSE),"")</f>
        <v/>
      </c>
      <c r="S422" s="65" t="str">
        <f>IFERROR(VLOOKUP('BMP P Tracking Table'!$R422,Dropdowns!$Q$3:$R$23,2,FALSE),"")</f>
        <v/>
      </c>
      <c r="T422" s="65"/>
      <c r="U422" s="65"/>
      <c r="V422" s="65"/>
      <c r="W422" s="65"/>
      <c r="X422" s="65"/>
      <c r="Y422" s="65"/>
      <c r="Z422" s="65"/>
      <c r="AA422" s="65"/>
      <c r="AB422" s="65"/>
      <c r="AC422" s="97"/>
      <c r="AD422" s="65"/>
      <c r="AE422" s="104" t="str">
        <f>IFERROR('BMP P Tracking Table'!$V422*VLOOKUP('BMP P Tracking Table'!$R422,'Loading Rates'!$B$1:$L$24,4,FALSE)+IF('BMP P Tracking Table'!$W422="By HSG",'BMP P Tracking Table'!$X422*VLOOKUP('BMP P Tracking Table'!$R422,'Loading Rates'!$B$1:$L$24,6,FALSE)+'BMP P Tracking Table'!$Y422*VLOOKUP('BMP P Tracking Table'!$R422,'Loading Rates'!$B$1:$L$24,7,FALSE)+'BMP P Tracking Table'!$Z422*VLOOKUP('BMP P Tracking Table'!$R422,'Loading Rates'!$B$1:$L$24,8,FALSE)+'BMP P Tracking Table'!$AA422*VLOOKUP('BMP P Tracking Table'!$R422,'Loading Rates'!$B$1:$L$24,9,FALSE),'BMP P Tracking Table'!$AB422*VLOOKUP('BMP P Tracking Table'!$R422,'Loading Rates'!$B$1:$L$24,10,FALSE)),"")</f>
        <v/>
      </c>
      <c r="AF422" s="104" t="str">
        <f>IFERROR(MIN(2,IF('BMP P Tracking Table'!$W422="Total Pervious",(-(3630*'BMP P Tracking Table'!$V422+20.691*'BMP P Tracking Table'!$AB422)+SQRT((3630*'BMP P Tracking Table'!$V422+20.691*'BMP P Tracking Table'!$AB422)^2-(4*(996.798*'BMP P Tracking Table'!$AB422)*-'BMP P Tracking Table'!$AC422)))/(2*(996.798*'BMP P Tracking Table'!$AB422)),IF(SUM('BMP P Tracking Table'!$X422:$AA422)=0,'BMP P Tracking Table'!$AC422/(-3630*'BMP P Tracking Table'!$V422),(-(3630*'BMP P Tracking Table'!$V422+20.691*'BMP P Tracking Table'!$AA422-216.711*'BMP P Tracking Table'!$Z422-83.853*'BMP P Tracking Table'!$Y422-42.834*'BMP P Tracking Table'!$X422)+SQRT((3630*'BMP P Tracking Table'!$V422+20.691*'BMP P Tracking Table'!$AA422-216.711*'BMP P Tracking Table'!$Z422-83.853*'BMP P Tracking Table'!$Y422-42.834*'BMP P Tracking Table'!$X422)^2-(4*(149.919*'BMP P Tracking Table'!$X422+236.676*'BMP P Tracking Table'!$Y422+726*'BMP P Tracking Table'!$Z422+996.798*'BMP P Tracking Table'!$AA422)*-'BMP P Tracking Table'!$AC422)))/(2*(149.919*'BMP P Tracking Table'!$X422+236.676*'BMP P Tracking Table'!$Y422+726*'BMP P Tracking Table'!$Z422+996.798*'BMP P Tracking Table'!$AA422))))),"")</f>
        <v/>
      </c>
      <c r="AG422" s="104" t="str">
        <f>IFERROR((VLOOKUP(CONCATENATE('BMP P Tracking Table'!$U422," ",'BMP P Tracking Table'!$AD422),'Performance Curves'!$C$1:$L$46,_xlfn.SINGLE(MATCH('BMP P Tracking Table'!$AF422,'Performance Curves'!$D$1:$L$1,1))+2,FALSE)-VLOOKUP(CONCATENATE('BMP P Tracking Table'!$U422," ",'BMP P Tracking Table'!$AD422),'Performance Curves'!$C$1:$L$46,_xlfn.SINGLE(MATCH('BMP P Tracking Table'!$AF422,'Performance Curves'!$D$1:$L$1,1))+1,FALSE)),"")</f>
        <v/>
      </c>
      <c r="AH422" s="104" t="str">
        <f>IFERROR(('BMP P Tracking Table'!$AF422-INDEX('Performance Curves'!$D$1:$L$1,1,MATCH('BMP P Tracking Table'!$AF422,'Performance Curves'!$D$1:$L$1,1)))/(INDEX('Performance Curves'!$D$1:$L$1,1,MATCH('BMP P Tracking Table'!$AF422,'Performance Curves'!$D$1:$L$1,1)+1)-INDEX('Performance Curves'!$D$1:$L$1,1,MATCH('BMP P Tracking Table'!$AF422,'Performance Curves'!$D$1:$L$1,1))),"")</f>
        <v/>
      </c>
      <c r="AI422" s="103" t="str">
        <f>IFERROR(IF('BMP P Tracking Table'!$AF422=2,VLOOKUP(CONCATENATE('BMP P Tracking Table'!$U422," ",'BMP P Tracking Table'!$AD422),'Performance Curves'!$C$1:$L$46,_xlfn.SINGLE(MATCH('BMP P Tracking Table'!$AF422,'Performance Curves'!$D$1:$L$1,1))+1,FALSE),'BMP P Tracking Table'!$AG422*'BMP P Tracking Table'!$AH422+VLOOKUP(CONCATENATE('BMP P Tracking Table'!$U422," ",'BMP P Tracking Table'!$AD422),'Performance Curves'!$C$1:$L$46,_xlfn.SINGLE(MATCH('BMP P Tracking Table'!$AF422,'Performance Curves'!$D$1:$L$1,1))+1,FALSE)),"")</f>
        <v/>
      </c>
      <c r="AJ422" s="104" t="str">
        <f>IFERROR('BMP P Tracking Table'!$AI422*'BMP P Tracking Table'!$AE422,"")</f>
        <v/>
      </c>
      <c r="AK422" s="65"/>
      <c r="AL422" s="98"/>
      <c r="AM422" s="98"/>
      <c r="AN422" s="64">
        <v>1</v>
      </c>
      <c r="AO422" s="102" t="str">
        <f t="shared" si="41"/>
        <v/>
      </c>
      <c r="AP422" s="98"/>
      <c r="AQ422" s="98"/>
      <c r="AR422" s="98"/>
      <c r="AS422" s="98"/>
      <c r="AT422" s="98"/>
      <c r="AU422" s="98"/>
      <c r="AV422" s="98"/>
      <c r="AW422" s="65"/>
      <c r="AX422" s="99"/>
      <c r="AY422" s="99"/>
      <c r="AZ422" s="104" t="str">
        <f>IF('BMP P Tracking Table'!$AL422="Yes",IF('BMP P Tracking Table'!$AM422="No",'BMP P Tracking Table'!$V422*VLOOKUP('BMP P Tracking Table'!$R422,'Loading Rates'!$B$1:$L$24,4,FALSE)+IF('BMP P Tracking Table'!$W422="By HSG",'BMP P Tracking Table'!$X422*VLOOKUP('BMP P Tracking Table'!$R422,'Loading Rates'!$B$1:$L$24,6,FALSE)+'BMP P Tracking Table'!$Y422*VLOOKUP('BMP P Tracking Table'!$R422,'Loading Rates'!$B$1:$L$24,7,FALSE)+'BMP P Tracking Table'!$Z422*VLOOKUP('BMP P Tracking Table'!$R422,'Loading Rates'!$B$1:$L$24,8,FALSE)+'BMP P Tracking Table'!$AA422*VLOOKUP('BMP P Tracking Table'!$R422,'Loading Rates'!$B$1:$L$24,9,FALSE),'BMP P Tracking Table'!$AB422*VLOOKUP('BMP P Tracking Table'!$R422,'Loading Rates'!$B$1:$L$24,10,FALSE)),'BMP P Tracking Table'!$AP422*VLOOKUP('BMP P Tracking Table'!$R422,'Loading Rates'!$B$1:$L$24,4,FALSE)+IF('BMP P Tracking Table'!$AQ422="By HSG",'BMP P Tracking Table'!$AR422*VLOOKUP('BMP P Tracking Table'!$R422,'Loading Rates'!$B$1:$L$24,6,FALSE)+'BMP P Tracking Table'!$AS422*VLOOKUP('BMP P Tracking Table'!$R422,'Loading Rates'!$B$1:$L$24,7,FALSE)+'BMP P Tracking Table'!$AT422*VLOOKUP('BMP P Tracking Table'!$R422,'Loading Rates'!$B$1:$L$24,8,FALSE)+'BMP P Tracking Table'!$AU422*VLOOKUP('BMP P Tracking Table'!$R422,'Loading Rates'!$B$1:$L$24,9,FALSE),'BMP P Tracking Table'!$AV422*VLOOKUP('BMP P Tracking Table'!$R422,'Loading Rates'!$B$1:$L$24,10,FALSE))),"")</f>
        <v/>
      </c>
      <c r="BA422" s="104" t="str">
        <f>IFERROR(IF('BMP P Tracking Table'!$AM422="Yes",MIN(2,IF('BMP P Tracking Table'!$AQ422="Total Pervious",(-(3630*'BMP P Tracking Table'!$AP422+20.691*'BMP P Tracking Table'!$AV422)+SQRT((3630*'BMP P Tracking Table'!$AP422+20.691*'BMP P Tracking Table'!$AV422)^2-(4*(996.798*'BMP P Tracking Table'!$AV422)*-'BMP P Tracking Table'!$AX422)))/(2*(996.798*'BMP P Tracking Table'!$AV422)),IF(SUM('BMP P Tracking Table'!$AR422:$AU422)=0,'BMP P Tracking Table'!$AV422/(-3630*'BMP P Tracking Table'!$AP422),(-(3630*'BMP P Tracking Table'!$AP422+20.691*'BMP P Tracking Table'!$AU422-216.711*'BMP P Tracking Table'!$AT422-83.853*'BMP P Tracking Table'!$AS422-42.834*'BMP P Tracking Table'!$AR422)+SQRT((3630*'BMP P Tracking Table'!$AP422+20.691*'BMP P Tracking Table'!$AU422-216.711*'BMP P Tracking Table'!$AT422-83.853*'BMP P Tracking Table'!$AS422-42.834*'BMP P Tracking Table'!$AR422)^2-(4*(149.919*'BMP P Tracking Table'!$AR422+236.676*'BMP P Tracking Table'!$AS422+726*'BMP P Tracking Table'!$AT422+996.798*'BMP P Tracking Table'!$AU422)*-'BMP P Tracking Table'!$AX422)))/(2*(149.919*'BMP P Tracking Table'!$AR422+236.676*'BMP P Tracking Table'!$AS422+726*'BMP P Tracking Table'!$AT422+996.798*'BMP P Tracking Table'!$AU422))))),MIN(2,IF('BMP P Tracking Table'!$AQ422="Total Pervious",(-(3630*'BMP P Tracking Table'!$V422+20.691*'BMP P Tracking Table'!$AB422)+SQRT((3630*'BMP P Tracking Table'!$V422+20.691*'BMP P Tracking Table'!$AB422)^2-(4*(996.798*'BMP P Tracking Table'!$AB422)*-'BMP P Tracking Table'!$AX422)))/(2*(996.798*'BMP P Tracking Table'!$AB422)),IF(SUM('BMP P Tracking Table'!$X422:$AA422)=0,'BMP P Tracking Table'!$AX422/(-3630*'BMP P Tracking Table'!$V422),(-(3630*'BMP P Tracking Table'!$V422+20.691*'BMP P Tracking Table'!$AA422-216.711*'BMP P Tracking Table'!$Z422-83.853*'BMP P Tracking Table'!$Y422-42.834*'BMP P Tracking Table'!$X422)+SQRT((3630*'BMP P Tracking Table'!$V422+20.691*'BMP P Tracking Table'!$AA422-216.711*'BMP P Tracking Table'!$Z422-83.853*'BMP P Tracking Table'!$Y422-42.834*'BMP P Tracking Table'!$X422)^2-(4*(149.919*'BMP P Tracking Table'!$X422+236.676*'BMP P Tracking Table'!$Y422+726*'BMP P Tracking Table'!$Z422+996.798*'BMP P Tracking Table'!$AA422)*-'BMP P Tracking Table'!$AX422)))/(2*(149.919*'BMP P Tracking Table'!$X422+236.676*'BMP P Tracking Table'!$Y422+726*'BMP P Tracking Table'!$Z422+996.798*'BMP P Tracking Table'!$AA422)))))),"")</f>
        <v/>
      </c>
      <c r="BB422" s="102" t="str">
        <f>IFERROR((VLOOKUP(CONCATENATE('BMP P Tracking Table'!$AW422," ",'BMP P Tracking Table'!$AY422),'Performance Curves'!$C$1:$L$46,_xlfn.SINGLE(MATCH('BMP P Tracking Table'!$BA422,'Performance Curves'!$D$1:$L$1,1))+2,FALSE)-VLOOKUP(CONCATENATE('BMP P Tracking Table'!$AW422," ",'BMP P Tracking Table'!$AY422),'Performance Curves'!$C$1:$L$46,_xlfn.SINGLE(MATCH('BMP P Tracking Table'!$BA422,'Performance Curves'!$D$1:$L$1,1))+1,FALSE)),"")</f>
        <v/>
      </c>
      <c r="BC422" s="102" t="str">
        <f>IFERROR(('BMP P Tracking Table'!$BA422-INDEX('Performance Curves'!$D$1:$L$1,1,MATCH('BMP P Tracking Table'!$BA422,'Performance Curves'!$D$1:$L$1,1)))/(INDEX('Performance Curves'!$D$1:$L$1,1,MATCH('BMP P Tracking Table'!$BA422,'Performance Curves'!$D$1:$L$1,1)+1)-INDEX('Performance Curves'!$D$1:$L$1,1,MATCH('BMP P Tracking Table'!$BA422,'Performance Curves'!$D$1:$L$1,1))),"")</f>
        <v/>
      </c>
      <c r="BD422" s="103" t="str" cm="1">
        <f t="array" ref="BD422">IFERROR(IF('BMP P Tracking Table'!$BA422=2,VLOOKUP(CONCATENATE('BMP P Tracking Table'!$AW422," ",'BMP P Tracking Table'!$AY422),'Performance Curves'!$C$1:$L$44,_xlfn.SINGLE(MATCH('BMP P Tracking Table'!$BA422,'Performance Curves'!$D$1:$L$1,1))+1,FALSE),'BMP P Tracking Table'!$BB422*'BMP P Tracking Table'!$BC422+VLOOKUP(CONCATENATE('BMP P Tracking Table'!$AW422," ",'BMP P Tracking Table'!$AY422),'Performance Curves'!$C$1:$L$44,_xlfn.SINGLE(MATCH('BMP P Tracking Table'!$BA422,'Performance Curves'!$D$1:$L$1,1))+1,FALSE)),"")</f>
        <v/>
      </c>
      <c r="BE422" s="104" t="str">
        <f>IFERROR('BMP P Tracking Table'!$BD422*'BMP P Tracking Table'!$AZ422,"")</f>
        <v/>
      </c>
      <c r="BF422" s="98"/>
      <c r="BG422" s="37">
        <f t="shared" si="42"/>
        <v>0</v>
      </c>
    </row>
    <row r="423" spans="2:59" s="36" customFormat="1">
      <c r="B423" s="65"/>
      <c r="C423" s="65"/>
      <c r="D423" s="65"/>
      <c r="E423" s="65"/>
      <c r="F423" s="94"/>
      <c r="G423" s="94"/>
      <c r="H423" s="65"/>
      <c r="I423" s="65"/>
      <c r="J423" s="65"/>
      <c r="K423" s="95"/>
      <c r="L423" s="65"/>
      <c r="M423" s="65"/>
      <c r="N423" s="65"/>
      <c r="O423" s="65"/>
      <c r="P423" s="65"/>
      <c r="Q423" s="65"/>
      <c r="R423" s="65" t="str">
        <f>IFERROR(VLOOKUP('BMP P Tracking Table'!$Q423,Dropdowns!$C$2:$E$15,3,FALSE),"")</f>
        <v/>
      </c>
      <c r="S423" s="65" t="str">
        <f>IFERROR(VLOOKUP('BMP P Tracking Table'!$R423,Dropdowns!$Q$3:$R$23,2,FALSE),"")</f>
        <v/>
      </c>
      <c r="T423" s="65"/>
      <c r="U423" s="65"/>
      <c r="V423" s="65"/>
      <c r="W423" s="65"/>
      <c r="X423" s="65"/>
      <c r="Y423" s="65"/>
      <c r="Z423" s="65"/>
      <c r="AA423" s="65"/>
      <c r="AB423" s="65"/>
      <c r="AC423" s="97"/>
      <c r="AD423" s="65"/>
      <c r="AE423" s="104" t="str">
        <f>IFERROR('BMP P Tracking Table'!$V423*VLOOKUP('BMP P Tracking Table'!$R423,'Loading Rates'!$B$1:$L$24,4,FALSE)+IF('BMP P Tracking Table'!$W423="By HSG",'BMP P Tracking Table'!$X423*VLOOKUP('BMP P Tracking Table'!$R423,'Loading Rates'!$B$1:$L$24,6,FALSE)+'BMP P Tracking Table'!$Y423*VLOOKUP('BMP P Tracking Table'!$R423,'Loading Rates'!$B$1:$L$24,7,FALSE)+'BMP P Tracking Table'!$Z423*VLOOKUP('BMP P Tracking Table'!$R423,'Loading Rates'!$B$1:$L$24,8,FALSE)+'BMP P Tracking Table'!$AA423*VLOOKUP('BMP P Tracking Table'!$R423,'Loading Rates'!$B$1:$L$24,9,FALSE),'BMP P Tracking Table'!$AB423*VLOOKUP('BMP P Tracking Table'!$R423,'Loading Rates'!$B$1:$L$24,10,FALSE)),"")</f>
        <v/>
      </c>
      <c r="AF423" s="104" t="str">
        <f>IFERROR(MIN(2,IF('BMP P Tracking Table'!$W423="Total Pervious",(-(3630*'BMP P Tracking Table'!$V423+20.691*'BMP P Tracking Table'!$AB423)+SQRT((3630*'BMP P Tracking Table'!$V423+20.691*'BMP P Tracking Table'!$AB423)^2-(4*(996.798*'BMP P Tracking Table'!$AB423)*-'BMP P Tracking Table'!$AC423)))/(2*(996.798*'BMP P Tracking Table'!$AB423)),IF(SUM('BMP P Tracking Table'!$X423:$AA423)=0,'BMP P Tracking Table'!$AC423/(-3630*'BMP P Tracking Table'!$V423),(-(3630*'BMP P Tracking Table'!$V423+20.691*'BMP P Tracking Table'!$AA423-216.711*'BMP P Tracking Table'!$Z423-83.853*'BMP P Tracking Table'!$Y423-42.834*'BMP P Tracking Table'!$X423)+SQRT((3630*'BMP P Tracking Table'!$V423+20.691*'BMP P Tracking Table'!$AA423-216.711*'BMP P Tracking Table'!$Z423-83.853*'BMP P Tracking Table'!$Y423-42.834*'BMP P Tracking Table'!$X423)^2-(4*(149.919*'BMP P Tracking Table'!$X423+236.676*'BMP P Tracking Table'!$Y423+726*'BMP P Tracking Table'!$Z423+996.798*'BMP P Tracking Table'!$AA423)*-'BMP P Tracking Table'!$AC423)))/(2*(149.919*'BMP P Tracking Table'!$X423+236.676*'BMP P Tracking Table'!$Y423+726*'BMP P Tracking Table'!$Z423+996.798*'BMP P Tracking Table'!$AA423))))),"")</f>
        <v/>
      </c>
      <c r="AG423" s="104" t="str">
        <f>IFERROR((VLOOKUP(CONCATENATE('BMP P Tracking Table'!$U423," ",'BMP P Tracking Table'!$AD423),'Performance Curves'!$C$1:$L$46,_xlfn.SINGLE(MATCH('BMP P Tracking Table'!$AF423,'Performance Curves'!$D$1:$L$1,1))+2,FALSE)-VLOOKUP(CONCATENATE('BMP P Tracking Table'!$U423," ",'BMP P Tracking Table'!$AD423),'Performance Curves'!$C$1:$L$46,_xlfn.SINGLE(MATCH('BMP P Tracking Table'!$AF423,'Performance Curves'!$D$1:$L$1,1))+1,FALSE)),"")</f>
        <v/>
      </c>
      <c r="AH423" s="104" t="str">
        <f>IFERROR(('BMP P Tracking Table'!$AF423-INDEX('Performance Curves'!$D$1:$L$1,1,MATCH('BMP P Tracking Table'!$AF423,'Performance Curves'!$D$1:$L$1,1)))/(INDEX('Performance Curves'!$D$1:$L$1,1,MATCH('BMP P Tracking Table'!$AF423,'Performance Curves'!$D$1:$L$1,1)+1)-INDEX('Performance Curves'!$D$1:$L$1,1,MATCH('BMP P Tracking Table'!$AF423,'Performance Curves'!$D$1:$L$1,1))),"")</f>
        <v/>
      </c>
      <c r="AI423" s="103" t="str">
        <f>IFERROR(IF('BMP P Tracking Table'!$AF423=2,VLOOKUP(CONCATENATE('BMP P Tracking Table'!$U423," ",'BMP P Tracking Table'!$AD423),'Performance Curves'!$C$1:$L$46,_xlfn.SINGLE(MATCH('BMP P Tracking Table'!$AF423,'Performance Curves'!$D$1:$L$1,1))+1,FALSE),'BMP P Tracking Table'!$AG423*'BMP P Tracking Table'!$AH423+VLOOKUP(CONCATENATE('BMP P Tracking Table'!$U423," ",'BMP P Tracking Table'!$AD423),'Performance Curves'!$C$1:$L$46,_xlfn.SINGLE(MATCH('BMP P Tracking Table'!$AF423,'Performance Curves'!$D$1:$L$1,1))+1,FALSE)),"")</f>
        <v/>
      </c>
      <c r="AJ423" s="104" t="str">
        <f>IFERROR('BMP P Tracking Table'!$AI423*'BMP P Tracking Table'!$AE423,"")</f>
        <v/>
      </c>
      <c r="AK423" s="65"/>
      <c r="AL423" s="98"/>
      <c r="AM423" s="98"/>
      <c r="AN423" s="64">
        <v>1</v>
      </c>
      <c r="AO423" s="102" t="str">
        <f t="shared" si="41"/>
        <v/>
      </c>
      <c r="AP423" s="98"/>
      <c r="AQ423" s="98"/>
      <c r="AR423" s="98"/>
      <c r="AS423" s="98"/>
      <c r="AT423" s="98"/>
      <c r="AU423" s="98"/>
      <c r="AV423" s="98"/>
      <c r="AW423" s="65"/>
      <c r="AX423" s="99"/>
      <c r="AY423" s="99"/>
      <c r="AZ423" s="104" t="str">
        <f>IF('BMP P Tracking Table'!$AL423="Yes",IF('BMP P Tracking Table'!$AM423="No",'BMP P Tracking Table'!$V423*VLOOKUP('BMP P Tracking Table'!$R423,'Loading Rates'!$B$1:$L$24,4,FALSE)+IF('BMP P Tracking Table'!$W423="By HSG",'BMP P Tracking Table'!$X423*VLOOKUP('BMP P Tracking Table'!$R423,'Loading Rates'!$B$1:$L$24,6,FALSE)+'BMP P Tracking Table'!$Y423*VLOOKUP('BMP P Tracking Table'!$R423,'Loading Rates'!$B$1:$L$24,7,FALSE)+'BMP P Tracking Table'!$Z423*VLOOKUP('BMP P Tracking Table'!$R423,'Loading Rates'!$B$1:$L$24,8,FALSE)+'BMP P Tracking Table'!$AA423*VLOOKUP('BMP P Tracking Table'!$R423,'Loading Rates'!$B$1:$L$24,9,FALSE),'BMP P Tracking Table'!$AB423*VLOOKUP('BMP P Tracking Table'!$R423,'Loading Rates'!$B$1:$L$24,10,FALSE)),'BMP P Tracking Table'!$AP423*VLOOKUP('BMP P Tracking Table'!$R423,'Loading Rates'!$B$1:$L$24,4,FALSE)+IF('BMP P Tracking Table'!$AQ423="By HSG",'BMP P Tracking Table'!$AR423*VLOOKUP('BMP P Tracking Table'!$R423,'Loading Rates'!$B$1:$L$24,6,FALSE)+'BMP P Tracking Table'!$AS423*VLOOKUP('BMP P Tracking Table'!$R423,'Loading Rates'!$B$1:$L$24,7,FALSE)+'BMP P Tracking Table'!$AT423*VLOOKUP('BMP P Tracking Table'!$R423,'Loading Rates'!$B$1:$L$24,8,FALSE)+'BMP P Tracking Table'!$AU423*VLOOKUP('BMP P Tracking Table'!$R423,'Loading Rates'!$B$1:$L$24,9,FALSE),'BMP P Tracking Table'!$AV423*VLOOKUP('BMP P Tracking Table'!$R423,'Loading Rates'!$B$1:$L$24,10,FALSE))),"")</f>
        <v/>
      </c>
      <c r="BA423" s="104" t="str">
        <f>IFERROR(IF('BMP P Tracking Table'!$AM423="Yes",MIN(2,IF('BMP P Tracking Table'!$AQ423="Total Pervious",(-(3630*'BMP P Tracking Table'!$AP423+20.691*'BMP P Tracking Table'!$AV423)+SQRT((3630*'BMP P Tracking Table'!$AP423+20.691*'BMP P Tracking Table'!$AV423)^2-(4*(996.798*'BMP P Tracking Table'!$AV423)*-'BMP P Tracking Table'!$AX423)))/(2*(996.798*'BMP P Tracking Table'!$AV423)),IF(SUM('BMP P Tracking Table'!$AR423:$AU423)=0,'BMP P Tracking Table'!$AV423/(-3630*'BMP P Tracking Table'!$AP423),(-(3630*'BMP P Tracking Table'!$AP423+20.691*'BMP P Tracking Table'!$AU423-216.711*'BMP P Tracking Table'!$AT423-83.853*'BMP P Tracking Table'!$AS423-42.834*'BMP P Tracking Table'!$AR423)+SQRT((3630*'BMP P Tracking Table'!$AP423+20.691*'BMP P Tracking Table'!$AU423-216.711*'BMP P Tracking Table'!$AT423-83.853*'BMP P Tracking Table'!$AS423-42.834*'BMP P Tracking Table'!$AR423)^2-(4*(149.919*'BMP P Tracking Table'!$AR423+236.676*'BMP P Tracking Table'!$AS423+726*'BMP P Tracking Table'!$AT423+996.798*'BMP P Tracking Table'!$AU423)*-'BMP P Tracking Table'!$AX423)))/(2*(149.919*'BMP P Tracking Table'!$AR423+236.676*'BMP P Tracking Table'!$AS423+726*'BMP P Tracking Table'!$AT423+996.798*'BMP P Tracking Table'!$AU423))))),MIN(2,IF('BMP P Tracking Table'!$AQ423="Total Pervious",(-(3630*'BMP P Tracking Table'!$V423+20.691*'BMP P Tracking Table'!$AB423)+SQRT((3630*'BMP P Tracking Table'!$V423+20.691*'BMP P Tracking Table'!$AB423)^2-(4*(996.798*'BMP P Tracking Table'!$AB423)*-'BMP P Tracking Table'!$AX423)))/(2*(996.798*'BMP P Tracking Table'!$AB423)),IF(SUM('BMP P Tracking Table'!$X423:$AA423)=0,'BMP P Tracking Table'!$AX423/(-3630*'BMP P Tracking Table'!$V423),(-(3630*'BMP P Tracking Table'!$V423+20.691*'BMP P Tracking Table'!$AA423-216.711*'BMP P Tracking Table'!$Z423-83.853*'BMP P Tracking Table'!$Y423-42.834*'BMP P Tracking Table'!$X423)+SQRT((3630*'BMP P Tracking Table'!$V423+20.691*'BMP P Tracking Table'!$AA423-216.711*'BMP P Tracking Table'!$Z423-83.853*'BMP P Tracking Table'!$Y423-42.834*'BMP P Tracking Table'!$X423)^2-(4*(149.919*'BMP P Tracking Table'!$X423+236.676*'BMP P Tracking Table'!$Y423+726*'BMP P Tracking Table'!$Z423+996.798*'BMP P Tracking Table'!$AA423)*-'BMP P Tracking Table'!$AX423)))/(2*(149.919*'BMP P Tracking Table'!$X423+236.676*'BMP P Tracking Table'!$Y423+726*'BMP P Tracking Table'!$Z423+996.798*'BMP P Tracking Table'!$AA423)))))),"")</f>
        <v/>
      </c>
      <c r="BB423" s="102" t="str">
        <f>IFERROR((VLOOKUP(CONCATENATE('BMP P Tracking Table'!$AW423," ",'BMP P Tracking Table'!$AY423),'Performance Curves'!$C$1:$L$46,_xlfn.SINGLE(MATCH('BMP P Tracking Table'!$BA423,'Performance Curves'!$D$1:$L$1,1))+2,FALSE)-VLOOKUP(CONCATENATE('BMP P Tracking Table'!$AW423," ",'BMP P Tracking Table'!$AY423),'Performance Curves'!$C$1:$L$46,_xlfn.SINGLE(MATCH('BMP P Tracking Table'!$BA423,'Performance Curves'!$D$1:$L$1,1))+1,FALSE)),"")</f>
        <v/>
      </c>
      <c r="BC423" s="102" t="str">
        <f>IFERROR(('BMP P Tracking Table'!$BA423-INDEX('Performance Curves'!$D$1:$L$1,1,MATCH('BMP P Tracking Table'!$BA423,'Performance Curves'!$D$1:$L$1,1)))/(INDEX('Performance Curves'!$D$1:$L$1,1,MATCH('BMP P Tracking Table'!$BA423,'Performance Curves'!$D$1:$L$1,1)+1)-INDEX('Performance Curves'!$D$1:$L$1,1,MATCH('BMP P Tracking Table'!$BA423,'Performance Curves'!$D$1:$L$1,1))),"")</f>
        <v/>
      </c>
      <c r="BD423" s="103" t="str" cm="1">
        <f t="array" ref="BD423">IFERROR(IF('BMP P Tracking Table'!$BA423=2,VLOOKUP(CONCATENATE('BMP P Tracking Table'!$AW423," ",'BMP P Tracking Table'!$AY423),'Performance Curves'!$C$1:$L$44,_xlfn.SINGLE(MATCH('BMP P Tracking Table'!$BA423,'Performance Curves'!$D$1:$L$1,1))+1,FALSE),'BMP P Tracking Table'!$BB423*'BMP P Tracking Table'!$BC423+VLOOKUP(CONCATENATE('BMP P Tracking Table'!$AW423," ",'BMP P Tracking Table'!$AY423),'Performance Curves'!$C$1:$L$44,_xlfn.SINGLE(MATCH('BMP P Tracking Table'!$BA423,'Performance Curves'!$D$1:$L$1,1))+1,FALSE)),"")</f>
        <v/>
      </c>
      <c r="BE423" s="104" t="str">
        <f>IFERROR('BMP P Tracking Table'!$BD423*'BMP P Tracking Table'!$AZ423,"")</f>
        <v/>
      </c>
      <c r="BF423" s="98"/>
      <c r="BG423" s="37">
        <f t="shared" si="42"/>
        <v>0</v>
      </c>
    </row>
    <row r="424" spans="2:59" s="36" customFormat="1">
      <c r="B424" s="65"/>
      <c r="C424" s="65"/>
      <c r="D424" s="65"/>
      <c r="E424" s="65"/>
      <c r="F424" s="94"/>
      <c r="G424" s="94"/>
      <c r="H424" s="65"/>
      <c r="I424" s="65"/>
      <c r="J424" s="65"/>
      <c r="K424" s="95"/>
      <c r="L424" s="65"/>
      <c r="M424" s="65"/>
      <c r="N424" s="65"/>
      <c r="O424" s="65"/>
      <c r="P424" s="65"/>
      <c r="Q424" s="65"/>
      <c r="R424" s="65" t="str">
        <f>IFERROR(VLOOKUP('BMP P Tracking Table'!$Q424,Dropdowns!$C$2:$E$15,3,FALSE),"")</f>
        <v/>
      </c>
      <c r="S424" s="65" t="str">
        <f>IFERROR(VLOOKUP('BMP P Tracking Table'!$R424,Dropdowns!$Q$3:$R$23,2,FALSE),"")</f>
        <v/>
      </c>
      <c r="T424" s="65"/>
      <c r="U424" s="65"/>
      <c r="V424" s="65"/>
      <c r="W424" s="65"/>
      <c r="X424" s="65"/>
      <c r="Y424" s="65"/>
      <c r="Z424" s="65"/>
      <c r="AA424" s="65"/>
      <c r="AB424" s="65"/>
      <c r="AC424" s="97"/>
      <c r="AD424" s="65"/>
      <c r="AE424" s="104" t="str">
        <f>IFERROR('BMP P Tracking Table'!$V424*VLOOKUP('BMP P Tracking Table'!$R424,'Loading Rates'!$B$1:$L$24,4,FALSE)+IF('BMP P Tracking Table'!$W424="By HSG",'BMP P Tracking Table'!$X424*VLOOKUP('BMP P Tracking Table'!$R424,'Loading Rates'!$B$1:$L$24,6,FALSE)+'BMP P Tracking Table'!$Y424*VLOOKUP('BMP P Tracking Table'!$R424,'Loading Rates'!$B$1:$L$24,7,FALSE)+'BMP P Tracking Table'!$Z424*VLOOKUP('BMP P Tracking Table'!$R424,'Loading Rates'!$B$1:$L$24,8,FALSE)+'BMP P Tracking Table'!$AA424*VLOOKUP('BMP P Tracking Table'!$R424,'Loading Rates'!$B$1:$L$24,9,FALSE),'BMP P Tracking Table'!$AB424*VLOOKUP('BMP P Tracking Table'!$R424,'Loading Rates'!$B$1:$L$24,10,FALSE)),"")</f>
        <v/>
      </c>
      <c r="AF424" s="104" t="str">
        <f>IFERROR(MIN(2,IF('BMP P Tracking Table'!$W424="Total Pervious",(-(3630*'BMP P Tracking Table'!$V424+20.691*'BMP P Tracking Table'!$AB424)+SQRT((3630*'BMP P Tracking Table'!$V424+20.691*'BMP P Tracking Table'!$AB424)^2-(4*(996.798*'BMP P Tracking Table'!$AB424)*-'BMP P Tracking Table'!$AC424)))/(2*(996.798*'BMP P Tracking Table'!$AB424)),IF(SUM('BMP P Tracking Table'!$X424:$AA424)=0,'BMP P Tracking Table'!$AC424/(-3630*'BMP P Tracking Table'!$V424),(-(3630*'BMP P Tracking Table'!$V424+20.691*'BMP P Tracking Table'!$AA424-216.711*'BMP P Tracking Table'!$Z424-83.853*'BMP P Tracking Table'!$Y424-42.834*'BMP P Tracking Table'!$X424)+SQRT((3630*'BMP P Tracking Table'!$V424+20.691*'BMP P Tracking Table'!$AA424-216.711*'BMP P Tracking Table'!$Z424-83.853*'BMP P Tracking Table'!$Y424-42.834*'BMP P Tracking Table'!$X424)^2-(4*(149.919*'BMP P Tracking Table'!$X424+236.676*'BMP P Tracking Table'!$Y424+726*'BMP P Tracking Table'!$Z424+996.798*'BMP P Tracking Table'!$AA424)*-'BMP P Tracking Table'!$AC424)))/(2*(149.919*'BMP P Tracking Table'!$X424+236.676*'BMP P Tracking Table'!$Y424+726*'BMP P Tracking Table'!$Z424+996.798*'BMP P Tracking Table'!$AA424))))),"")</f>
        <v/>
      </c>
      <c r="AG424" s="104" t="str">
        <f>IFERROR((VLOOKUP(CONCATENATE('BMP P Tracking Table'!$U424," ",'BMP P Tracking Table'!$AD424),'Performance Curves'!$C$1:$L$46,_xlfn.SINGLE(MATCH('BMP P Tracking Table'!$AF424,'Performance Curves'!$D$1:$L$1,1))+2,FALSE)-VLOOKUP(CONCATENATE('BMP P Tracking Table'!$U424," ",'BMP P Tracking Table'!$AD424),'Performance Curves'!$C$1:$L$46,_xlfn.SINGLE(MATCH('BMP P Tracking Table'!$AF424,'Performance Curves'!$D$1:$L$1,1))+1,FALSE)),"")</f>
        <v/>
      </c>
      <c r="AH424" s="104" t="str">
        <f>IFERROR(('BMP P Tracking Table'!$AF424-INDEX('Performance Curves'!$D$1:$L$1,1,MATCH('BMP P Tracking Table'!$AF424,'Performance Curves'!$D$1:$L$1,1)))/(INDEX('Performance Curves'!$D$1:$L$1,1,MATCH('BMP P Tracking Table'!$AF424,'Performance Curves'!$D$1:$L$1,1)+1)-INDEX('Performance Curves'!$D$1:$L$1,1,MATCH('BMP P Tracking Table'!$AF424,'Performance Curves'!$D$1:$L$1,1))),"")</f>
        <v/>
      </c>
      <c r="AI424" s="103" t="str">
        <f>IFERROR(IF('BMP P Tracking Table'!$AF424=2,VLOOKUP(CONCATENATE('BMP P Tracking Table'!$U424," ",'BMP P Tracking Table'!$AD424),'Performance Curves'!$C$1:$L$46,_xlfn.SINGLE(MATCH('BMP P Tracking Table'!$AF424,'Performance Curves'!$D$1:$L$1,1))+1,FALSE),'BMP P Tracking Table'!$AG424*'BMP P Tracking Table'!$AH424+VLOOKUP(CONCATENATE('BMP P Tracking Table'!$U424," ",'BMP P Tracking Table'!$AD424),'Performance Curves'!$C$1:$L$46,_xlfn.SINGLE(MATCH('BMP P Tracking Table'!$AF424,'Performance Curves'!$D$1:$L$1,1))+1,FALSE)),"")</f>
        <v/>
      </c>
      <c r="AJ424" s="104" t="str">
        <f>IFERROR('BMP P Tracking Table'!$AI424*'BMP P Tracking Table'!$AE424,"")</f>
        <v/>
      </c>
      <c r="AK424" s="65"/>
      <c r="AL424" s="98"/>
      <c r="AM424" s="98"/>
      <c r="AN424" s="64">
        <v>1</v>
      </c>
      <c r="AO424" s="102" t="str">
        <f t="shared" si="41"/>
        <v/>
      </c>
      <c r="AP424" s="98"/>
      <c r="AQ424" s="98"/>
      <c r="AR424" s="98"/>
      <c r="AS424" s="98"/>
      <c r="AT424" s="98"/>
      <c r="AU424" s="98"/>
      <c r="AV424" s="98"/>
      <c r="AW424" s="65"/>
      <c r="AX424" s="99"/>
      <c r="AY424" s="99"/>
      <c r="AZ424" s="104" t="str">
        <f>IF('BMP P Tracking Table'!$AL424="Yes",IF('BMP P Tracking Table'!$AM424="No",'BMP P Tracking Table'!$V424*VLOOKUP('BMP P Tracking Table'!$R424,'Loading Rates'!$B$1:$L$24,4,FALSE)+IF('BMP P Tracking Table'!$W424="By HSG",'BMP P Tracking Table'!$X424*VLOOKUP('BMP P Tracking Table'!$R424,'Loading Rates'!$B$1:$L$24,6,FALSE)+'BMP P Tracking Table'!$Y424*VLOOKUP('BMP P Tracking Table'!$R424,'Loading Rates'!$B$1:$L$24,7,FALSE)+'BMP P Tracking Table'!$Z424*VLOOKUP('BMP P Tracking Table'!$R424,'Loading Rates'!$B$1:$L$24,8,FALSE)+'BMP P Tracking Table'!$AA424*VLOOKUP('BMP P Tracking Table'!$R424,'Loading Rates'!$B$1:$L$24,9,FALSE),'BMP P Tracking Table'!$AB424*VLOOKUP('BMP P Tracking Table'!$R424,'Loading Rates'!$B$1:$L$24,10,FALSE)),'BMP P Tracking Table'!$AP424*VLOOKUP('BMP P Tracking Table'!$R424,'Loading Rates'!$B$1:$L$24,4,FALSE)+IF('BMP P Tracking Table'!$AQ424="By HSG",'BMP P Tracking Table'!$AR424*VLOOKUP('BMP P Tracking Table'!$R424,'Loading Rates'!$B$1:$L$24,6,FALSE)+'BMP P Tracking Table'!$AS424*VLOOKUP('BMP P Tracking Table'!$R424,'Loading Rates'!$B$1:$L$24,7,FALSE)+'BMP P Tracking Table'!$AT424*VLOOKUP('BMP P Tracking Table'!$R424,'Loading Rates'!$B$1:$L$24,8,FALSE)+'BMP P Tracking Table'!$AU424*VLOOKUP('BMP P Tracking Table'!$R424,'Loading Rates'!$B$1:$L$24,9,FALSE),'BMP P Tracking Table'!$AV424*VLOOKUP('BMP P Tracking Table'!$R424,'Loading Rates'!$B$1:$L$24,10,FALSE))),"")</f>
        <v/>
      </c>
      <c r="BA424" s="104" t="str">
        <f>IFERROR(IF('BMP P Tracking Table'!$AM424="Yes",MIN(2,IF('BMP P Tracking Table'!$AQ424="Total Pervious",(-(3630*'BMP P Tracking Table'!$AP424+20.691*'BMP P Tracking Table'!$AV424)+SQRT((3630*'BMP P Tracking Table'!$AP424+20.691*'BMP P Tracking Table'!$AV424)^2-(4*(996.798*'BMP P Tracking Table'!$AV424)*-'BMP P Tracking Table'!$AX424)))/(2*(996.798*'BMP P Tracking Table'!$AV424)),IF(SUM('BMP P Tracking Table'!$AR424:$AU424)=0,'BMP P Tracking Table'!$AV424/(-3630*'BMP P Tracking Table'!$AP424),(-(3630*'BMP P Tracking Table'!$AP424+20.691*'BMP P Tracking Table'!$AU424-216.711*'BMP P Tracking Table'!$AT424-83.853*'BMP P Tracking Table'!$AS424-42.834*'BMP P Tracking Table'!$AR424)+SQRT((3630*'BMP P Tracking Table'!$AP424+20.691*'BMP P Tracking Table'!$AU424-216.711*'BMP P Tracking Table'!$AT424-83.853*'BMP P Tracking Table'!$AS424-42.834*'BMP P Tracking Table'!$AR424)^2-(4*(149.919*'BMP P Tracking Table'!$AR424+236.676*'BMP P Tracking Table'!$AS424+726*'BMP P Tracking Table'!$AT424+996.798*'BMP P Tracking Table'!$AU424)*-'BMP P Tracking Table'!$AX424)))/(2*(149.919*'BMP P Tracking Table'!$AR424+236.676*'BMP P Tracking Table'!$AS424+726*'BMP P Tracking Table'!$AT424+996.798*'BMP P Tracking Table'!$AU424))))),MIN(2,IF('BMP P Tracking Table'!$AQ424="Total Pervious",(-(3630*'BMP P Tracking Table'!$V424+20.691*'BMP P Tracking Table'!$AB424)+SQRT((3630*'BMP P Tracking Table'!$V424+20.691*'BMP P Tracking Table'!$AB424)^2-(4*(996.798*'BMP P Tracking Table'!$AB424)*-'BMP P Tracking Table'!$AX424)))/(2*(996.798*'BMP P Tracking Table'!$AB424)),IF(SUM('BMP P Tracking Table'!$X424:$AA424)=0,'BMP P Tracking Table'!$AX424/(-3630*'BMP P Tracking Table'!$V424),(-(3630*'BMP P Tracking Table'!$V424+20.691*'BMP P Tracking Table'!$AA424-216.711*'BMP P Tracking Table'!$Z424-83.853*'BMP P Tracking Table'!$Y424-42.834*'BMP P Tracking Table'!$X424)+SQRT((3630*'BMP P Tracking Table'!$V424+20.691*'BMP P Tracking Table'!$AA424-216.711*'BMP P Tracking Table'!$Z424-83.853*'BMP P Tracking Table'!$Y424-42.834*'BMP P Tracking Table'!$X424)^2-(4*(149.919*'BMP P Tracking Table'!$X424+236.676*'BMP P Tracking Table'!$Y424+726*'BMP P Tracking Table'!$Z424+996.798*'BMP P Tracking Table'!$AA424)*-'BMP P Tracking Table'!$AX424)))/(2*(149.919*'BMP P Tracking Table'!$X424+236.676*'BMP P Tracking Table'!$Y424+726*'BMP P Tracking Table'!$Z424+996.798*'BMP P Tracking Table'!$AA424)))))),"")</f>
        <v/>
      </c>
      <c r="BB424" s="102" t="str">
        <f>IFERROR((VLOOKUP(CONCATENATE('BMP P Tracking Table'!$AW424," ",'BMP P Tracking Table'!$AY424),'Performance Curves'!$C$1:$L$46,_xlfn.SINGLE(MATCH('BMP P Tracking Table'!$BA424,'Performance Curves'!$D$1:$L$1,1))+2,FALSE)-VLOOKUP(CONCATENATE('BMP P Tracking Table'!$AW424," ",'BMP P Tracking Table'!$AY424),'Performance Curves'!$C$1:$L$46,_xlfn.SINGLE(MATCH('BMP P Tracking Table'!$BA424,'Performance Curves'!$D$1:$L$1,1))+1,FALSE)),"")</f>
        <v/>
      </c>
      <c r="BC424" s="102" t="str">
        <f>IFERROR(('BMP P Tracking Table'!$BA424-INDEX('Performance Curves'!$D$1:$L$1,1,MATCH('BMP P Tracking Table'!$BA424,'Performance Curves'!$D$1:$L$1,1)))/(INDEX('Performance Curves'!$D$1:$L$1,1,MATCH('BMP P Tracking Table'!$BA424,'Performance Curves'!$D$1:$L$1,1)+1)-INDEX('Performance Curves'!$D$1:$L$1,1,MATCH('BMP P Tracking Table'!$BA424,'Performance Curves'!$D$1:$L$1,1))),"")</f>
        <v/>
      </c>
      <c r="BD424" s="103" t="str" cm="1">
        <f t="array" ref="BD424">IFERROR(IF('BMP P Tracking Table'!$BA424=2,VLOOKUP(CONCATENATE('BMP P Tracking Table'!$AW424," ",'BMP P Tracking Table'!$AY424),'Performance Curves'!$C$1:$L$44,_xlfn.SINGLE(MATCH('BMP P Tracking Table'!$BA424,'Performance Curves'!$D$1:$L$1,1))+1,FALSE),'BMP P Tracking Table'!$BB424*'BMP P Tracking Table'!$BC424+VLOOKUP(CONCATENATE('BMP P Tracking Table'!$AW424," ",'BMP P Tracking Table'!$AY424),'Performance Curves'!$C$1:$L$44,_xlfn.SINGLE(MATCH('BMP P Tracking Table'!$BA424,'Performance Curves'!$D$1:$L$1,1))+1,FALSE)),"")</f>
        <v/>
      </c>
      <c r="BE424" s="104" t="str">
        <f>IFERROR('BMP P Tracking Table'!$BD424*'BMP P Tracking Table'!$AZ424,"")</f>
        <v/>
      </c>
      <c r="BF424" s="98"/>
      <c r="BG424" s="37">
        <f t="shared" si="42"/>
        <v>0</v>
      </c>
    </row>
    <row r="425" spans="2:59" s="36" customFormat="1">
      <c r="B425" s="65"/>
      <c r="C425" s="65"/>
      <c r="D425" s="65"/>
      <c r="E425" s="65"/>
      <c r="F425" s="94"/>
      <c r="G425" s="94"/>
      <c r="H425" s="65"/>
      <c r="I425" s="65"/>
      <c r="J425" s="65"/>
      <c r="K425" s="95"/>
      <c r="L425" s="65"/>
      <c r="M425" s="65"/>
      <c r="N425" s="65"/>
      <c r="O425" s="65"/>
      <c r="P425" s="65"/>
      <c r="Q425" s="65"/>
      <c r="R425" s="65" t="str">
        <f>IFERROR(VLOOKUP('BMP P Tracking Table'!$Q425,Dropdowns!$C$2:$E$15,3,FALSE),"")</f>
        <v/>
      </c>
      <c r="S425" s="65" t="str">
        <f>IFERROR(VLOOKUP('BMP P Tracking Table'!$R425,Dropdowns!$Q$3:$R$23,2,FALSE),"")</f>
        <v/>
      </c>
      <c r="T425" s="65"/>
      <c r="U425" s="65"/>
      <c r="V425" s="65"/>
      <c r="W425" s="65"/>
      <c r="X425" s="65"/>
      <c r="Y425" s="65"/>
      <c r="Z425" s="65"/>
      <c r="AA425" s="65"/>
      <c r="AB425" s="65"/>
      <c r="AC425" s="97"/>
      <c r="AD425" s="65"/>
      <c r="AE425" s="104" t="str">
        <f>IFERROR('BMP P Tracking Table'!$V425*VLOOKUP('BMP P Tracking Table'!$R425,'Loading Rates'!$B$1:$L$24,4,FALSE)+IF('BMP P Tracking Table'!$W425="By HSG",'BMP P Tracking Table'!$X425*VLOOKUP('BMP P Tracking Table'!$R425,'Loading Rates'!$B$1:$L$24,6,FALSE)+'BMP P Tracking Table'!$Y425*VLOOKUP('BMP P Tracking Table'!$R425,'Loading Rates'!$B$1:$L$24,7,FALSE)+'BMP P Tracking Table'!$Z425*VLOOKUP('BMP P Tracking Table'!$R425,'Loading Rates'!$B$1:$L$24,8,FALSE)+'BMP P Tracking Table'!$AA425*VLOOKUP('BMP P Tracking Table'!$R425,'Loading Rates'!$B$1:$L$24,9,FALSE),'BMP P Tracking Table'!$AB425*VLOOKUP('BMP P Tracking Table'!$R425,'Loading Rates'!$B$1:$L$24,10,FALSE)),"")</f>
        <v/>
      </c>
      <c r="AF425" s="104" t="str">
        <f>IFERROR(MIN(2,IF('BMP P Tracking Table'!$W425="Total Pervious",(-(3630*'BMP P Tracking Table'!$V425+20.691*'BMP P Tracking Table'!$AB425)+SQRT((3630*'BMP P Tracking Table'!$V425+20.691*'BMP P Tracking Table'!$AB425)^2-(4*(996.798*'BMP P Tracking Table'!$AB425)*-'BMP P Tracking Table'!$AC425)))/(2*(996.798*'BMP P Tracking Table'!$AB425)),IF(SUM('BMP P Tracking Table'!$X425:$AA425)=0,'BMP P Tracking Table'!$AC425/(-3630*'BMP P Tracking Table'!$V425),(-(3630*'BMP P Tracking Table'!$V425+20.691*'BMP P Tracking Table'!$AA425-216.711*'BMP P Tracking Table'!$Z425-83.853*'BMP P Tracking Table'!$Y425-42.834*'BMP P Tracking Table'!$X425)+SQRT((3630*'BMP P Tracking Table'!$V425+20.691*'BMP P Tracking Table'!$AA425-216.711*'BMP P Tracking Table'!$Z425-83.853*'BMP P Tracking Table'!$Y425-42.834*'BMP P Tracking Table'!$X425)^2-(4*(149.919*'BMP P Tracking Table'!$X425+236.676*'BMP P Tracking Table'!$Y425+726*'BMP P Tracking Table'!$Z425+996.798*'BMP P Tracking Table'!$AA425)*-'BMP P Tracking Table'!$AC425)))/(2*(149.919*'BMP P Tracking Table'!$X425+236.676*'BMP P Tracking Table'!$Y425+726*'BMP P Tracking Table'!$Z425+996.798*'BMP P Tracking Table'!$AA425))))),"")</f>
        <v/>
      </c>
      <c r="AG425" s="104" t="str">
        <f>IFERROR((VLOOKUP(CONCATENATE('BMP P Tracking Table'!$U425," ",'BMP P Tracking Table'!$AD425),'Performance Curves'!$C$1:$L$46,_xlfn.SINGLE(MATCH('BMP P Tracking Table'!$AF425,'Performance Curves'!$D$1:$L$1,1))+2,FALSE)-VLOOKUP(CONCATENATE('BMP P Tracking Table'!$U425," ",'BMP P Tracking Table'!$AD425),'Performance Curves'!$C$1:$L$46,_xlfn.SINGLE(MATCH('BMP P Tracking Table'!$AF425,'Performance Curves'!$D$1:$L$1,1))+1,FALSE)),"")</f>
        <v/>
      </c>
      <c r="AH425" s="104" t="str">
        <f>IFERROR(('BMP P Tracking Table'!$AF425-INDEX('Performance Curves'!$D$1:$L$1,1,MATCH('BMP P Tracking Table'!$AF425,'Performance Curves'!$D$1:$L$1,1)))/(INDEX('Performance Curves'!$D$1:$L$1,1,MATCH('BMP P Tracking Table'!$AF425,'Performance Curves'!$D$1:$L$1,1)+1)-INDEX('Performance Curves'!$D$1:$L$1,1,MATCH('BMP P Tracking Table'!$AF425,'Performance Curves'!$D$1:$L$1,1))),"")</f>
        <v/>
      </c>
      <c r="AI425" s="103" t="str">
        <f>IFERROR(IF('BMP P Tracking Table'!$AF425=2,VLOOKUP(CONCATENATE('BMP P Tracking Table'!$U425," ",'BMP P Tracking Table'!$AD425),'Performance Curves'!$C$1:$L$46,_xlfn.SINGLE(MATCH('BMP P Tracking Table'!$AF425,'Performance Curves'!$D$1:$L$1,1))+1,FALSE),'BMP P Tracking Table'!$AG425*'BMP P Tracking Table'!$AH425+VLOOKUP(CONCATENATE('BMP P Tracking Table'!$U425," ",'BMP P Tracking Table'!$AD425),'Performance Curves'!$C$1:$L$46,_xlfn.SINGLE(MATCH('BMP P Tracking Table'!$AF425,'Performance Curves'!$D$1:$L$1,1))+1,FALSE)),"")</f>
        <v/>
      </c>
      <c r="AJ425" s="104" t="str">
        <f>IFERROR('BMP P Tracking Table'!$AI425*'BMP P Tracking Table'!$AE425,"")</f>
        <v/>
      </c>
      <c r="AK425" s="65"/>
      <c r="AL425" s="98"/>
      <c r="AM425" s="98"/>
      <c r="AN425" s="64">
        <v>1</v>
      </c>
      <c r="AO425" s="102" t="str">
        <f t="shared" si="41"/>
        <v/>
      </c>
      <c r="AP425" s="98"/>
      <c r="AQ425" s="98"/>
      <c r="AR425" s="98"/>
      <c r="AS425" s="98"/>
      <c r="AT425" s="98"/>
      <c r="AU425" s="98"/>
      <c r="AV425" s="98"/>
      <c r="AW425" s="65"/>
      <c r="AX425" s="99"/>
      <c r="AY425" s="99"/>
      <c r="AZ425" s="104" t="str">
        <f>IF('BMP P Tracking Table'!$AL425="Yes",IF('BMP P Tracking Table'!$AM425="No",'BMP P Tracking Table'!$V425*VLOOKUP('BMP P Tracking Table'!$R425,'Loading Rates'!$B$1:$L$24,4,FALSE)+IF('BMP P Tracking Table'!$W425="By HSG",'BMP P Tracking Table'!$X425*VLOOKUP('BMP P Tracking Table'!$R425,'Loading Rates'!$B$1:$L$24,6,FALSE)+'BMP P Tracking Table'!$Y425*VLOOKUP('BMP P Tracking Table'!$R425,'Loading Rates'!$B$1:$L$24,7,FALSE)+'BMP P Tracking Table'!$Z425*VLOOKUP('BMP P Tracking Table'!$R425,'Loading Rates'!$B$1:$L$24,8,FALSE)+'BMP P Tracking Table'!$AA425*VLOOKUP('BMP P Tracking Table'!$R425,'Loading Rates'!$B$1:$L$24,9,FALSE),'BMP P Tracking Table'!$AB425*VLOOKUP('BMP P Tracking Table'!$R425,'Loading Rates'!$B$1:$L$24,10,FALSE)),'BMP P Tracking Table'!$AP425*VLOOKUP('BMP P Tracking Table'!$R425,'Loading Rates'!$B$1:$L$24,4,FALSE)+IF('BMP P Tracking Table'!$AQ425="By HSG",'BMP P Tracking Table'!$AR425*VLOOKUP('BMP P Tracking Table'!$R425,'Loading Rates'!$B$1:$L$24,6,FALSE)+'BMP P Tracking Table'!$AS425*VLOOKUP('BMP P Tracking Table'!$R425,'Loading Rates'!$B$1:$L$24,7,FALSE)+'BMP P Tracking Table'!$AT425*VLOOKUP('BMP P Tracking Table'!$R425,'Loading Rates'!$B$1:$L$24,8,FALSE)+'BMP P Tracking Table'!$AU425*VLOOKUP('BMP P Tracking Table'!$R425,'Loading Rates'!$B$1:$L$24,9,FALSE),'BMP P Tracking Table'!$AV425*VLOOKUP('BMP P Tracking Table'!$R425,'Loading Rates'!$B$1:$L$24,10,FALSE))),"")</f>
        <v/>
      </c>
      <c r="BA425" s="104" t="str">
        <f>IFERROR(IF('BMP P Tracking Table'!$AM425="Yes",MIN(2,IF('BMP P Tracking Table'!$AQ425="Total Pervious",(-(3630*'BMP P Tracking Table'!$AP425+20.691*'BMP P Tracking Table'!$AV425)+SQRT((3630*'BMP P Tracking Table'!$AP425+20.691*'BMP P Tracking Table'!$AV425)^2-(4*(996.798*'BMP P Tracking Table'!$AV425)*-'BMP P Tracking Table'!$AX425)))/(2*(996.798*'BMP P Tracking Table'!$AV425)),IF(SUM('BMP P Tracking Table'!$AR425:$AU425)=0,'BMP P Tracking Table'!$AV425/(-3630*'BMP P Tracking Table'!$AP425),(-(3630*'BMP P Tracking Table'!$AP425+20.691*'BMP P Tracking Table'!$AU425-216.711*'BMP P Tracking Table'!$AT425-83.853*'BMP P Tracking Table'!$AS425-42.834*'BMP P Tracking Table'!$AR425)+SQRT((3630*'BMP P Tracking Table'!$AP425+20.691*'BMP P Tracking Table'!$AU425-216.711*'BMP P Tracking Table'!$AT425-83.853*'BMP P Tracking Table'!$AS425-42.834*'BMP P Tracking Table'!$AR425)^2-(4*(149.919*'BMP P Tracking Table'!$AR425+236.676*'BMP P Tracking Table'!$AS425+726*'BMP P Tracking Table'!$AT425+996.798*'BMP P Tracking Table'!$AU425)*-'BMP P Tracking Table'!$AX425)))/(2*(149.919*'BMP P Tracking Table'!$AR425+236.676*'BMP P Tracking Table'!$AS425+726*'BMP P Tracking Table'!$AT425+996.798*'BMP P Tracking Table'!$AU425))))),MIN(2,IF('BMP P Tracking Table'!$AQ425="Total Pervious",(-(3630*'BMP P Tracking Table'!$V425+20.691*'BMP P Tracking Table'!$AB425)+SQRT((3630*'BMP P Tracking Table'!$V425+20.691*'BMP P Tracking Table'!$AB425)^2-(4*(996.798*'BMP P Tracking Table'!$AB425)*-'BMP P Tracking Table'!$AX425)))/(2*(996.798*'BMP P Tracking Table'!$AB425)),IF(SUM('BMP P Tracking Table'!$X425:$AA425)=0,'BMP P Tracking Table'!$AX425/(-3630*'BMP P Tracking Table'!$V425),(-(3630*'BMP P Tracking Table'!$V425+20.691*'BMP P Tracking Table'!$AA425-216.711*'BMP P Tracking Table'!$Z425-83.853*'BMP P Tracking Table'!$Y425-42.834*'BMP P Tracking Table'!$X425)+SQRT((3630*'BMP P Tracking Table'!$V425+20.691*'BMP P Tracking Table'!$AA425-216.711*'BMP P Tracking Table'!$Z425-83.853*'BMP P Tracking Table'!$Y425-42.834*'BMP P Tracking Table'!$X425)^2-(4*(149.919*'BMP P Tracking Table'!$X425+236.676*'BMP P Tracking Table'!$Y425+726*'BMP P Tracking Table'!$Z425+996.798*'BMP P Tracking Table'!$AA425)*-'BMP P Tracking Table'!$AX425)))/(2*(149.919*'BMP P Tracking Table'!$X425+236.676*'BMP P Tracking Table'!$Y425+726*'BMP P Tracking Table'!$Z425+996.798*'BMP P Tracking Table'!$AA425)))))),"")</f>
        <v/>
      </c>
      <c r="BB425" s="102" t="str">
        <f>IFERROR((VLOOKUP(CONCATENATE('BMP P Tracking Table'!$AW425," ",'BMP P Tracking Table'!$AY425),'Performance Curves'!$C$1:$L$46,_xlfn.SINGLE(MATCH('BMP P Tracking Table'!$BA425,'Performance Curves'!$D$1:$L$1,1))+2,FALSE)-VLOOKUP(CONCATENATE('BMP P Tracking Table'!$AW425," ",'BMP P Tracking Table'!$AY425),'Performance Curves'!$C$1:$L$46,_xlfn.SINGLE(MATCH('BMP P Tracking Table'!$BA425,'Performance Curves'!$D$1:$L$1,1))+1,FALSE)),"")</f>
        <v/>
      </c>
      <c r="BC425" s="102" t="str">
        <f>IFERROR(('BMP P Tracking Table'!$BA425-INDEX('Performance Curves'!$D$1:$L$1,1,MATCH('BMP P Tracking Table'!$BA425,'Performance Curves'!$D$1:$L$1,1)))/(INDEX('Performance Curves'!$D$1:$L$1,1,MATCH('BMP P Tracking Table'!$BA425,'Performance Curves'!$D$1:$L$1,1)+1)-INDEX('Performance Curves'!$D$1:$L$1,1,MATCH('BMP P Tracking Table'!$BA425,'Performance Curves'!$D$1:$L$1,1))),"")</f>
        <v/>
      </c>
      <c r="BD425" s="103" t="str" cm="1">
        <f t="array" ref="BD425">IFERROR(IF('BMP P Tracking Table'!$BA425=2,VLOOKUP(CONCATENATE('BMP P Tracking Table'!$AW425," ",'BMP P Tracking Table'!$AY425),'Performance Curves'!$C$1:$L$44,_xlfn.SINGLE(MATCH('BMP P Tracking Table'!$BA425,'Performance Curves'!$D$1:$L$1,1))+1,FALSE),'BMP P Tracking Table'!$BB425*'BMP P Tracking Table'!$BC425+VLOOKUP(CONCATENATE('BMP P Tracking Table'!$AW425," ",'BMP P Tracking Table'!$AY425),'Performance Curves'!$C$1:$L$44,_xlfn.SINGLE(MATCH('BMP P Tracking Table'!$BA425,'Performance Curves'!$D$1:$L$1,1))+1,FALSE)),"")</f>
        <v/>
      </c>
      <c r="BE425" s="104" t="str">
        <f>IFERROR('BMP P Tracking Table'!$BD425*'BMP P Tracking Table'!$AZ425,"")</f>
        <v/>
      </c>
      <c r="BF425" s="98"/>
      <c r="BG425" s="37">
        <f t="shared" si="42"/>
        <v>0</v>
      </c>
    </row>
    <row r="426" spans="2:59" s="36" customFormat="1">
      <c r="B426" s="65"/>
      <c r="C426" s="65"/>
      <c r="D426" s="65"/>
      <c r="E426" s="65"/>
      <c r="F426" s="94"/>
      <c r="G426" s="94"/>
      <c r="H426" s="65"/>
      <c r="I426" s="65"/>
      <c r="J426" s="65"/>
      <c r="K426" s="95"/>
      <c r="L426" s="65"/>
      <c r="M426" s="65"/>
      <c r="N426" s="65"/>
      <c r="O426" s="65"/>
      <c r="P426" s="65"/>
      <c r="Q426" s="65"/>
      <c r="R426" s="65" t="str">
        <f>IFERROR(VLOOKUP('BMP P Tracking Table'!$Q426,Dropdowns!$C$2:$E$15,3,FALSE),"")</f>
        <v/>
      </c>
      <c r="S426" s="65" t="str">
        <f>IFERROR(VLOOKUP('BMP P Tracking Table'!$R426,Dropdowns!$Q$3:$R$23,2,FALSE),"")</f>
        <v/>
      </c>
      <c r="T426" s="65"/>
      <c r="U426" s="65"/>
      <c r="V426" s="65"/>
      <c r="W426" s="65"/>
      <c r="X426" s="65"/>
      <c r="Y426" s="65"/>
      <c r="Z426" s="65"/>
      <c r="AA426" s="65"/>
      <c r="AB426" s="65"/>
      <c r="AC426" s="97"/>
      <c r="AD426" s="65"/>
      <c r="AE426" s="104" t="str">
        <f>IFERROR('BMP P Tracking Table'!$V426*VLOOKUP('BMP P Tracking Table'!$R426,'Loading Rates'!$B$1:$L$24,4,FALSE)+IF('BMP P Tracking Table'!$W426="By HSG",'BMP P Tracking Table'!$X426*VLOOKUP('BMP P Tracking Table'!$R426,'Loading Rates'!$B$1:$L$24,6,FALSE)+'BMP P Tracking Table'!$Y426*VLOOKUP('BMP P Tracking Table'!$R426,'Loading Rates'!$B$1:$L$24,7,FALSE)+'BMP P Tracking Table'!$Z426*VLOOKUP('BMP P Tracking Table'!$R426,'Loading Rates'!$B$1:$L$24,8,FALSE)+'BMP P Tracking Table'!$AA426*VLOOKUP('BMP P Tracking Table'!$R426,'Loading Rates'!$B$1:$L$24,9,FALSE),'BMP P Tracking Table'!$AB426*VLOOKUP('BMP P Tracking Table'!$R426,'Loading Rates'!$B$1:$L$24,10,FALSE)),"")</f>
        <v/>
      </c>
      <c r="AF426" s="104" t="str">
        <f>IFERROR(MIN(2,IF('BMP P Tracking Table'!$W426="Total Pervious",(-(3630*'BMP P Tracking Table'!$V426+20.691*'BMP P Tracking Table'!$AB426)+SQRT((3630*'BMP P Tracking Table'!$V426+20.691*'BMP P Tracking Table'!$AB426)^2-(4*(996.798*'BMP P Tracking Table'!$AB426)*-'BMP P Tracking Table'!$AC426)))/(2*(996.798*'BMP P Tracking Table'!$AB426)),IF(SUM('BMP P Tracking Table'!$X426:$AA426)=0,'BMP P Tracking Table'!$AC426/(-3630*'BMP P Tracking Table'!$V426),(-(3630*'BMP P Tracking Table'!$V426+20.691*'BMP P Tracking Table'!$AA426-216.711*'BMP P Tracking Table'!$Z426-83.853*'BMP P Tracking Table'!$Y426-42.834*'BMP P Tracking Table'!$X426)+SQRT((3630*'BMP P Tracking Table'!$V426+20.691*'BMP P Tracking Table'!$AA426-216.711*'BMP P Tracking Table'!$Z426-83.853*'BMP P Tracking Table'!$Y426-42.834*'BMP P Tracking Table'!$X426)^2-(4*(149.919*'BMP P Tracking Table'!$X426+236.676*'BMP P Tracking Table'!$Y426+726*'BMP P Tracking Table'!$Z426+996.798*'BMP P Tracking Table'!$AA426)*-'BMP P Tracking Table'!$AC426)))/(2*(149.919*'BMP P Tracking Table'!$X426+236.676*'BMP P Tracking Table'!$Y426+726*'BMP P Tracking Table'!$Z426+996.798*'BMP P Tracking Table'!$AA426))))),"")</f>
        <v/>
      </c>
      <c r="AG426" s="104" t="str">
        <f>IFERROR((VLOOKUP(CONCATENATE('BMP P Tracking Table'!$U426," ",'BMP P Tracking Table'!$AD426),'Performance Curves'!$C$1:$L$46,_xlfn.SINGLE(MATCH('BMP P Tracking Table'!$AF426,'Performance Curves'!$D$1:$L$1,1))+2,FALSE)-VLOOKUP(CONCATENATE('BMP P Tracking Table'!$U426," ",'BMP P Tracking Table'!$AD426),'Performance Curves'!$C$1:$L$46,_xlfn.SINGLE(MATCH('BMP P Tracking Table'!$AF426,'Performance Curves'!$D$1:$L$1,1))+1,FALSE)),"")</f>
        <v/>
      </c>
      <c r="AH426" s="104" t="str">
        <f>IFERROR(('BMP P Tracking Table'!$AF426-INDEX('Performance Curves'!$D$1:$L$1,1,MATCH('BMP P Tracking Table'!$AF426,'Performance Curves'!$D$1:$L$1,1)))/(INDEX('Performance Curves'!$D$1:$L$1,1,MATCH('BMP P Tracking Table'!$AF426,'Performance Curves'!$D$1:$L$1,1)+1)-INDEX('Performance Curves'!$D$1:$L$1,1,MATCH('BMP P Tracking Table'!$AF426,'Performance Curves'!$D$1:$L$1,1))),"")</f>
        <v/>
      </c>
      <c r="AI426" s="103" t="str">
        <f>IFERROR(IF('BMP P Tracking Table'!$AF426=2,VLOOKUP(CONCATENATE('BMP P Tracking Table'!$U426," ",'BMP P Tracking Table'!$AD426),'Performance Curves'!$C$1:$L$46,_xlfn.SINGLE(MATCH('BMP P Tracking Table'!$AF426,'Performance Curves'!$D$1:$L$1,1))+1,FALSE),'BMP P Tracking Table'!$AG426*'BMP P Tracking Table'!$AH426+VLOOKUP(CONCATENATE('BMP P Tracking Table'!$U426," ",'BMP P Tracking Table'!$AD426),'Performance Curves'!$C$1:$L$46,_xlfn.SINGLE(MATCH('BMP P Tracking Table'!$AF426,'Performance Curves'!$D$1:$L$1,1))+1,FALSE)),"")</f>
        <v/>
      </c>
      <c r="AJ426" s="104" t="str">
        <f>IFERROR('BMP P Tracking Table'!$AI426*'BMP P Tracking Table'!$AE426,"")</f>
        <v/>
      </c>
      <c r="AK426" s="65"/>
      <c r="AL426" s="98"/>
      <c r="AM426" s="98"/>
      <c r="AN426" s="64">
        <v>1</v>
      </c>
      <c r="AO426" s="102" t="str">
        <f t="shared" si="41"/>
        <v/>
      </c>
      <c r="AP426" s="98"/>
      <c r="AQ426" s="98"/>
      <c r="AR426" s="98"/>
      <c r="AS426" s="98"/>
      <c r="AT426" s="98"/>
      <c r="AU426" s="98"/>
      <c r="AV426" s="98"/>
      <c r="AW426" s="65"/>
      <c r="AX426" s="99"/>
      <c r="AY426" s="99"/>
      <c r="AZ426" s="104" t="str">
        <f>IF('BMP P Tracking Table'!$AL426="Yes",IF('BMP P Tracking Table'!$AM426="No",'BMP P Tracking Table'!$V426*VLOOKUP('BMP P Tracking Table'!$R426,'Loading Rates'!$B$1:$L$24,4,FALSE)+IF('BMP P Tracking Table'!$W426="By HSG",'BMP P Tracking Table'!$X426*VLOOKUP('BMP P Tracking Table'!$R426,'Loading Rates'!$B$1:$L$24,6,FALSE)+'BMP P Tracking Table'!$Y426*VLOOKUP('BMP P Tracking Table'!$R426,'Loading Rates'!$B$1:$L$24,7,FALSE)+'BMP P Tracking Table'!$Z426*VLOOKUP('BMP P Tracking Table'!$R426,'Loading Rates'!$B$1:$L$24,8,FALSE)+'BMP P Tracking Table'!$AA426*VLOOKUP('BMP P Tracking Table'!$R426,'Loading Rates'!$B$1:$L$24,9,FALSE),'BMP P Tracking Table'!$AB426*VLOOKUP('BMP P Tracking Table'!$R426,'Loading Rates'!$B$1:$L$24,10,FALSE)),'BMP P Tracking Table'!$AP426*VLOOKUP('BMP P Tracking Table'!$R426,'Loading Rates'!$B$1:$L$24,4,FALSE)+IF('BMP P Tracking Table'!$AQ426="By HSG",'BMP P Tracking Table'!$AR426*VLOOKUP('BMP P Tracking Table'!$R426,'Loading Rates'!$B$1:$L$24,6,FALSE)+'BMP P Tracking Table'!$AS426*VLOOKUP('BMP P Tracking Table'!$R426,'Loading Rates'!$B$1:$L$24,7,FALSE)+'BMP P Tracking Table'!$AT426*VLOOKUP('BMP P Tracking Table'!$R426,'Loading Rates'!$B$1:$L$24,8,FALSE)+'BMP P Tracking Table'!$AU426*VLOOKUP('BMP P Tracking Table'!$R426,'Loading Rates'!$B$1:$L$24,9,FALSE),'BMP P Tracking Table'!$AV426*VLOOKUP('BMP P Tracking Table'!$R426,'Loading Rates'!$B$1:$L$24,10,FALSE))),"")</f>
        <v/>
      </c>
      <c r="BA426" s="104" t="str">
        <f>IFERROR(IF('BMP P Tracking Table'!$AM426="Yes",MIN(2,IF('BMP P Tracking Table'!$AQ426="Total Pervious",(-(3630*'BMP P Tracking Table'!$AP426+20.691*'BMP P Tracking Table'!$AV426)+SQRT((3630*'BMP P Tracking Table'!$AP426+20.691*'BMP P Tracking Table'!$AV426)^2-(4*(996.798*'BMP P Tracking Table'!$AV426)*-'BMP P Tracking Table'!$AX426)))/(2*(996.798*'BMP P Tracking Table'!$AV426)),IF(SUM('BMP P Tracking Table'!$AR426:$AU426)=0,'BMP P Tracking Table'!$AV426/(-3630*'BMP P Tracking Table'!$AP426),(-(3630*'BMP P Tracking Table'!$AP426+20.691*'BMP P Tracking Table'!$AU426-216.711*'BMP P Tracking Table'!$AT426-83.853*'BMP P Tracking Table'!$AS426-42.834*'BMP P Tracking Table'!$AR426)+SQRT((3630*'BMP P Tracking Table'!$AP426+20.691*'BMP P Tracking Table'!$AU426-216.711*'BMP P Tracking Table'!$AT426-83.853*'BMP P Tracking Table'!$AS426-42.834*'BMP P Tracking Table'!$AR426)^2-(4*(149.919*'BMP P Tracking Table'!$AR426+236.676*'BMP P Tracking Table'!$AS426+726*'BMP P Tracking Table'!$AT426+996.798*'BMP P Tracking Table'!$AU426)*-'BMP P Tracking Table'!$AX426)))/(2*(149.919*'BMP P Tracking Table'!$AR426+236.676*'BMP P Tracking Table'!$AS426+726*'BMP P Tracking Table'!$AT426+996.798*'BMP P Tracking Table'!$AU426))))),MIN(2,IF('BMP P Tracking Table'!$AQ426="Total Pervious",(-(3630*'BMP P Tracking Table'!$V426+20.691*'BMP P Tracking Table'!$AB426)+SQRT((3630*'BMP P Tracking Table'!$V426+20.691*'BMP P Tracking Table'!$AB426)^2-(4*(996.798*'BMP P Tracking Table'!$AB426)*-'BMP P Tracking Table'!$AX426)))/(2*(996.798*'BMP P Tracking Table'!$AB426)),IF(SUM('BMP P Tracking Table'!$X426:$AA426)=0,'BMP P Tracking Table'!$AX426/(-3630*'BMP P Tracking Table'!$V426),(-(3630*'BMP P Tracking Table'!$V426+20.691*'BMP P Tracking Table'!$AA426-216.711*'BMP P Tracking Table'!$Z426-83.853*'BMP P Tracking Table'!$Y426-42.834*'BMP P Tracking Table'!$X426)+SQRT((3630*'BMP P Tracking Table'!$V426+20.691*'BMP P Tracking Table'!$AA426-216.711*'BMP P Tracking Table'!$Z426-83.853*'BMP P Tracking Table'!$Y426-42.834*'BMP P Tracking Table'!$X426)^2-(4*(149.919*'BMP P Tracking Table'!$X426+236.676*'BMP P Tracking Table'!$Y426+726*'BMP P Tracking Table'!$Z426+996.798*'BMP P Tracking Table'!$AA426)*-'BMP P Tracking Table'!$AX426)))/(2*(149.919*'BMP P Tracking Table'!$X426+236.676*'BMP P Tracking Table'!$Y426+726*'BMP P Tracking Table'!$Z426+996.798*'BMP P Tracking Table'!$AA426)))))),"")</f>
        <v/>
      </c>
      <c r="BB426" s="102" t="str">
        <f>IFERROR((VLOOKUP(CONCATENATE('BMP P Tracking Table'!$AW426," ",'BMP P Tracking Table'!$AY426),'Performance Curves'!$C$1:$L$46,_xlfn.SINGLE(MATCH('BMP P Tracking Table'!$BA426,'Performance Curves'!$D$1:$L$1,1))+2,FALSE)-VLOOKUP(CONCATENATE('BMP P Tracking Table'!$AW426," ",'BMP P Tracking Table'!$AY426),'Performance Curves'!$C$1:$L$46,_xlfn.SINGLE(MATCH('BMP P Tracking Table'!$BA426,'Performance Curves'!$D$1:$L$1,1))+1,FALSE)),"")</f>
        <v/>
      </c>
      <c r="BC426" s="102" t="str">
        <f>IFERROR(('BMP P Tracking Table'!$BA426-INDEX('Performance Curves'!$D$1:$L$1,1,MATCH('BMP P Tracking Table'!$BA426,'Performance Curves'!$D$1:$L$1,1)))/(INDEX('Performance Curves'!$D$1:$L$1,1,MATCH('BMP P Tracking Table'!$BA426,'Performance Curves'!$D$1:$L$1,1)+1)-INDEX('Performance Curves'!$D$1:$L$1,1,MATCH('BMP P Tracking Table'!$BA426,'Performance Curves'!$D$1:$L$1,1))),"")</f>
        <v/>
      </c>
      <c r="BD426" s="103" t="str" cm="1">
        <f t="array" ref="BD426">IFERROR(IF('BMP P Tracking Table'!$BA426=2,VLOOKUP(CONCATENATE('BMP P Tracking Table'!$AW426," ",'BMP P Tracking Table'!$AY426),'Performance Curves'!$C$1:$L$44,_xlfn.SINGLE(MATCH('BMP P Tracking Table'!$BA426,'Performance Curves'!$D$1:$L$1,1))+1,FALSE),'BMP P Tracking Table'!$BB426*'BMP P Tracking Table'!$BC426+VLOOKUP(CONCATENATE('BMP P Tracking Table'!$AW426," ",'BMP P Tracking Table'!$AY426),'Performance Curves'!$C$1:$L$44,_xlfn.SINGLE(MATCH('BMP P Tracking Table'!$BA426,'Performance Curves'!$D$1:$L$1,1))+1,FALSE)),"")</f>
        <v/>
      </c>
      <c r="BE426" s="104" t="str">
        <f>IFERROR('BMP P Tracking Table'!$BD426*'BMP P Tracking Table'!$AZ426,"")</f>
        <v/>
      </c>
      <c r="BF426" s="98"/>
      <c r="BG426" s="37">
        <f t="shared" si="42"/>
        <v>0</v>
      </c>
    </row>
    <row r="427" spans="2:59" s="36" customFormat="1">
      <c r="B427" s="65"/>
      <c r="C427" s="65"/>
      <c r="D427" s="65"/>
      <c r="E427" s="65"/>
      <c r="F427" s="94"/>
      <c r="G427" s="94"/>
      <c r="H427" s="65"/>
      <c r="I427" s="65"/>
      <c r="J427" s="65"/>
      <c r="K427" s="95"/>
      <c r="L427" s="65"/>
      <c r="M427" s="65"/>
      <c r="N427" s="65"/>
      <c r="O427" s="65"/>
      <c r="P427" s="65"/>
      <c r="Q427" s="65"/>
      <c r="R427" s="65" t="str">
        <f>IFERROR(VLOOKUP('BMP P Tracking Table'!$Q427,Dropdowns!$C$2:$E$15,3,FALSE),"")</f>
        <v/>
      </c>
      <c r="S427" s="65" t="str">
        <f>IFERROR(VLOOKUP('BMP P Tracking Table'!$R427,Dropdowns!$Q$3:$R$23,2,FALSE),"")</f>
        <v/>
      </c>
      <c r="T427" s="65"/>
      <c r="U427" s="65"/>
      <c r="V427" s="65"/>
      <c r="W427" s="65"/>
      <c r="X427" s="65"/>
      <c r="Y427" s="65"/>
      <c r="Z427" s="65"/>
      <c r="AA427" s="65"/>
      <c r="AB427" s="65"/>
      <c r="AC427" s="97"/>
      <c r="AD427" s="65"/>
      <c r="AE427" s="104" t="str">
        <f>IFERROR('BMP P Tracking Table'!$V427*VLOOKUP('BMP P Tracking Table'!$R427,'Loading Rates'!$B$1:$L$24,4,FALSE)+IF('BMP P Tracking Table'!$W427="By HSG",'BMP P Tracking Table'!$X427*VLOOKUP('BMP P Tracking Table'!$R427,'Loading Rates'!$B$1:$L$24,6,FALSE)+'BMP P Tracking Table'!$Y427*VLOOKUP('BMP P Tracking Table'!$R427,'Loading Rates'!$B$1:$L$24,7,FALSE)+'BMP P Tracking Table'!$Z427*VLOOKUP('BMP P Tracking Table'!$R427,'Loading Rates'!$B$1:$L$24,8,FALSE)+'BMP P Tracking Table'!$AA427*VLOOKUP('BMP P Tracking Table'!$R427,'Loading Rates'!$B$1:$L$24,9,FALSE),'BMP P Tracking Table'!$AB427*VLOOKUP('BMP P Tracking Table'!$R427,'Loading Rates'!$B$1:$L$24,10,FALSE)),"")</f>
        <v/>
      </c>
      <c r="AF427" s="104" t="str">
        <f>IFERROR(MIN(2,IF('BMP P Tracking Table'!$W427="Total Pervious",(-(3630*'BMP P Tracking Table'!$V427+20.691*'BMP P Tracking Table'!$AB427)+SQRT((3630*'BMP P Tracking Table'!$V427+20.691*'BMP P Tracking Table'!$AB427)^2-(4*(996.798*'BMP P Tracking Table'!$AB427)*-'BMP P Tracking Table'!$AC427)))/(2*(996.798*'BMP P Tracking Table'!$AB427)),IF(SUM('BMP P Tracking Table'!$X427:$AA427)=0,'BMP P Tracking Table'!$AC427/(-3630*'BMP P Tracking Table'!$V427),(-(3630*'BMP P Tracking Table'!$V427+20.691*'BMP P Tracking Table'!$AA427-216.711*'BMP P Tracking Table'!$Z427-83.853*'BMP P Tracking Table'!$Y427-42.834*'BMP P Tracking Table'!$X427)+SQRT((3630*'BMP P Tracking Table'!$V427+20.691*'BMP P Tracking Table'!$AA427-216.711*'BMP P Tracking Table'!$Z427-83.853*'BMP P Tracking Table'!$Y427-42.834*'BMP P Tracking Table'!$X427)^2-(4*(149.919*'BMP P Tracking Table'!$X427+236.676*'BMP P Tracking Table'!$Y427+726*'BMP P Tracking Table'!$Z427+996.798*'BMP P Tracking Table'!$AA427)*-'BMP P Tracking Table'!$AC427)))/(2*(149.919*'BMP P Tracking Table'!$X427+236.676*'BMP P Tracking Table'!$Y427+726*'BMP P Tracking Table'!$Z427+996.798*'BMP P Tracking Table'!$AA427))))),"")</f>
        <v/>
      </c>
      <c r="AG427" s="104" t="str">
        <f>IFERROR((VLOOKUP(CONCATENATE('BMP P Tracking Table'!$U427," ",'BMP P Tracking Table'!$AD427),'Performance Curves'!$C$1:$L$46,_xlfn.SINGLE(MATCH('BMP P Tracking Table'!$AF427,'Performance Curves'!$D$1:$L$1,1))+2,FALSE)-VLOOKUP(CONCATENATE('BMP P Tracking Table'!$U427," ",'BMP P Tracking Table'!$AD427),'Performance Curves'!$C$1:$L$46,_xlfn.SINGLE(MATCH('BMP P Tracking Table'!$AF427,'Performance Curves'!$D$1:$L$1,1))+1,FALSE)),"")</f>
        <v/>
      </c>
      <c r="AH427" s="104" t="str">
        <f>IFERROR(('BMP P Tracking Table'!$AF427-INDEX('Performance Curves'!$D$1:$L$1,1,MATCH('BMP P Tracking Table'!$AF427,'Performance Curves'!$D$1:$L$1,1)))/(INDEX('Performance Curves'!$D$1:$L$1,1,MATCH('BMP P Tracking Table'!$AF427,'Performance Curves'!$D$1:$L$1,1)+1)-INDEX('Performance Curves'!$D$1:$L$1,1,MATCH('BMP P Tracking Table'!$AF427,'Performance Curves'!$D$1:$L$1,1))),"")</f>
        <v/>
      </c>
      <c r="AI427" s="103" t="str">
        <f>IFERROR(IF('BMP P Tracking Table'!$AF427=2,VLOOKUP(CONCATENATE('BMP P Tracking Table'!$U427," ",'BMP P Tracking Table'!$AD427),'Performance Curves'!$C$1:$L$46,_xlfn.SINGLE(MATCH('BMP P Tracking Table'!$AF427,'Performance Curves'!$D$1:$L$1,1))+1,FALSE),'BMP P Tracking Table'!$AG427*'BMP P Tracking Table'!$AH427+VLOOKUP(CONCATENATE('BMP P Tracking Table'!$U427," ",'BMP P Tracking Table'!$AD427),'Performance Curves'!$C$1:$L$46,_xlfn.SINGLE(MATCH('BMP P Tracking Table'!$AF427,'Performance Curves'!$D$1:$L$1,1))+1,FALSE)),"")</f>
        <v/>
      </c>
      <c r="AJ427" s="104" t="str">
        <f>IFERROR('BMP P Tracking Table'!$AI427*'BMP P Tracking Table'!$AE427,"")</f>
        <v/>
      </c>
      <c r="AK427" s="65"/>
      <c r="AL427" s="98"/>
      <c r="AM427" s="98"/>
      <c r="AN427" s="64">
        <v>1</v>
      </c>
      <c r="AO427" s="102" t="str">
        <f t="shared" si="41"/>
        <v/>
      </c>
      <c r="AP427" s="98"/>
      <c r="AQ427" s="98"/>
      <c r="AR427" s="98"/>
      <c r="AS427" s="98"/>
      <c r="AT427" s="98"/>
      <c r="AU427" s="98"/>
      <c r="AV427" s="98"/>
      <c r="AW427" s="65"/>
      <c r="AX427" s="99"/>
      <c r="AY427" s="99"/>
      <c r="AZ427" s="104" t="str">
        <f>IF('BMP P Tracking Table'!$AL427="Yes",IF('BMP P Tracking Table'!$AM427="No",'BMP P Tracking Table'!$V427*VLOOKUP('BMP P Tracking Table'!$R427,'Loading Rates'!$B$1:$L$24,4,FALSE)+IF('BMP P Tracking Table'!$W427="By HSG",'BMP P Tracking Table'!$X427*VLOOKUP('BMP P Tracking Table'!$R427,'Loading Rates'!$B$1:$L$24,6,FALSE)+'BMP P Tracking Table'!$Y427*VLOOKUP('BMP P Tracking Table'!$R427,'Loading Rates'!$B$1:$L$24,7,FALSE)+'BMP P Tracking Table'!$Z427*VLOOKUP('BMP P Tracking Table'!$R427,'Loading Rates'!$B$1:$L$24,8,FALSE)+'BMP P Tracking Table'!$AA427*VLOOKUP('BMP P Tracking Table'!$R427,'Loading Rates'!$B$1:$L$24,9,FALSE),'BMP P Tracking Table'!$AB427*VLOOKUP('BMP P Tracking Table'!$R427,'Loading Rates'!$B$1:$L$24,10,FALSE)),'BMP P Tracking Table'!$AP427*VLOOKUP('BMP P Tracking Table'!$R427,'Loading Rates'!$B$1:$L$24,4,FALSE)+IF('BMP P Tracking Table'!$AQ427="By HSG",'BMP P Tracking Table'!$AR427*VLOOKUP('BMP P Tracking Table'!$R427,'Loading Rates'!$B$1:$L$24,6,FALSE)+'BMP P Tracking Table'!$AS427*VLOOKUP('BMP P Tracking Table'!$R427,'Loading Rates'!$B$1:$L$24,7,FALSE)+'BMP P Tracking Table'!$AT427*VLOOKUP('BMP P Tracking Table'!$R427,'Loading Rates'!$B$1:$L$24,8,FALSE)+'BMP P Tracking Table'!$AU427*VLOOKUP('BMP P Tracking Table'!$R427,'Loading Rates'!$B$1:$L$24,9,FALSE),'BMP P Tracking Table'!$AV427*VLOOKUP('BMP P Tracking Table'!$R427,'Loading Rates'!$B$1:$L$24,10,FALSE))),"")</f>
        <v/>
      </c>
      <c r="BA427" s="104" t="str">
        <f>IFERROR(IF('BMP P Tracking Table'!$AM427="Yes",MIN(2,IF('BMP P Tracking Table'!$AQ427="Total Pervious",(-(3630*'BMP P Tracking Table'!$AP427+20.691*'BMP P Tracking Table'!$AV427)+SQRT((3630*'BMP P Tracking Table'!$AP427+20.691*'BMP P Tracking Table'!$AV427)^2-(4*(996.798*'BMP P Tracking Table'!$AV427)*-'BMP P Tracking Table'!$AX427)))/(2*(996.798*'BMP P Tracking Table'!$AV427)),IF(SUM('BMP P Tracking Table'!$AR427:$AU427)=0,'BMP P Tracking Table'!$AV427/(-3630*'BMP P Tracking Table'!$AP427),(-(3630*'BMP P Tracking Table'!$AP427+20.691*'BMP P Tracking Table'!$AU427-216.711*'BMP P Tracking Table'!$AT427-83.853*'BMP P Tracking Table'!$AS427-42.834*'BMP P Tracking Table'!$AR427)+SQRT((3630*'BMP P Tracking Table'!$AP427+20.691*'BMP P Tracking Table'!$AU427-216.711*'BMP P Tracking Table'!$AT427-83.853*'BMP P Tracking Table'!$AS427-42.834*'BMP P Tracking Table'!$AR427)^2-(4*(149.919*'BMP P Tracking Table'!$AR427+236.676*'BMP P Tracking Table'!$AS427+726*'BMP P Tracking Table'!$AT427+996.798*'BMP P Tracking Table'!$AU427)*-'BMP P Tracking Table'!$AX427)))/(2*(149.919*'BMP P Tracking Table'!$AR427+236.676*'BMP P Tracking Table'!$AS427+726*'BMP P Tracking Table'!$AT427+996.798*'BMP P Tracking Table'!$AU427))))),MIN(2,IF('BMP P Tracking Table'!$AQ427="Total Pervious",(-(3630*'BMP P Tracking Table'!$V427+20.691*'BMP P Tracking Table'!$AB427)+SQRT((3630*'BMP P Tracking Table'!$V427+20.691*'BMP P Tracking Table'!$AB427)^2-(4*(996.798*'BMP P Tracking Table'!$AB427)*-'BMP P Tracking Table'!$AX427)))/(2*(996.798*'BMP P Tracking Table'!$AB427)),IF(SUM('BMP P Tracking Table'!$X427:$AA427)=0,'BMP P Tracking Table'!$AX427/(-3630*'BMP P Tracking Table'!$V427),(-(3630*'BMP P Tracking Table'!$V427+20.691*'BMP P Tracking Table'!$AA427-216.711*'BMP P Tracking Table'!$Z427-83.853*'BMP P Tracking Table'!$Y427-42.834*'BMP P Tracking Table'!$X427)+SQRT((3630*'BMP P Tracking Table'!$V427+20.691*'BMP P Tracking Table'!$AA427-216.711*'BMP P Tracking Table'!$Z427-83.853*'BMP P Tracking Table'!$Y427-42.834*'BMP P Tracking Table'!$X427)^2-(4*(149.919*'BMP P Tracking Table'!$X427+236.676*'BMP P Tracking Table'!$Y427+726*'BMP P Tracking Table'!$Z427+996.798*'BMP P Tracking Table'!$AA427)*-'BMP P Tracking Table'!$AX427)))/(2*(149.919*'BMP P Tracking Table'!$X427+236.676*'BMP P Tracking Table'!$Y427+726*'BMP P Tracking Table'!$Z427+996.798*'BMP P Tracking Table'!$AA427)))))),"")</f>
        <v/>
      </c>
      <c r="BB427" s="102" t="str">
        <f>IFERROR((VLOOKUP(CONCATENATE('BMP P Tracking Table'!$AW427," ",'BMP P Tracking Table'!$AY427),'Performance Curves'!$C$1:$L$46,_xlfn.SINGLE(MATCH('BMP P Tracking Table'!$BA427,'Performance Curves'!$D$1:$L$1,1))+2,FALSE)-VLOOKUP(CONCATENATE('BMP P Tracking Table'!$AW427," ",'BMP P Tracking Table'!$AY427),'Performance Curves'!$C$1:$L$46,_xlfn.SINGLE(MATCH('BMP P Tracking Table'!$BA427,'Performance Curves'!$D$1:$L$1,1))+1,FALSE)),"")</f>
        <v/>
      </c>
      <c r="BC427" s="102" t="str">
        <f>IFERROR(('BMP P Tracking Table'!$BA427-INDEX('Performance Curves'!$D$1:$L$1,1,MATCH('BMP P Tracking Table'!$BA427,'Performance Curves'!$D$1:$L$1,1)))/(INDEX('Performance Curves'!$D$1:$L$1,1,MATCH('BMP P Tracking Table'!$BA427,'Performance Curves'!$D$1:$L$1,1)+1)-INDEX('Performance Curves'!$D$1:$L$1,1,MATCH('BMP P Tracking Table'!$BA427,'Performance Curves'!$D$1:$L$1,1))),"")</f>
        <v/>
      </c>
      <c r="BD427" s="103" t="str" cm="1">
        <f t="array" ref="BD427">IFERROR(IF('BMP P Tracking Table'!$BA427=2,VLOOKUP(CONCATENATE('BMP P Tracking Table'!$AW427," ",'BMP P Tracking Table'!$AY427),'Performance Curves'!$C$1:$L$44,_xlfn.SINGLE(MATCH('BMP P Tracking Table'!$BA427,'Performance Curves'!$D$1:$L$1,1))+1,FALSE),'BMP P Tracking Table'!$BB427*'BMP P Tracking Table'!$BC427+VLOOKUP(CONCATENATE('BMP P Tracking Table'!$AW427," ",'BMP P Tracking Table'!$AY427),'Performance Curves'!$C$1:$L$44,_xlfn.SINGLE(MATCH('BMP P Tracking Table'!$BA427,'Performance Curves'!$D$1:$L$1,1))+1,FALSE)),"")</f>
        <v/>
      </c>
      <c r="BE427" s="104" t="str">
        <f>IFERROR('BMP P Tracking Table'!$BD427*'BMP P Tracking Table'!$AZ427,"")</f>
        <v/>
      </c>
      <c r="BF427" s="98"/>
      <c r="BG427" s="37">
        <f t="shared" si="42"/>
        <v>0</v>
      </c>
    </row>
    <row r="428" spans="2:59" s="36" customFormat="1">
      <c r="B428" s="65"/>
      <c r="C428" s="65"/>
      <c r="D428" s="65"/>
      <c r="E428" s="65"/>
      <c r="F428" s="94"/>
      <c r="G428" s="94"/>
      <c r="H428" s="65"/>
      <c r="I428" s="65"/>
      <c r="J428" s="65"/>
      <c r="K428" s="95"/>
      <c r="L428" s="65"/>
      <c r="M428" s="65"/>
      <c r="N428" s="65"/>
      <c r="O428" s="65"/>
      <c r="P428" s="65"/>
      <c r="Q428" s="65"/>
      <c r="R428" s="65" t="str">
        <f>IFERROR(VLOOKUP('BMP P Tracking Table'!$Q428,Dropdowns!$C$2:$E$15,3,FALSE),"")</f>
        <v/>
      </c>
      <c r="S428" s="65" t="str">
        <f>IFERROR(VLOOKUP('BMP P Tracking Table'!$R428,Dropdowns!$Q$3:$R$23,2,FALSE),"")</f>
        <v/>
      </c>
      <c r="T428" s="65"/>
      <c r="U428" s="65"/>
      <c r="V428" s="65"/>
      <c r="W428" s="65"/>
      <c r="X428" s="65"/>
      <c r="Y428" s="65"/>
      <c r="Z428" s="65"/>
      <c r="AA428" s="65"/>
      <c r="AB428" s="65"/>
      <c r="AC428" s="97"/>
      <c r="AD428" s="65"/>
      <c r="AE428" s="104" t="str">
        <f>IFERROR('BMP P Tracking Table'!$V428*VLOOKUP('BMP P Tracking Table'!$R428,'Loading Rates'!$B$1:$L$24,4,FALSE)+IF('BMP P Tracking Table'!$W428="By HSG",'BMP P Tracking Table'!$X428*VLOOKUP('BMP P Tracking Table'!$R428,'Loading Rates'!$B$1:$L$24,6,FALSE)+'BMP P Tracking Table'!$Y428*VLOOKUP('BMP P Tracking Table'!$R428,'Loading Rates'!$B$1:$L$24,7,FALSE)+'BMP P Tracking Table'!$Z428*VLOOKUP('BMP P Tracking Table'!$R428,'Loading Rates'!$B$1:$L$24,8,FALSE)+'BMP P Tracking Table'!$AA428*VLOOKUP('BMP P Tracking Table'!$R428,'Loading Rates'!$B$1:$L$24,9,FALSE),'BMP P Tracking Table'!$AB428*VLOOKUP('BMP P Tracking Table'!$R428,'Loading Rates'!$B$1:$L$24,10,FALSE)),"")</f>
        <v/>
      </c>
      <c r="AF428" s="104" t="str">
        <f>IFERROR(MIN(2,IF('BMP P Tracking Table'!$W428="Total Pervious",(-(3630*'BMP P Tracking Table'!$V428+20.691*'BMP P Tracking Table'!$AB428)+SQRT((3630*'BMP P Tracking Table'!$V428+20.691*'BMP P Tracking Table'!$AB428)^2-(4*(996.798*'BMP P Tracking Table'!$AB428)*-'BMP P Tracking Table'!$AC428)))/(2*(996.798*'BMP P Tracking Table'!$AB428)),IF(SUM('BMP P Tracking Table'!$X428:$AA428)=0,'BMP P Tracking Table'!$AC428/(-3630*'BMP P Tracking Table'!$V428),(-(3630*'BMP P Tracking Table'!$V428+20.691*'BMP P Tracking Table'!$AA428-216.711*'BMP P Tracking Table'!$Z428-83.853*'BMP P Tracking Table'!$Y428-42.834*'BMP P Tracking Table'!$X428)+SQRT((3630*'BMP P Tracking Table'!$V428+20.691*'BMP P Tracking Table'!$AA428-216.711*'BMP P Tracking Table'!$Z428-83.853*'BMP P Tracking Table'!$Y428-42.834*'BMP P Tracking Table'!$X428)^2-(4*(149.919*'BMP P Tracking Table'!$X428+236.676*'BMP P Tracking Table'!$Y428+726*'BMP P Tracking Table'!$Z428+996.798*'BMP P Tracking Table'!$AA428)*-'BMP P Tracking Table'!$AC428)))/(2*(149.919*'BMP P Tracking Table'!$X428+236.676*'BMP P Tracking Table'!$Y428+726*'BMP P Tracking Table'!$Z428+996.798*'BMP P Tracking Table'!$AA428))))),"")</f>
        <v/>
      </c>
      <c r="AG428" s="104" t="str">
        <f>IFERROR((VLOOKUP(CONCATENATE('BMP P Tracking Table'!$U428," ",'BMP P Tracking Table'!$AD428),'Performance Curves'!$C$1:$L$46,_xlfn.SINGLE(MATCH('BMP P Tracking Table'!$AF428,'Performance Curves'!$D$1:$L$1,1))+2,FALSE)-VLOOKUP(CONCATENATE('BMP P Tracking Table'!$U428," ",'BMP P Tracking Table'!$AD428),'Performance Curves'!$C$1:$L$46,_xlfn.SINGLE(MATCH('BMP P Tracking Table'!$AF428,'Performance Curves'!$D$1:$L$1,1))+1,FALSE)),"")</f>
        <v/>
      </c>
      <c r="AH428" s="104" t="str">
        <f>IFERROR(('BMP P Tracking Table'!$AF428-INDEX('Performance Curves'!$D$1:$L$1,1,MATCH('BMP P Tracking Table'!$AF428,'Performance Curves'!$D$1:$L$1,1)))/(INDEX('Performance Curves'!$D$1:$L$1,1,MATCH('BMP P Tracking Table'!$AF428,'Performance Curves'!$D$1:$L$1,1)+1)-INDEX('Performance Curves'!$D$1:$L$1,1,MATCH('BMP P Tracking Table'!$AF428,'Performance Curves'!$D$1:$L$1,1))),"")</f>
        <v/>
      </c>
      <c r="AI428" s="103" t="str">
        <f>IFERROR(IF('BMP P Tracking Table'!$AF428=2,VLOOKUP(CONCATENATE('BMP P Tracking Table'!$U428," ",'BMP P Tracking Table'!$AD428),'Performance Curves'!$C$1:$L$46,_xlfn.SINGLE(MATCH('BMP P Tracking Table'!$AF428,'Performance Curves'!$D$1:$L$1,1))+1,FALSE),'BMP P Tracking Table'!$AG428*'BMP P Tracking Table'!$AH428+VLOOKUP(CONCATENATE('BMP P Tracking Table'!$U428," ",'BMP P Tracking Table'!$AD428),'Performance Curves'!$C$1:$L$46,_xlfn.SINGLE(MATCH('BMP P Tracking Table'!$AF428,'Performance Curves'!$D$1:$L$1,1))+1,FALSE)),"")</f>
        <v/>
      </c>
      <c r="AJ428" s="104" t="str">
        <f>IFERROR('BMP P Tracking Table'!$AI428*'BMP P Tracking Table'!$AE428,"")</f>
        <v/>
      </c>
      <c r="AK428" s="65"/>
      <c r="AL428" s="98"/>
      <c r="AM428" s="98"/>
      <c r="AN428" s="64">
        <v>1</v>
      </c>
      <c r="AO428" s="102" t="str">
        <f t="shared" si="41"/>
        <v/>
      </c>
      <c r="AP428" s="98"/>
      <c r="AQ428" s="98"/>
      <c r="AR428" s="98"/>
      <c r="AS428" s="98"/>
      <c r="AT428" s="98"/>
      <c r="AU428" s="98"/>
      <c r="AV428" s="98"/>
      <c r="AW428" s="65"/>
      <c r="AX428" s="99"/>
      <c r="AY428" s="99"/>
      <c r="AZ428" s="104" t="str">
        <f>IF('BMP P Tracking Table'!$AL428="Yes",IF('BMP P Tracking Table'!$AM428="No",'BMP P Tracking Table'!$V428*VLOOKUP('BMP P Tracking Table'!$R428,'Loading Rates'!$B$1:$L$24,4,FALSE)+IF('BMP P Tracking Table'!$W428="By HSG",'BMP P Tracking Table'!$X428*VLOOKUP('BMP P Tracking Table'!$R428,'Loading Rates'!$B$1:$L$24,6,FALSE)+'BMP P Tracking Table'!$Y428*VLOOKUP('BMP P Tracking Table'!$R428,'Loading Rates'!$B$1:$L$24,7,FALSE)+'BMP P Tracking Table'!$Z428*VLOOKUP('BMP P Tracking Table'!$R428,'Loading Rates'!$B$1:$L$24,8,FALSE)+'BMP P Tracking Table'!$AA428*VLOOKUP('BMP P Tracking Table'!$R428,'Loading Rates'!$B$1:$L$24,9,FALSE),'BMP P Tracking Table'!$AB428*VLOOKUP('BMP P Tracking Table'!$R428,'Loading Rates'!$B$1:$L$24,10,FALSE)),'BMP P Tracking Table'!$AP428*VLOOKUP('BMP P Tracking Table'!$R428,'Loading Rates'!$B$1:$L$24,4,FALSE)+IF('BMP P Tracking Table'!$AQ428="By HSG",'BMP P Tracking Table'!$AR428*VLOOKUP('BMP P Tracking Table'!$R428,'Loading Rates'!$B$1:$L$24,6,FALSE)+'BMP P Tracking Table'!$AS428*VLOOKUP('BMP P Tracking Table'!$R428,'Loading Rates'!$B$1:$L$24,7,FALSE)+'BMP P Tracking Table'!$AT428*VLOOKUP('BMP P Tracking Table'!$R428,'Loading Rates'!$B$1:$L$24,8,FALSE)+'BMP P Tracking Table'!$AU428*VLOOKUP('BMP P Tracking Table'!$R428,'Loading Rates'!$B$1:$L$24,9,FALSE),'BMP P Tracking Table'!$AV428*VLOOKUP('BMP P Tracking Table'!$R428,'Loading Rates'!$B$1:$L$24,10,FALSE))),"")</f>
        <v/>
      </c>
      <c r="BA428" s="104" t="str">
        <f>IFERROR(IF('BMP P Tracking Table'!$AM428="Yes",MIN(2,IF('BMP P Tracking Table'!$AQ428="Total Pervious",(-(3630*'BMP P Tracking Table'!$AP428+20.691*'BMP P Tracking Table'!$AV428)+SQRT((3630*'BMP P Tracking Table'!$AP428+20.691*'BMP P Tracking Table'!$AV428)^2-(4*(996.798*'BMP P Tracking Table'!$AV428)*-'BMP P Tracking Table'!$AX428)))/(2*(996.798*'BMP P Tracking Table'!$AV428)),IF(SUM('BMP P Tracking Table'!$AR428:$AU428)=0,'BMP P Tracking Table'!$AV428/(-3630*'BMP P Tracking Table'!$AP428),(-(3630*'BMP P Tracking Table'!$AP428+20.691*'BMP P Tracking Table'!$AU428-216.711*'BMP P Tracking Table'!$AT428-83.853*'BMP P Tracking Table'!$AS428-42.834*'BMP P Tracking Table'!$AR428)+SQRT((3630*'BMP P Tracking Table'!$AP428+20.691*'BMP P Tracking Table'!$AU428-216.711*'BMP P Tracking Table'!$AT428-83.853*'BMP P Tracking Table'!$AS428-42.834*'BMP P Tracking Table'!$AR428)^2-(4*(149.919*'BMP P Tracking Table'!$AR428+236.676*'BMP P Tracking Table'!$AS428+726*'BMP P Tracking Table'!$AT428+996.798*'BMP P Tracking Table'!$AU428)*-'BMP P Tracking Table'!$AX428)))/(2*(149.919*'BMP P Tracking Table'!$AR428+236.676*'BMP P Tracking Table'!$AS428+726*'BMP P Tracking Table'!$AT428+996.798*'BMP P Tracking Table'!$AU428))))),MIN(2,IF('BMP P Tracking Table'!$AQ428="Total Pervious",(-(3630*'BMP P Tracking Table'!$V428+20.691*'BMP P Tracking Table'!$AB428)+SQRT((3630*'BMP P Tracking Table'!$V428+20.691*'BMP P Tracking Table'!$AB428)^2-(4*(996.798*'BMP P Tracking Table'!$AB428)*-'BMP P Tracking Table'!$AX428)))/(2*(996.798*'BMP P Tracking Table'!$AB428)),IF(SUM('BMP P Tracking Table'!$X428:$AA428)=0,'BMP P Tracking Table'!$AX428/(-3630*'BMP P Tracking Table'!$V428),(-(3630*'BMP P Tracking Table'!$V428+20.691*'BMP P Tracking Table'!$AA428-216.711*'BMP P Tracking Table'!$Z428-83.853*'BMP P Tracking Table'!$Y428-42.834*'BMP P Tracking Table'!$X428)+SQRT((3630*'BMP P Tracking Table'!$V428+20.691*'BMP P Tracking Table'!$AA428-216.711*'BMP P Tracking Table'!$Z428-83.853*'BMP P Tracking Table'!$Y428-42.834*'BMP P Tracking Table'!$X428)^2-(4*(149.919*'BMP P Tracking Table'!$X428+236.676*'BMP P Tracking Table'!$Y428+726*'BMP P Tracking Table'!$Z428+996.798*'BMP P Tracking Table'!$AA428)*-'BMP P Tracking Table'!$AX428)))/(2*(149.919*'BMP P Tracking Table'!$X428+236.676*'BMP P Tracking Table'!$Y428+726*'BMP P Tracking Table'!$Z428+996.798*'BMP P Tracking Table'!$AA428)))))),"")</f>
        <v/>
      </c>
      <c r="BB428" s="102" t="str">
        <f>IFERROR((VLOOKUP(CONCATENATE('BMP P Tracking Table'!$AW428," ",'BMP P Tracking Table'!$AY428),'Performance Curves'!$C$1:$L$46,_xlfn.SINGLE(MATCH('BMP P Tracking Table'!$BA428,'Performance Curves'!$D$1:$L$1,1))+2,FALSE)-VLOOKUP(CONCATENATE('BMP P Tracking Table'!$AW428," ",'BMP P Tracking Table'!$AY428),'Performance Curves'!$C$1:$L$46,_xlfn.SINGLE(MATCH('BMP P Tracking Table'!$BA428,'Performance Curves'!$D$1:$L$1,1))+1,FALSE)),"")</f>
        <v/>
      </c>
      <c r="BC428" s="102" t="str">
        <f>IFERROR(('BMP P Tracking Table'!$BA428-INDEX('Performance Curves'!$D$1:$L$1,1,MATCH('BMP P Tracking Table'!$BA428,'Performance Curves'!$D$1:$L$1,1)))/(INDEX('Performance Curves'!$D$1:$L$1,1,MATCH('BMP P Tracking Table'!$BA428,'Performance Curves'!$D$1:$L$1,1)+1)-INDEX('Performance Curves'!$D$1:$L$1,1,MATCH('BMP P Tracking Table'!$BA428,'Performance Curves'!$D$1:$L$1,1))),"")</f>
        <v/>
      </c>
      <c r="BD428" s="103" t="str" cm="1">
        <f t="array" ref="BD428">IFERROR(IF('BMP P Tracking Table'!$BA428=2,VLOOKUP(CONCATENATE('BMP P Tracking Table'!$AW428," ",'BMP P Tracking Table'!$AY428),'Performance Curves'!$C$1:$L$44,_xlfn.SINGLE(MATCH('BMP P Tracking Table'!$BA428,'Performance Curves'!$D$1:$L$1,1))+1,FALSE),'BMP P Tracking Table'!$BB428*'BMP P Tracking Table'!$BC428+VLOOKUP(CONCATENATE('BMP P Tracking Table'!$AW428," ",'BMP P Tracking Table'!$AY428),'Performance Curves'!$C$1:$L$44,_xlfn.SINGLE(MATCH('BMP P Tracking Table'!$BA428,'Performance Curves'!$D$1:$L$1,1))+1,FALSE)),"")</f>
        <v/>
      </c>
      <c r="BE428" s="104" t="str">
        <f>IFERROR('BMP P Tracking Table'!$BD428*'BMP P Tracking Table'!$AZ428,"")</f>
        <v/>
      </c>
      <c r="BF428" s="92"/>
      <c r="BG428" s="37">
        <f t="shared" si="42"/>
        <v>0</v>
      </c>
    </row>
    <row r="429" spans="2:59" s="36" customFormat="1">
      <c r="B429" s="65"/>
      <c r="C429" s="65"/>
      <c r="D429" s="65"/>
      <c r="E429" s="65"/>
      <c r="F429" s="94"/>
      <c r="G429" s="94"/>
      <c r="H429" s="65"/>
      <c r="I429" s="65"/>
      <c r="J429" s="65"/>
      <c r="K429" s="95"/>
      <c r="L429" s="65"/>
      <c r="M429" s="65"/>
      <c r="N429" s="65"/>
      <c r="O429" s="65"/>
      <c r="P429" s="65"/>
      <c r="Q429" s="65"/>
      <c r="R429" s="65" t="str">
        <f>IFERROR(VLOOKUP('BMP P Tracking Table'!$Q429,Dropdowns!$C$2:$E$15,3,FALSE),"")</f>
        <v/>
      </c>
      <c r="S429" s="65" t="str">
        <f>IFERROR(VLOOKUP('BMP P Tracking Table'!$R429,Dropdowns!$Q$3:$R$23,2,FALSE),"")</f>
        <v/>
      </c>
      <c r="T429" s="65"/>
      <c r="U429" s="65"/>
      <c r="V429" s="65"/>
      <c r="W429" s="65"/>
      <c r="X429" s="65"/>
      <c r="Y429" s="65"/>
      <c r="Z429" s="65"/>
      <c r="AA429" s="65"/>
      <c r="AB429" s="65"/>
      <c r="AC429" s="97"/>
      <c r="AD429" s="65"/>
      <c r="AE429" s="104" t="str">
        <f>IFERROR('BMP P Tracking Table'!$V429*VLOOKUP('BMP P Tracking Table'!$R429,'Loading Rates'!$B$1:$L$24,4,FALSE)+IF('BMP P Tracking Table'!$W429="By HSG",'BMP P Tracking Table'!$X429*VLOOKUP('BMP P Tracking Table'!$R429,'Loading Rates'!$B$1:$L$24,6,FALSE)+'BMP P Tracking Table'!$Y429*VLOOKUP('BMP P Tracking Table'!$R429,'Loading Rates'!$B$1:$L$24,7,FALSE)+'BMP P Tracking Table'!$Z429*VLOOKUP('BMP P Tracking Table'!$R429,'Loading Rates'!$B$1:$L$24,8,FALSE)+'BMP P Tracking Table'!$AA429*VLOOKUP('BMP P Tracking Table'!$R429,'Loading Rates'!$B$1:$L$24,9,FALSE),'BMP P Tracking Table'!$AB429*VLOOKUP('BMP P Tracking Table'!$R429,'Loading Rates'!$B$1:$L$24,10,FALSE)),"")</f>
        <v/>
      </c>
      <c r="AF429" s="104" t="str">
        <f>IFERROR(MIN(2,IF('BMP P Tracking Table'!$W429="Total Pervious",(-(3630*'BMP P Tracking Table'!$V429+20.691*'BMP P Tracking Table'!$AB429)+SQRT((3630*'BMP P Tracking Table'!$V429+20.691*'BMP P Tracking Table'!$AB429)^2-(4*(996.798*'BMP P Tracking Table'!$AB429)*-'BMP P Tracking Table'!$AC429)))/(2*(996.798*'BMP P Tracking Table'!$AB429)),IF(SUM('BMP P Tracking Table'!$X429:$AA429)=0,'BMP P Tracking Table'!$AC429/(-3630*'BMP P Tracking Table'!$V429),(-(3630*'BMP P Tracking Table'!$V429+20.691*'BMP P Tracking Table'!$AA429-216.711*'BMP P Tracking Table'!$Z429-83.853*'BMP P Tracking Table'!$Y429-42.834*'BMP P Tracking Table'!$X429)+SQRT((3630*'BMP P Tracking Table'!$V429+20.691*'BMP P Tracking Table'!$AA429-216.711*'BMP P Tracking Table'!$Z429-83.853*'BMP P Tracking Table'!$Y429-42.834*'BMP P Tracking Table'!$X429)^2-(4*(149.919*'BMP P Tracking Table'!$X429+236.676*'BMP P Tracking Table'!$Y429+726*'BMP P Tracking Table'!$Z429+996.798*'BMP P Tracking Table'!$AA429)*-'BMP P Tracking Table'!$AC429)))/(2*(149.919*'BMP P Tracking Table'!$X429+236.676*'BMP P Tracking Table'!$Y429+726*'BMP P Tracking Table'!$Z429+996.798*'BMP P Tracking Table'!$AA429))))),"")</f>
        <v/>
      </c>
      <c r="AG429" s="104" t="str">
        <f>IFERROR((VLOOKUP(CONCATENATE('BMP P Tracking Table'!$U429," ",'BMP P Tracking Table'!$AD429),'Performance Curves'!$C$1:$L$46,_xlfn.SINGLE(MATCH('BMP P Tracking Table'!$AF429,'Performance Curves'!$D$1:$L$1,1))+2,FALSE)-VLOOKUP(CONCATENATE('BMP P Tracking Table'!$U429," ",'BMP P Tracking Table'!$AD429),'Performance Curves'!$C$1:$L$46,_xlfn.SINGLE(MATCH('BMP P Tracking Table'!$AF429,'Performance Curves'!$D$1:$L$1,1))+1,FALSE)),"")</f>
        <v/>
      </c>
      <c r="AH429" s="104" t="str">
        <f>IFERROR(('BMP P Tracking Table'!$AF429-INDEX('Performance Curves'!$D$1:$L$1,1,MATCH('BMP P Tracking Table'!$AF429,'Performance Curves'!$D$1:$L$1,1)))/(INDEX('Performance Curves'!$D$1:$L$1,1,MATCH('BMP P Tracking Table'!$AF429,'Performance Curves'!$D$1:$L$1,1)+1)-INDEX('Performance Curves'!$D$1:$L$1,1,MATCH('BMP P Tracking Table'!$AF429,'Performance Curves'!$D$1:$L$1,1))),"")</f>
        <v/>
      </c>
      <c r="AI429" s="103" t="str">
        <f>IFERROR(IF('BMP P Tracking Table'!$AF429=2,VLOOKUP(CONCATENATE('BMP P Tracking Table'!$U429," ",'BMP P Tracking Table'!$AD429),'Performance Curves'!$C$1:$L$46,_xlfn.SINGLE(MATCH('BMP P Tracking Table'!$AF429,'Performance Curves'!$D$1:$L$1,1))+1,FALSE),'BMP P Tracking Table'!$AG429*'BMP P Tracking Table'!$AH429+VLOOKUP(CONCATENATE('BMP P Tracking Table'!$U429," ",'BMP P Tracking Table'!$AD429),'Performance Curves'!$C$1:$L$46,_xlfn.SINGLE(MATCH('BMP P Tracking Table'!$AF429,'Performance Curves'!$D$1:$L$1,1))+1,FALSE)),"")</f>
        <v/>
      </c>
      <c r="AJ429" s="104" t="str">
        <f>IFERROR('BMP P Tracking Table'!$AI429*'BMP P Tracking Table'!$AE429,"")</f>
        <v/>
      </c>
      <c r="AK429" s="65"/>
      <c r="AL429" s="98"/>
      <c r="AM429" s="98"/>
      <c r="AN429" s="64">
        <v>1</v>
      </c>
      <c r="AO429" s="102" t="str">
        <f t="shared" si="41"/>
        <v/>
      </c>
      <c r="AP429" s="98"/>
      <c r="AQ429" s="98"/>
      <c r="AR429" s="98"/>
      <c r="AS429" s="98"/>
      <c r="AT429" s="98"/>
      <c r="AU429" s="98"/>
      <c r="AV429" s="98"/>
      <c r="AW429" s="65"/>
      <c r="AX429" s="99"/>
      <c r="AY429" s="99"/>
      <c r="AZ429" s="104" t="str">
        <f>IF('BMP P Tracking Table'!$AL429="Yes",IF('BMP P Tracking Table'!$AM429="No",'BMP P Tracking Table'!$V429*VLOOKUP('BMP P Tracking Table'!$R429,'Loading Rates'!$B$1:$L$24,4,FALSE)+IF('BMP P Tracking Table'!$W429="By HSG",'BMP P Tracking Table'!$X429*VLOOKUP('BMP P Tracking Table'!$R429,'Loading Rates'!$B$1:$L$24,6,FALSE)+'BMP P Tracking Table'!$Y429*VLOOKUP('BMP P Tracking Table'!$R429,'Loading Rates'!$B$1:$L$24,7,FALSE)+'BMP P Tracking Table'!$Z429*VLOOKUP('BMP P Tracking Table'!$R429,'Loading Rates'!$B$1:$L$24,8,FALSE)+'BMP P Tracking Table'!$AA429*VLOOKUP('BMP P Tracking Table'!$R429,'Loading Rates'!$B$1:$L$24,9,FALSE),'BMP P Tracking Table'!$AB429*VLOOKUP('BMP P Tracking Table'!$R429,'Loading Rates'!$B$1:$L$24,10,FALSE)),'BMP P Tracking Table'!$AP429*VLOOKUP('BMP P Tracking Table'!$R429,'Loading Rates'!$B$1:$L$24,4,FALSE)+IF('BMP P Tracking Table'!$AQ429="By HSG",'BMP P Tracking Table'!$AR429*VLOOKUP('BMP P Tracking Table'!$R429,'Loading Rates'!$B$1:$L$24,6,FALSE)+'BMP P Tracking Table'!$AS429*VLOOKUP('BMP P Tracking Table'!$R429,'Loading Rates'!$B$1:$L$24,7,FALSE)+'BMP P Tracking Table'!$AT429*VLOOKUP('BMP P Tracking Table'!$R429,'Loading Rates'!$B$1:$L$24,8,FALSE)+'BMP P Tracking Table'!$AU429*VLOOKUP('BMP P Tracking Table'!$R429,'Loading Rates'!$B$1:$L$24,9,FALSE),'BMP P Tracking Table'!$AV429*VLOOKUP('BMP P Tracking Table'!$R429,'Loading Rates'!$B$1:$L$24,10,FALSE))),"")</f>
        <v/>
      </c>
      <c r="BA429" s="104" t="str">
        <f>IFERROR(IF('BMP P Tracking Table'!$AM429="Yes",MIN(2,IF('BMP P Tracking Table'!$AQ429="Total Pervious",(-(3630*'BMP P Tracking Table'!$AP429+20.691*'BMP P Tracking Table'!$AV429)+SQRT((3630*'BMP P Tracking Table'!$AP429+20.691*'BMP P Tracking Table'!$AV429)^2-(4*(996.798*'BMP P Tracking Table'!$AV429)*-'BMP P Tracking Table'!$AX429)))/(2*(996.798*'BMP P Tracking Table'!$AV429)),IF(SUM('BMP P Tracking Table'!$AR429:$AU429)=0,'BMP P Tracking Table'!$AV429/(-3630*'BMP P Tracking Table'!$AP429),(-(3630*'BMP P Tracking Table'!$AP429+20.691*'BMP P Tracking Table'!$AU429-216.711*'BMP P Tracking Table'!$AT429-83.853*'BMP P Tracking Table'!$AS429-42.834*'BMP P Tracking Table'!$AR429)+SQRT((3630*'BMP P Tracking Table'!$AP429+20.691*'BMP P Tracking Table'!$AU429-216.711*'BMP P Tracking Table'!$AT429-83.853*'BMP P Tracking Table'!$AS429-42.834*'BMP P Tracking Table'!$AR429)^2-(4*(149.919*'BMP P Tracking Table'!$AR429+236.676*'BMP P Tracking Table'!$AS429+726*'BMP P Tracking Table'!$AT429+996.798*'BMP P Tracking Table'!$AU429)*-'BMP P Tracking Table'!$AX429)))/(2*(149.919*'BMP P Tracking Table'!$AR429+236.676*'BMP P Tracking Table'!$AS429+726*'BMP P Tracking Table'!$AT429+996.798*'BMP P Tracking Table'!$AU429))))),MIN(2,IF('BMP P Tracking Table'!$AQ429="Total Pervious",(-(3630*'BMP P Tracking Table'!$V429+20.691*'BMP P Tracking Table'!$AB429)+SQRT((3630*'BMP P Tracking Table'!$V429+20.691*'BMP P Tracking Table'!$AB429)^2-(4*(996.798*'BMP P Tracking Table'!$AB429)*-'BMP P Tracking Table'!$AX429)))/(2*(996.798*'BMP P Tracking Table'!$AB429)),IF(SUM('BMP P Tracking Table'!$X429:$AA429)=0,'BMP P Tracking Table'!$AX429/(-3630*'BMP P Tracking Table'!$V429),(-(3630*'BMP P Tracking Table'!$V429+20.691*'BMP P Tracking Table'!$AA429-216.711*'BMP P Tracking Table'!$Z429-83.853*'BMP P Tracking Table'!$Y429-42.834*'BMP P Tracking Table'!$X429)+SQRT((3630*'BMP P Tracking Table'!$V429+20.691*'BMP P Tracking Table'!$AA429-216.711*'BMP P Tracking Table'!$Z429-83.853*'BMP P Tracking Table'!$Y429-42.834*'BMP P Tracking Table'!$X429)^2-(4*(149.919*'BMP P Tracking Table'!$X429+236.676*'BMP P Tracking Table'!$Y429+726*'BMP P Tracking Table'!$Z429+996.798*'BMP P Tracking Table'!$AA429)*-'BMP P Tracking Table'!$AX429)))/(2*(149.919*'BMP P Tracking Table'!$X429+236.676*'BMP P Tracking Table'!$Y429+726*'BMP P Tracking Table'!$Z429+996.798*'BMP P Tracking Table'!$AA429)))))),"")</f>
        <v/>
      </c>
      <c r="BB429" s="102" t="str">
        <f>IFERROR((VLOOKUP(CONCATENATE('BMP P Tracking Table'!$AW429," ",'BMP P Tracking Table'!$AY429),'Performance Curves'!$C$1:$L$46,_xlfn.SINGLE(MATCH('BMP P Tracking Table'!$BA429,'Performance Curves'!$D$1:$L$1,1))+2,FALSE)-VLOOKUP(CONCATENATE('BMP P Tracking Table'!$AW429," ",'BMP P Tracking Table'!$AY429),'Performance Curves'!$C$1:$L$46,_xlfn.SINGLE(MATCH('BMP P Tracking Table'!$BA429,'Performance Curves'!$D$1:$L$1,1))+1,FALSE)),"")</f>
        <v/>
      </c>
      <c r="BC429" s="102" t="str">
        <f>IFERROR(('BMP P Tracking Table'!$BA429-INDEX('Performance Curves'!$D$1:$L$1,1,MATCH('BMP P Tracking Table'!$BA429,'Performance Curves'!$D$1:$L$1,1)))/(INDEX('Performance Curves'!$D$1:$L$1,1,MATCH('BMP P Tracking Table'!$BA429,'Performance Curves'!$D$1:$L$1,1)+1)-INDEX('Performance Curves'!$D$1:$L$1,1,MATCH('BMP P Tracking Table'!$BA429,'Performance Curves'!$D$1:$L$1,1))),"")</f>
        <v/>
      </c>
      <c r="BD429" s="103" t="str" cm="1">
        <f t="array" ref="BD429">IFERROR(IF('BMP P Tracking Table'!$BA429=2,VLOOKUP(CONCATENATE('BMP P Tracking Table'!$AW429," ",'BMP P Tracking Table'!$AY429),'Performance Curves'!$C$1:$L$44,_xlfn.SINGLE(MATCH('BMP P Tracking Table'!$BA429,'Performance Curves'!$D$1:$L$1,1))+1,FALSE),'BMP P Tracking Table'!$BB429*'BMP P Tracking Table'!$BC429+VLOOKUP(CONCATENATE('BMP P Tracking Table'!$AW429," ",'BMP P Tracking Table'!$AY429),'Performance Curves'!$C$1:$L$44,_xlfn.SINGLE(MATCH('BMP P Tracking Table'!$BA429,'Performance Curves'!$D$1:$L$1,1))+1,FALSE)),"")</f>
        <v/>
      </c>
      <c r="BE429" s="104" t="str">
        <f>IFERROR('BMP P Tracking Table'!$BD429*'BMP P Tracking Table'!$AZ429,"")</f>
        <v/>
      </c>
      <c r="BF429" s="98"/>
      <c r="BG429" s="37">
        <f t="shared" si="42"/>
        <v>0</v>
      </c>
    </row>
    <row r="430" spans="2:59" s="36" customFormat="1">
      <c r="B430" s="65"/>
      <c r="C430" s="65"/>
      <c r="D430" s="65"/>
      <c r="E430" s="65"/>
      <c r="F430" s="94"/>
      <c r="G430" s="94"/>
      <c r="H430" s="65"/>
      <c r="I430" s="65"/>
      <c r="J430" s="65"/>
      <c r="K430" s="95"/>
      <c r="L430" s="65"/>
      <c r="M430" s="65"/>
      <c r="N430" s="65"/>
      <c r="O430" s="65"/>
      <c r="P430" s="65"/>
      <c r="Q430" s="65"/>
      <c r="R430" s="65" t="str">
        <f>IFERROR(VLOOKUP('BMP P Tracking Table'!$Q430,Dropdowns!$C$2:$E$15,3,FALSE),"")</f>
        <v/>
      </c>
      <c r="S430" s="65" t="str">
        <f>IFERROR(VLOOKUP('BMP P Tracking Table'!$R430,Dropdowns!$Q$3:$R$23,2,FALSE),"")</f>
        <v/>
      </c>
      <c r="T430" s="65"/>
      <c r="U430" s="65"/>
      <c r="V430" s="65"/>
      <c r="W430" s="65"/>
      <c r="X430" s="65"/>
      <c r="Y430" s="65"/>
      <c r="Z430" s="65"/>
      <c r="AA430" s="65"/>
      <c r="AB430" s="65"/>
      <c r="AC430" s="97"/>
      <c r="AD430" s="65"/>
      <c r="AE430" s="104" t="str">
        <f>IFERROR('BMP P Tracking Table'!$V430*VLOOKUP('BMP P Tracking Table'!$R430,'Loading Rates'!$B$1:$L$24,4,FALSE)+IF('BMP P Tracking Table'!$W430="By HSG",'BMP P Tracking Table'!$X430*VLOOKUP('BMP P Tracking Table'!$R430,'Loading Rates'!$B$1:$L$24,6,FALSE)+'BMP P Tracking Table'!$Y430*VLOOKUP('BMP P Tracking Table'!$R430,'Loading Rates'!$B$1:$L$24,7,FALSE)+'BMP P Tracking Table'!$Z430*VLOOKUP('BMP P Tracking Table'!$R430,'Loading Rates'!$B$1:$L$24,8,FALSE)+'BMP P Tracking Table'!$AA430*VLOOKUP('BMP P Tracking Table'!$R430,'Loading Rates'!$B$1:$L$24,9,FALSE),'BMP P Tracking Table'!$AB430*VLOOKUP('BMP P Tracking Table'!$R430,'Loading Rates'!$B$1:$L$24,10,FALSE)),"")</f>
        <v/>
      </c>
      <c r="AF430" s="104" t="str">
        <f>IFERROR(MIN(2,IF('BMP P Tracking Table'!$W430="Total Pervious",(-(3630*'BMP P Tracking Table'!$V430+20.691*'BMP P Tracking Table'!$AB430)+SQRT((3630*'BMP P Tracking Table'!$V430+20.691*'BMP P Tracking Table'!$AB430)^2-(4*(996.798*'BMP P Tracking Table'!$AB430)*-'BMP P Tracking Table'!$AC430)))/(2*(996.798*'BMP P Tracking Table'!$AB430)),IF(SUM('BMP P Tracking Table'!$X430:$AA430)=0,'BMP P Tracking Table'!$AC430/(-3630*'BMP P Tracking Table'!$V430),(-(3630*'BMP P Tracking Table'!$V430+20.691*'BMP P Tracking Table'!$AA430-216.711*'BMP P Tracking Table'!$Z430-83.853*'BMP P Tracking Table'!$Y430-42.834*'BMP P Tracking Table'!$X430)+SQRT((3630*'BMP P Tracking Table'!$V430+20.691*'BMP P Tracking Table'!$AA430-216.711*'BMP P Tracking Table'!$Z430-83.853*'BMP P Tracking Table'!$Y430-42.834*'BMP P Tracking Table'!$X430)^2-(4*(149.919*'BMP P Tracking Table'!$X430+236.676*'BMP P Tracking Table'!$Y430+726*'BMP P Tracking Table'!$Z430+996.798*'BMP P Tracking Table'!$AA430)*-'BMP P Tracking Table'!$AC430)))/(2*(149.919*'BMP P Tracking Table'!$X430+236.676*'BMP P Tracking Table'!$Y430+726*'BMP P Tracking Table'!$Z430+996.798*'BMP P Tracking Table'!$AA430))))),"")</f>
        <v/>
      </c>
      <c r="AG430" s="104" t="str">
        <f>IFERROR((VLOOKUP(CONCATENATE('BMP P Tracking Table'!$U430," ",'BMP P Tracking Table'!$AD430),'Performance Curves'!$C$1:$L$46,_xlfn.SINGLE(MATCH('BMP P Tracking Table'!$AF430,'Performance Curves'!$D$1:$L$1,1))+2,FALSE)-VLOOKUP(CONCATENATE('BMP P Tracking Table'!$U430," ",'BMP P Tracking Table'!$AD430),'Performance Curves'!$C$1:$L$46,_xlfn.SINGLE(MATCH('BMP P Tracking Table'!$AF430,'Performance Curves'!$D$1:$L$1,1))+1,FALSE)),"")</f>
        <v/>
      </c>
      <c r="AH430" s="104" t="str">
        <f>IFERROR(('BMP P Tracking Table'!$AF430-INDEX('Performance Curves'!$D$1:$L$1,1,MATCH('BMP P Tracking Table'!$AF430,'Performance Curves'!$D$1:$L$1,1)))/(INDEX('Performance Curves'!$D$1:$L$1,1,MATCH('BMP P Tracking Table'!$AF430,'Performance Curves'!$D$1:$L$1,1)+1)-INDEX('Performance Curves'!$D$1:$L$1,1,MATCH('BMP P Tracking Table'!$AF430,'Performance Curves'!$D$1:$L$1,1))),"")</f>
        <v/>
      </c>
      <c r="AI430" s="103" t="str">
        <f>IFERROR(IF('BMP P Tracking Table'!$AF430=2,VLOOKUP(CONCATENATE('BMP P Tracking Table'!$U430," ",'BMP P Tracking Table'!$AD430),'Performance Curves'!$C$1:$L$46,_xlfn.SINGLE(MATCH('BMP P Tracking Table'!$AF430,'Performance Curves'!$D$1:$L$1,1))+1,FALSE),'BMP P Tracking Table'!$AG430*'BMP P Tracking Table'!$AH430+VLOOKUP(CONCATENATE('BMP P Tracking Table'!$U430," ",'BMP P Tracking Table'!$AD430),'Performance Curves'!$C$1:$L$46,_xlfn.SINGLE(MATCH('BMP P Tracking Table'!$AF430,'Performance Curves'!$D$1:$L$1,1))+1,FALSE)),"")</f>
        <v/>
      </c>
      <c r="AJ430" s="104" t="str">
        <f>IFERROR('BMP P Tracking Table'!$AI430*'BMP P Tracking Table'!$AE430,"")</f>
        <v/>
      </c>
      <c r="AK430" s="65"/>
      <c r="AL430" s="98"/>
      <c r="AM430" s="98"/>
      <c r="AN430" s="64">
        <v>1</v>
      </c>
      <c r="AO430" s="102" t="str">
        <f t="shared" si="41"/>
        <v/>
      </c>
      <c r="AP430" s="98"/>
      <c r="AQ430" s="98"/>
      <c r="AR430" s="98"/>
      <c r="AS430" s="98"/>
      <c r="AT430" s="98"/>
      <c r="AU430" s="98"/>
      <c r="AV430" s="98"/>
      <c r="AW430" s="65"/>
      <c r="AX430" s="99"/>
      <c r="AY430" s="99"/>
      <c r="AZ430" s="104" t="str">
        <f>IF('BMP P Tracking Table'!$AL430="Yes",IF('BMP P Tracking Table'!$AM430="No",'BMP P Tracking Table'!$V430*VLOOKUP('BMP P Tracking Table'!$R430,'Loading Rates'!$B$1:$L$24,4,FALSE)+IF('BMP P Tracking Table'!$W430="By HSG",'BMP P Tracking Table'!$X430*VLOOKUP('BMP P Tracking Table'!$R430,'Loading Rates'!$B$1:$L$24,6,FALSE)+'BMP P Tracking Table'!$Y430*VLOOKUP('BMP P Tracking Table'!$R430,'Loading Rates'!$B$1:$L$24,7,FALSE)+'BMP P Tracking Table'!$Z430*VLOOKUP('BMP P Tracking Table'!$R430,'Loading Rates'!$B$1:$L$24,8,FALSE)+'BMP P Tracking Table'!$AA430*VLOOKUP('BMP P Tracking Table'!$R430,'Loading Rates'!$B$1:$L$24,9,FALSE),'BMP P Tracking Table'!$AB430*VLOOKUP('BMP P Tracking Table'!$R430,'Loading Rates'!$B$1:$L$24,10,FALSE)),'BMP P Tracking Table'!$AP430*VLOOKUP('BMP P Tracking Table'!$R430,'Loading Rates'!$B$1:$L$24,4,FALSE)+IF('BMP P Tracking Table'!$AQ430="By HSG",'BMP P Tracking Table'!$AR430*VLOOKUP('BMP P Tracking Table'!$R430,'Loading Rates'!$B$1:$L$24,6,FALSE)+'BMP P Tracking Table'!$AS430*VLOOKUP('BMP P Tracking Table'!$R430,'Loading Rates'!$B$1:$L$24,7,FALSE)+'BMP P Tracking Table'!$AT430*VLOOKUP('BMP P Tracking Table'!$R430,'Loading Rates'!$B$1:$L$24,8,FALSE)+'BMP P Tracking Table'!$AU430*VLOOKUP('BMP P Tracking Table'!$R430,'Loading Rates'!$B$1:$L$24,9,FALSE),'BMP P Tracking Table'!$AV430*VLOOKUP('BMP P Tracking Table'!$R430,'Loading Rates'!$B$1:$L$24,10,FALSE))),"")</f>
        <v/>
      </c>
      <c r="BA430" s="104" t="str">
        <f>IFERROR(IF('BMP P Tracking Table'!$AM430="Yes",MIN(2,IF('BMP P Tracking Table'!$AQ430="Total Pervious",(-(3630*'BMP P Tracking Table'!$AP430+20.691*'BMP P Tracking Table'!$AV430)+SQRT((3630*'BMP P Tracking Table'!$AP430+20.691*'BMP P Tracking Table'!$AV430)^2-(4*(996.798*'BMP P Tracking Table'!$AV430)*-'BMP P Tracking Table'!$AX430)))/(2*(996.798*'BMP P Tracking Table'!$AV430)),IF(SUM('BMP P Tracking Table'!$AR430:$AU430)=0,'BMP P Tracking Table'!$AV430/(-3630*'BMP P Tracking Table'!$AP430),(-(3630*'BMP P Tracking Table'!$AP430+20.691*'BMP P Tracking Table'!$AU430-216.711*'BMP P Tracking Table'!$AT430-83.853*'BMP P Tracking Table'!$AS430-42.834*'BMP P Tracking Table'!$AR430)+SQRT((3630*'BMP P Tracking Table'!$AP430+20.691*'BMP P Tracking Table'!$AU430-216.711*'BMP P Tracking Table'!$AT430-83.853*'BMP P Tracking Table'!$AS430-42.834*'BMP P Tracking Table'!$AR430)^2-(4*(149.919*'BMP P Tracking Table'!$AR430+236.676*'BMP P Tracking Table'!$AS430+726*'BMP P Tracking Table'!$AT430+996.798*'BMP P Tracking Table'!$AU430)*-'BMP P Tracking Table'!$AX430)))/(2*(149.919*'BMP P Tracking Table'!$AR430+236.676*'BMP P Tracking Table'!$AS430+726*'BMP P Tracking Table'!$AT430+996.798*'BMP P Tracking Table'!$AU430))))),MIN(2,IF('BMP P Tracking Table'!$AQ430="Total Pervious",(-(3630*'BMP P Tracking Table'!$V430+20.691*'BMP P Tracking Table'!$AB430)+SQRT((3630*'BMP P Tracking Table'!$V430+20.691*'BMP P Tracking Table'!$AB430)^2-(4*(996.798*'BMP P Tracking Table'!$AB430)*-'BMP P Tracking Table'!$AX430)))/(2*(996.798*'BMP P Tracking Table'!$AB430)),IF(SUM('BMP P Tracking Table'!$X430:$AA430)=0,'BMP P Tracking Table'!$AX430/(-3630*'BMP P Tracking Table'!$V430),(-(3630*'BMP P Tracking Table'!$V430+20.691*'BMP P Tracking Table'!$AA430-216.711*'BMP P Tracking Table'!$Z430-83.853*'BMP P Tracking Table'!$Y430-42.834*'BMP P Tracking Table'!$X430)+SQRT((3630*'BMP P Tracking Table'!$V430+20.691*'BMP P Tracking Table'!$AA430-216.711*'BMP P Tracking Table'!$Z430-83.853*'BMP P Tracking Table'!$Y430-42.834*'BMP P Tracking Table'!$X430)^2-(4*(149.919*'BMP P Tracking Table'!$X430+236.676*'BMP P Tracking Table'!$Y430+726*'BMP P Tracking Table'!$Z430+996.798*'BMP P Tracking Table'!$AA430)*-'BMP P Tracking Table'!$AX430)))/(2*(149.919*'BMP P Tracking Table'!$X430+236.676*'BMP P Tracking Table'!$Y430+726*'BMP P Tracking Table'!$Z430+996.798*'BMP P Tracking Table'!$AA430)))))),"")</f>
        <v/>
      </c>
      <c r="BB430" s="102" t="str">
        <f>IFERROR((VLOOKUP(CONCATENATE('BMP P Tracking Table'!$AW430," ",'BMP P Tracking Table'!$AY430),'Performance Curves'!$C$1:$L$46,_xlfn.SINGLE(MATCH('BMP P Tracking Table'!$BA430,'Performance Curves'!$D$1:$L$1,1))+2,FALSE)-VLOOKUP(CONCATENATE('BMP P Tracking Table'!$AW430," ",'BMP P Tracking Table'!$AY430),'Performance Curves'!$C$1:$L$46,_xlfn.SINGLE(MATCH('BMP P Tracking Table'!$BA430,'Performance Curves'!$D$1:$L$1,1))+1,FALSE)),"")</f>
        <v/>
      </c>
      <c r="BC430" s="102" t="str">
        <f>IFERROR(('BMP P Tracking Table'!$BA430-INDEX('Performance Curves'!$D$1:$L$1,1,MATCH('BMP P Tracking Table'!$BA430,'Performance Curves'!$D$1:$L$1,1)))/(INDEX('Performance Curves'!$D$1:$L$1,1,MATCH('BMP P Tracking Table'!$BA430,'Performance Curves'!$D$1:$L$1,1)+1)-INDEX('Performance Curves'!$D$1:$L$1,1,MATCH('BMP P Tracking Table'!$BA430,'Performance Curves'!$D$1:$L$1,1))),"")</f>
        <v/>
      </c>
      <c r="BD430" s="103" t="str" cm="1">
        <f t="array" ref="BD430">IFERROR(IF('BMP P Tracking Table'!$BA430=2,VLOOKUP(CONCATENATE('BMP P Tracking Table'!$AW430," ",'BMP P Tracking Table'!$AY430),'Performance Curves'!$C$1:$L$44,_xlfn.SINGLE(MATCH('BMP P Tracking Table'!$BA430,'Performance Curves'!$D$1:$L$1,1))+1,FALSE),'BMP P Tracking Table'!$BB430*'BMP P Tracking Table'!$BC430+VLOOKUP(CONCATENATE('BMP P Tracking Table'!$AW430," ",'BMP P Tracking Table'!$AY430),'Performance Curves'!$C$1:$L$44,_xlfn.SINGLE(MATCH('BMP P Tracking Table'!$BA430,'Performance Curves'!$D$1:$L$1,1))+1,FALSE)),"")</f>
        <v/>
      </c>
      <c r="BE430" s="104" t="str">
        <f>IFERROR('BMP P Tracking Table'!$BD430*'BMP P Tracking Table'!$AZ430,"")</f>
        <v/>
      </c>
      <c r="BF430" s="98"/>
      <c r="BG430" s="37">
        <f t="shared" si="42"/>
        <v>0</v>
      </c>
    </row>
    <row r="431" spans="2:59" s="36" customFormat="1">
      <c r="B431" s="65"/>
      <c r="C431" s="65"/>
      <c r="D431" s="65"/>
      <c r="E431" s="65"/>
      <c r="F431" s="94"/>
      <c r="G431" s="94"/>
      <c r="H431" s="65"/>
      <c r="I431" s="65"/>
      <c r="J431" s="65"/>
      <c r="K431" s="95"/>
      <c r="L431" s="65"/>
      <c r="M431" s="65"/>
      <c r="N431" s="65"/>
      <c r="O431" s="65"/>
      <c r="P431" s="65"/>
      <c r="Q431" s="65"/>
      <c r="R431" s="65" t="str">
        <f>IFERROR(VLOOKUP('BMP P Tracking Table'!$Q431,Dropdowns!$C$2:$E$15,3,FALSE),"")</f>
        <v/>
      </c>
      <c r="S431" s="65" t="str">
        <f>IFERROR(VLOOKUP('BMP P Tracking Table'!$R431,Dropdowns!$Q$3:$R$23,2,FALSE),"")</f>
        <v/>
      </c>
      <c r="T431" s="65"/>
      <c r="U431" s="65"/>
      <c r="V431" s="65"/>
      <c r="W431" s="65"/>
      <c r="X431" s="65"/>
      <c r="Y431" s="65"/>
      <c r="Z431" s="65"/>
      <c r="AA431" s="65"/>
      <c r="AB431" s="65"/>
      <c r="AC431" s="97"/>
      <c r="AD431" s="65"/>
      <c r="AE431" s="104" t="str">
        <f>IFERROR('BMP P Tracking Table'!$V431*VLOOKUP('BMP P Tracking Table'!$R431,'Loading Rates'!$B$1:$L$24,4,FALSE)+IF('BMP P Tracking Table'!$W431="By HSG",'BMP P Tracking Table'!$X431*VLOOKUP('BMP P Tracking Table'!$R431,'Loading Rates'!$B$1:$L$24,6,FALSE)+'BMP P Tracking Table'!$Y431*VLOOKUP('BMP P Tracking Table'!$R431,'Loading Rates'!$B$1:$L$24,7,FALSE)+'BMP P Tracking Table'!$Z431*VLOOKUP('BMP P Tracking Table'!$R431,'Loading Rates'!$B$1:$L$24,8,FALSE)+'BMP P Tracking Table'!$AA431*VLOOKUP('BMP P Tracking Table'!$R431,'Loading Rates'!$B$1:$L$24,9,FALSE),'BMP P Tracking Table'!$AB431*VLOOKUP('BMP P Tracking Table'!$R431,'Loading Rates'!$B$1:$L$24,10,FALSE)),"")</f>
        <v/>
      </c>
      <c r="AF431" s="104" t="str">
        <f>IFERROR(MIN(2,IF('BMP P Tracking Table'!$W431="Total Pervious",(-(3630*'BMP P Tracking Table'!$V431+20.691*'BMP P Tracking Table'!$AB431)+SQRT((3630*'BMP P Tracking Table'!$V431+20.691*'BMP P Tracking Table'!$AB431)^2-(4*(996.798*'BMP P Tracking Table'!$AB431)*-'BMP P Tracking Table'!$AC431)))/(2*(996.798*'BMP P Tracking Table'!$AB431)),IF(SUM('BMP P Tracking Table'!$X431:$AA431)=0,'BMP P Tracking Table'!$AC431/(-3630*'BMP P Tracking Table'!$V431),(-(3630*'BMP P Tracking Table'!$V431+20.691*'BMP P Tracking Table'!$AA431-216.711*'BMP P Tracking Table'!$Z431-83.853*'BMP P Tracking Table'!$Y431-42.834*'BMP P Tracking Table'!$X431)+SQRT((3630*'BMP P Tracking Table'!$V431+20.691*'BMP P Tracking Table'!$AA431-216.711*'BMP P Tracking Table'!$Z431-83.853*'BMP P Tracking Table'!$Y431-42.834*'BMP P Tracking Table'!$X431)^2-(4*(149.919*'BMP P Tracking Table'!$X431+236.676*'BMP P Tracking Table'!$Y431+726*'BMP P Tracking Table'!$Z431+996.798*'BMP P Tracking Table'!$AA431)*-'BMP P Tracking Table'!$AC431)))/(2*(149.919*'BMP P Tracking Table'!$X431+236.676*'BMP P Tracking Table'!$Y431+726*'BMP P Tracking Table'!$Z431+996.798*'BMP P Tracking Table'!$AA431))))),"")</f>
        <v/>
      </c>
      <c r="AG431" s="104" t="str">
        <f>IFERROR((VLOOKUP(CONCATENATE('BMP P Tracking Table'!$U431," ",'BMP P Tracking Table'!$AD431),'Performance Curves'!$C$1:$L$46,_xlfn.SINGLE(MATCH('BMP P Tracking Table'!$AF431,'Performance Curves'!$D$1:$L$1,1))+2,FALSE)-VLOOKUP(CONCATENATE('BMP P Tracking Table'!$U431," ",'BMP P Tracking Table'!$AD431),'Performance Curves'!$C$1:$L$46,_xlfn.SINGLE(MATCH('BMP P Tracking Table'!$AF431,'Performance Curves'!$D$1:$L$1,1))+1,FALSE)),"")</f>
        <v/>
      </c>
      <c r="AH431" s="104" t="str">
        <f>IFERROR(('BMP P Tracking Table'!$AF431-INDEX('Performance Curves'!$D$1:$L$1,1,MATCH('BMP P Tracking Table'!$AF431,'Performance Curves'!$D$1:$L$1,1)))/(INDEX('Performance Curves'!$D$1:$L$1,1,MATCH('BMP P Tracking Table'!$AF431,'Performance Curves'!$D$1:$L$1,1)+1)-INDEX('Performance Curves'!$D$1:$L$1,1,MATCH('BMP P Tracking Table'!$AF431,'Performance Curves'!$D$1:$L$1,1))),"")</f>
        <v/>
      </c>
      <c r="AI431" s="103" t="str">
        <f>IFERROR(IF('BMP P Tracking Table'!$AF431=2,VLOOKUP(CONCATENATE('BMP P Tracking Table'!$U431," ",'BMP P Tracking Table'!$AD431),'Performance Curves'!$C$1:$L$46,_xlfn.SINGLE(MATCH('BMP P Tracking Table'!$AF431,'Performance Curves'!$D$1:$L$1,1))+1,FALSE),'BMP P Tracking Table'!$AG431*'BMP P Tracking Table'!$AH431+VLOOKUP(CONCATENATE('BMP P Tracking Table'!$U431," ",'BMP P Tracking Table'!$AD431),'Performance Curves'!$C$1:$L$46,_xlfn.SINGLE(MATCH('BMP P Tracking Table'!$AF431,'Performance Curves'!$D$1:$L$1,1))+1,FALSE)),"")</f>
        <v/>
      </c>
      <c r="AJ431" s="104" t="str">
        <f>IFERROR('BMP P Tracking Table'!$AI431*'BMP P Tracking Table'!$AE431,"")</f>
        <v/>
      </c>
      <c r="AK431" s="65"/>
      <c r="AL431" s="98"/>
      <c r="AM431" s="98"/>
      <c r="AN431" s="64">
        <v>1</v>
      </c>
      <c r="AO431" s="102" t="str">
        <f t="shared" si="41"/>
        <v/>
      </c>
      <c r="AP431" s="98"/>
      <c r="AQ431" s="98"/>
      <c r="AR431" s="98"/>
      <c r="AS431" s="98"/>
      <c r="AT431" s="98"/>
      <c r="AU431" s="98"/>
      <c r="AV431" s="98"/>
      <c r="AW431" s="65"/>
      <c r="AX431" s="99"/>
      <c r="AY431" s="99"/>
      <c r="AZ431" s="104" t="str">
        <f>IF('BMP P Tracking Table'!$AL431="Yes",IF('BMP P Tracking Table'!$AM431="No",'BMP P Tracking Table'!$V431*VLOOKUP('BMP P Tracking Table'!$R431,'Loading Rates'!$B$1:$L$24,4,FALSE)+IF('BMP P Tracking Table'!$W431="By HSG",'BMP P Tracking Table'!$X431*VLOOKUP('BMP P Tracking Table'!$R431,'Loading Rates'!$B$1:$L$24,6,FALSE)+'BMP P Tracking Table'!$Y431*VLOOKUP('BMP P Tracking Table'!$R431,'Loading Rates'!$B$1:$L$24,7,FALSE)+'BMP P Tracking Table'!$Z431*VLOOKUP('BMP P Tracking Table'!$R431,'Loading Rates'!$B$1:$L$24,8,FALSE)+'BMP P Tracking Table'!$AA431*VLOOKUP('BMP P Tracking Table'!$R431,'Loading Rates'!$B$1:$L$24,9,FALSE),'BMP P Tracking Table'!$AB431*VLOOKUP('BMP P Tracking Table'!$R431,'Loading Rates'!$B$1:$L$24,10,FALSE)),'BMP P Tracking Table'!$AP431*VLOOKUP('BMP P Tracking Table'!$R431,'Loading Rates'!$B$1:$L$24,4,FALSE)+IF('BMP P Tracking Table'!$AQ431="By HSG",'BMP P Tracking Table'!$AR431*VLOOKUP('BMP P Tracking Table'!$R431,'Loading Rates'!$B$1:$L$24,6,FALSE)+'BMP P Tracking Table'!$AS431*VLOOKUP('BMP P Tracking Table'!$R431,'Loading Rates'!$B$1:$L$24,7,FALSE)+'BMP P Tracking Table'!$AT431*VLOOKUP('BMP P Tracking Table'!$R431,'Loading Rates'!$B$1:$L$24,8,FALSE)+'BMP P Tracking Table'!$AU431*VLOOKUP('BMP P Tracking Table'!$R431,'Loading Rates'!$B$1:$L$24,9,FALSE),'BMP P Tracking Table'!$AV431*VLOOKUP('BMP P Tracking Table'!$R431,'Loading Rates'!$B$1:$L$24,10,FALSE))),"")</f>
        <v/>
      </c>
      <c r="BA431" s="104" t="str">
        <f>IFERROR(IF('BMP P Tracking Table'!$AM431="Yes",MIN(2,IF('BMP P Tracking Table'!$AQ431="Total Pervious",(-(3630*'BMP P Tracking Table'!$AP431+20.691*'BMP P Tracking Table'!$AV431)+SQRT((3630*'BMP P Tracking Table'!$AP431+20.691*'BMP P Tracking Table'!$AV431)^2-(4*(996.798*'BMP P Tracking Table'!$AV431)*-'BMP P Tracking Table'!$AX431)))/(2*(996.798*'BMP P Tracking Table'!$AV431)),IF(SUM('BMP P Tracking Table'!$AR431:$AU431)=0,'BMP P Tracking Table'!$AV431/(-3630*'BMP P Tracking Table'!$AP431),(-(3630*'BMP P Tracking Table'!$AP431+20.691*'BMP P Tracking Table'!$AU431-216.711*'BMP P Tracking Table'!$AT431-83.853*'BMP P Tracking Table'!$AS431-42.834*'BMP P Tracking Table'!$AR431)+SQRT((3630*'BMP P Tracking Table'!$AP431+20.691*'BMP P Tracking Table'!$AU431-216.711*'BMP P Tracking Table'!$AT431-83.853*'BMP P Tracking Table'!$AS431-42.834*'BMP P Tracking Table'!$AR431)^2-(4*(149.919*'BMP P Tracking Table'!$AR431+236.676*'BMP P Tracking Table'!$AS431+726*'BMP P Tracking Table'!$AT431+996.798*'BMP P Tracking Table'!$AU431)*-'BMP P Tracking Table'!$AX431)))/(2*(149.919*'BMP P Tracking Table'!$AR431+236.676*'BMP P Tracking Table'!$AS431+726*'BMP P Tracking Table'!$AT431+996.798*'BMP P Tracking Table'!$AU431))))),MIN(2,IF('BMP P Tracking Table'!$AQ431="Total Pervious",(-(3630*'BMP P Tracking Table'!$V431+20.691*'BMP P Tracking Table'!$AB431)+SQRT((3630*'BMP P Tracking Table'!$V431+20.691*'BMP P Tracking Table'!$AB431)^2-(4*(996.798*'BMP P Tracking Table'!$AB431)*-'BMP P Tracking Table'!$AX431)))/(2*(996.798*'BMP P Tracking Table'!$AB431)),IF(SUM('BMP P Tracking Table'!$X431:$AA431)=0,'BMP P Tracking Table'!$AX431/(-3630*'BMP P Tracking Table'!$V431),(-(3630*'BMP P Tracking Table'!$V431+20.691*'BMP P Tracking Table'!$AA431-216.711*'BMP P Tracking Table'!$Z431-83.853*'BMP P Tracking Table'!$Y431-42.834*'BMP P Tracking Table'!$X431)+SQRT((3630*'BMP P Tracking Table'!$V431+20.691*'BMP P Tracking Table'!$AA431-216.711*'BMP P Tracking Table'!$Z431-83.853*'BMP P Tracking Table'!$Y431-42.834*'BMP P Tracking Table'!$X431)^2-(4*(149.919*'BMP P Tracking Table'!$X431+236.676*'BMP P Tracking Table'!$Y431+726*'BMP P Tracking Table'!$Z431+996.798*'BMP P Tracking Table'!$AA431)*-'BMP P Tracking Table'!$AX431)))/(2*(149.919*'BMP P Tracking Table'!$X431+236.676*'BMP P Tracking Table'!$Y431+726*'BMP P Tracking Table'!$Z431+996.798*'BMP P Tracking Table'!$AA431)))))),"")</f>
        <v/>
      </c>
      <c r="BB431" s="102" t="str">
        <f>IFERROR((VLOOKUP(CONCATENATE('BMP P Tracking Table'!$AW431," ",'BMP P Tracking Table'!$AY431),'Performance Curves'!$C$1:$L$46,_xlfn.SINGLE(MATCH('BMP P Tracking Table'!$BA431,'Performance Curves'!$D$1:$L$1,1))+2,FALSE)-VLOOKUP(CONCATENATE('BMP P Tracking Table'!$AW431," ",'BMP P Tracking Table'!$AY431),'Performance Curves'!$C$1:$L$46,_xlfn.SINGLE(MATCH('BMP P Tracking Table'!$BA431,'Performance Curves'!$D$1:$L$1,1))+1,FALSE)),"")</f>
        <v/>
      </c>
      <c r="BC431" s="102" t="str">
        <f>IFERROR(('BMP P Tracking Table'!$BA431-INDEX('Performance Curves'!$D$1:$L$1,1,MATCH('BMP P Tracking Table'!$BA431,'Performance Curves'!$D$1:$L$1,1)))/(INDEX('Performance Curves'!$D$1:$L$1,1,MATCH('BMP P Tracking Table'!$BA431,'Performance Curves'!$D$1:$L$1,1)+1)-INDEX('Performance Curves'!$D$1:$L$1,1,MATCH('BMP P Tracking Table'!$BA431,'Performance Curves'!$D$1:$L$1,1))),"")</f>
        <v/>
      </c>
      <c r="BD431" s="103" t="str" cm="1">
        <f t="array" ref="BD431">IFERROR(IF('BMP P Tracking Table'!$BA431=2,VLOOKUP(CONCATENATE('BMP P Tracking Table'!$AW431," ",'BMP P Tracking Table'!$AY431),'Performance Curves'!$C$1:$L$44,_xlfn.SINGLE(MATCH('BMP P Tracking Table'!$BA431,'Performance Curves'!$D$1:$L$1,1))+1,FALSE),'BMP P Tracking Table'!$BB431*'BMP P Tracking Table'!$BC431+VLOOKUP(CONCATENATE('BMP P Tracking Table'!$AW431," ",'BMP P Tracking Table'!$AY431),'Performance Curves'!$C$1:$L$44,_xlfn.SINGLE(MATCH('BMP P Tracking Table'!$BA431,'Performance Curves'!$D$1:$L$1,1))+1,FALSE)),"")</f>
        <v/>
      </c>
      <c r="BE431" s="104" t="str">
        <f>IFERROR('BMP P Tracking Table'!$BD431*'BMP P Tracking Table'!$AZ431,"")</f>
        <v/>
      </c>
      <c r="BF431" s="98"/>
      <c r="BG431" s="37">
        <f t="shared" si="42"/>
        <v>0</v>
      </c>
    </row>
    <row r="432" spans="2:59" s="36" customFormat="1">
      <c r="B432" s="65"/>
      <c r="C432" s="65"/>
      <c r="D432" s="65"/>
      <c r="E432" s="65"/>
      <c r="F432" s="94"/>
      <c r="G432" s="94"/>
      <c r="H432" s="65"/>
      <c r="I432" s="65"/>
      <c r="J432" s="65"/>
      <c r="K432" s="95"/>
      <c r="L432" s="65"/>
      <c r="M432" s="65"/>
      <c r="N432" s="65"/>
      <c r="O432" s="65"/>
      <c r="P432" s="65"/>
      <c r="Q432" s="65"/>
      <c r="R432" s="65" t="str">
        <f>IFERROR(VLOOKUP('BMP P Tracking Table'!$Q432,Dropdowns!$C$2:$E$15,3,FALSE),"")</f>
        <v/>
      </c>
      <c r="S432" s="65" t="str">
        <f>IFERROR(VLOOKUP('BMP P Tracking Table'!$R432,Dropdowns!$Q$3:$R$23,2,FALSE),"")</f>
        <v/>
      </c>
      <c r="T432" s="65"/>
      <c r="U432" s="65"/>
      <c r="V432" s="65"/>
      <c r="W432" s="65"/>
      <c r="X432" s="65"/>
      <c r="Y432" s="65"/>
      <c r="Z432" s="65"/>
      <c r="AA432" s="65"/>
      <c r="AB432" s="65"/>
      <c r="AC432" s="97"/>
      <c r="AD432" s="65"/>
      <c r="AE432" s="104" t="str">
        <f>IFERROR('BMP P Tracking Table'!$V432*VLOOKUP('BMP P Tracking Table'!$R432,'Loading Rates'!$B$1:$L$24,4,FALSE)+IF('BMP P Tracking Table'!$W432="By HSG",'BMP P Tracking Table'!$X432*VLOOKUP('BMP P Tracking Table'!$R432,'Loading Rates'!$B$1:$L$24,6,FALSE)+'BMP P Tracking Table'!$Y432*VLOOKUP('BMP P Tracking Table'!$R432,'Loading Rates'!$B$1:$L$24,7,FALSE)+'BMP P Tracking Table'!$Z432*VLOOKUP('BMP P Tracking Table'!$R432,'Loading Rates'!$B$1:$L$24,8,FALSE)+'BMP P Tracking Table'!$AA432*VLOOKUP('BMP P Tracking Table'!$R432,'Loading Rates'!$B$1:$L$24,9,FALSE),'BMP P Tracking Table'!$AB432*VLOOKUP('BMP P Tracking Table'!$R432,'Loading Rates'!$B$1:$L$24,10,FALSE)),"")</f>
        <v/>
      </c>
      <c r="AF432" s="104" t="str">
        <f>IFERROR(MIN(2,IF('BMP P Tracking Table'!$W432="Total Pervious",(-(3630*'BMP P Tracking Table'!$V432+20.691*'BMP P Tracking Table'!$AB432)+SQRT((3630*'BMP P Tracking Table'!$V432+20.691*'BMP P Tracking Table'!$AB432)^2-(4*(996.798*'BMP P Tracking Table'!$AB432)*-'BMP P Tracking Table'!$AC432)))/(2*(996.798*'BMP P Tracking Table'!$AB432)),IF(SUM('BMP P Tracking Table'!$X432:$AA432)=0,'BMP P Tracking Table'!$AC432/(-3630*'BMP P Tracking Table'!$V432),(-(3630*'BMP P Tracking Table'!$V432+20.691*'BMP P Tracking Table'!$AA432-216.711*'BMP P Tracking Table'!$Z432-83.853*'BMP P Tracking Table'!$Y432-42.834*'BMP P Tracking Table'!$X432)+SQRT((3630*'BMP P Tracking Table'!$V432+20.691*'BMP P Tracking Table'!$AA432-216.711*'BMP P Tracking Table'!$Z432-83.853*'BMP P Tracking Table'!$Y432-42.834*'BMP P Tracking Table'!$X432)^2-(4*(149.919*'BMP P Tracking Table'!$X432+236.676*'BMP P Tracking Table'!$Y432+726*'BMP P Tracking Table'!$Z432+996.798*'BMP P Tracking Table'!$AA432)*-'BMP P Tracking Table'!$AC432)))/(2*(149.919*'BMP P Tracking Table'!$X432+236.676*'BMP P Tracking Table'!$Y432+726*'BMP P Tracking Table'!$Z432+996.798*'BMP P Tracking Table'!$AA432))))),"")</f>
        <v/>
      </c>
      <c r="AG432" s="104" t="str">
        <f>IFERROR((VLOOKUP(CONCATENATE('BMP P Tracking Table'!$U432," ",'BMP P Tracking Table'!$AD432),'Performance Curves'!$C$1:$L$46,_xlfn.SINGLE(MATCH('BMP P Tracking Table'!$AF432,'Performance Curves'!$D$1:$L$1,1))+2,FALSE)-VLOOKUP(CONCATENATE('BMP P Tracking Table'!$U432," ",'BMP P Tracking Table'!$AD432),'Performance Curves'!$C$1:$L$46,_xlfn.SINGLE(MATCH('BMP P Tracking Table'!$AF432,'Performance Curves'!$D$1:$L$1,1))+1,FALSE)),"")</f>
        <v/>
      </c>
      <c r="AH432" s="104" t="str">
        <f>IFERROR(('BMP P Tracking Table'!$AF432-INDEX('Performance Curves'!$D$1:$L$1,1,MATCH('BMP P Tracking Table'!$AF432,'Performance Curves'!$D$1:$L$1,1)))/(INDEX('Performance Curves'!$D$1:$L$1,1,MATCH('BMP P Tracking Table'!$AF432,'Performance Curves'!$D$1:$L$1,1)+1)-INDEX('Performance Curves'!$D$1:$L$1,1,MATCH('BMP P Tracking Table'!$AF432,'Performance Curves'!$D$1:$L$1,1))),"")</f>
        <v/>
      </c>
      <c r="AI432" s="103" t="str">
        <f>IFERROR(IF('BMP P Tracking Table'!$AF432=2,VLOOKUP(CONCATENATE('BMP P Tracking Table'!$U432," ",'BMP P Tracking Table'!$AD432),'Performance Curves'!$C$1:$L$46,_xlfn.SINGLE(MATCH('BMP P Tracking Table'!$AF432,'Performance Curves'!$D$1:$L$1,1))+1,FALSE),'BMP P Tracking Table'!$AG432*'BMP P Tracking Table'!$AH432+VLOOKUP(CONCATENATE('BMP P Tracking Table'!$U432," ",'BMP P Tracking Table'!$AD432),'Performance Curves'!$C$1:$L$46,_xlfn.SINGLE(MATCH('BMP P Tracking Table'!$AF432,'Performance Curves'!$D$1:$L$1,1))+1,FALSE)),"")</f>
        <v/>
      </c>
      <c r="AJ432" s="104" t="str">
        <f>IFERROR('BMP P Tracking Table'!$AI432*'BMP P Tracking Table'!$AE432,"")</f>
        <v/>
      </c>
      <c r="AK432" s="65"/>
      <c r="AL432" s="98"/>
      <c r="AM432" s="98"/>
      <c r="AN432" s="64">
        <v>1</v>
      </c>
      <c r="AO432" s="102" t="str">
        <f t="shared" si="41"/>
        <v/>
      </c>
      <c r="AP432" s="98"/>
      <c r="AQ432" s="98"/>
      <c r="AR432" s="98"/>
      <c r="AS432" s="98"/>
      <c r="AT432" s="98"/>
      <c r="AU432" s="98"/>
      <c r="AV432" s="98"/>
      <c r="AW432" s="65"/>
      <c r="AX432" s="99"/>
      <c r="AY432" s="99"/>
      <c r="AZ432" s="104" t="str">
        <f>IF('BMP P Tracking Table'!$AL432="Yes",IF('BMP P Tracking Table'!$AM432="No",'BMP P Tracking Table'!$V432*VLOOKUP('BMP P Tracking Table'!$R432,'Loading Rates'!$B$1:$L$24,4,FALSE)+IF('BMP P Tracking Table'!$W432="By HSG",'BMP P Tracking Table'!$X432*VLOOKUP('BMP P Tracking Table'!$R432,'Loading Rates'!$B$1:$L$24,6,FALSE)+'BMP P Tracking Table'!$Y432*VLOOKUP('BMP P Tracking Table'!$R432,'Loading Rates'!$B$1:$L$24,7,FALSE)+'BMP P Tracking Table'!$Z432*VLOOKUP('BMP P Tracking Table'!$R432,'Loading Rates'!$B$1:$L$24,8,FALSE)+'BMP P Tracking Table'!$AA432*VLOOKUP('BMP P Tracking Table'!$R432,'Loading Rates'!$B$1:$L$24,9,FALSE),'BMP P Tracking Table'!$AB432*VLOOKUP('BMP P Tracking Table'!$R432,'Loading Rates'!$B$1:$L$24,10,FALSE)),'BMP P Tracking Table'!$AP432*VLOOKUP('BMP P Tracking Table'!$R432,'Loading Rates'!$B$1:$L$24,4,FALSE)+IF('BMP P Tracking Table'!$AQ432="By HSG",'BMP P Tracking Table'!$AR432*VLOOKUP('BMP P Tracking Table'!$R432,'Loading Rates'!$B$1:$L$24,6,FALSE)+'BMP P Tracking Table'!$AS432*VLOOKUP('BMP P Tracking Table'!$R432,'Loading Rates'!$B$1:$L$24,7,FALSE)+'BMP P Tracking Table'!$AT432*VLOOKUP('BMP P Tracking Table'!$R432,'Loading Rates'!$B$1:$L$24,8,FALSE)+'BMP P Tracking Table'!$AU432*VLOOKUP('BMP P Tracking Table'!$R432,'Loading Rates'!$B$1:$L$24,9,FALSE),'BMP P Tracking Table'!$AV432*VLOOKUP('BMP P Tracking Table'!$R432,'Loading Rates'!$B$1:$L$24,10,FALSE))),"")</f>
        <v/>
      </c>
      <c r="BA432" s="104" t="str">
        <f>IFERROR(IF('BMP P Tracking Table'!$AM432="Yes",MIN(2,IF('BMP P Tracking Table'!$AQ432="Total Pervious",(-(3630*'BMP P Tracking Table'!$AP432+20.691*'BMP P Tracking Table'!$AV432)+SQRT((3630*'BMP P Tracking Table'!$AP432+20.691*'BMP P Tracking Table'!$AV432)^2-(4*(996.798*'BMP P Tracking Table'!$AV432)*-'BMP P Tracking Table'!$AX432)))/(2*(996.798*'BMP P Tracking Table'!$AV432)),IF(SUM('BMP P Tracking Table'!$AR432:$AU432)=0,'BMP P Tracking Table'!$AV432/(-3630*'BMP P Tracking Table'!$AP432),(-(3630*'BMP P Tracking Table'!$AP432+20.691*'BMP P Tracking Table'!$AU432-216.711*'BMP P Tracking Table'!$AT432-83.853*'BMP P Tracking Table'!$AS432-42.834*'BMP P Tracking Table'!$AR432)+SQRT((3630*'BMP P Tracking Table'!$AP432+20.691*'BMP P Tracking Table'!$AU432-216.711*'BMP P Tracking Table'!$AT432-83.853*'BMP P Tracking Table'!$AS432-42.834*'BMP P Tracking Table'!$AR432)^2-(4*(149.919*'BMP P Tracking Table'!$AR432+236.676*'BMP P Tracking Table'!$AS432+726*'BMP P Tracking Table'!$AT432+996.798*'BMP P Tracking Table'!$AU432)*-'BMP P Tracking Table'!$AX432)))/(2*(149.919*'BMP P Tracking Table'!$AR432+236.676*'BMP P Tracking Table'!$AS432+726*'BMP P Tracking Table'!$AT432+996.798*'BMP P Tracking Table'!$AU432))))),MIN(2,IF('BMP P Tracking Table'!$AQ432="Total Pervious",(-(3630*'BMP P Tracking Table'!$V432+20.691*'BMP P Tracking Table'!$AB432)+SQRT((3630*'BMP P Tracking Table'!$V432+20.691*'BMP P Tracking Table'!$AB432)^2-(4*(996.798*'BMP P Tracking Table'!$AB432)*-'BMP P Tracking Table'!$AX432)))/(2*(996.798*'BMP P Tracking Table'!$AB432)),IF(SUM('BMP P Tracking Table'!$X432:$AA432)=0,'BMP P Tracking Table'!$AX432/(-3630*'BMP P Tracking Table'!$V432),(-(3630*'BMP P Tracking Table'!$V432+20.691*'BMP P Tracking Table'!$AA432-216.711*'BMP P Tracking Table'!$Z432-83.853*'BMP P Tracking Table'!$Y432-42.834*'BMP P Tracking Table'!$X432)+SQRT((3630*'BMP P Tracking Table'!$V432+20.691*'BMP P Tracking Table'!$AA432-216.711*'BMP P Tracking Table'!$Z432-83.853*'BMP P Tracking Table'!$Y432-42.834*'BMP P Tracking Table'!$X432)^2-(4*(149.919*'BMP P Tracking Table'!$X432+236.676*'BMP P Tracking Table'!$Y432+726*'BMP P Tracking Table'!$Z432+996.798*'BMP P Tracking Table'!$AA432)*-'BMP P Tracking Table'!$AX432)))/(2*(149.919*'BMP P Tracking Table'!$X432+236.676*'BMP P Tracking Table'!$Y432+726*'BMP P Tracking Table'!$Z432+996.798*'BMP P Tracking Table'!$AA432)))))),"")</f>
        <v/>
      </c>
      <c r="BB432" s="102" t="str">
        <f>IFERROR((VLOOKUP(CONCATENATE('BMP P Tracking Table'!$AW432," ",'BMP P Tracking Table'!$AY432),'Performance Curves'!$C$1:$L$46,_xlfn.SINGLE(MATCH('BMP P Tracking Table'!$BA432,'Performance Curves'!$D$1:$L$1,1))+2,FALSE)-VLOOKUP(CONCATENATE('BMP P Tracking Table'!$AW432," ",'BMP P Tracking Table'!$AY432),'Performance Curves'!$C$1:$L$46,_xlfn.SINGLE(MATCH('BMP P Tracking Table'!$BA432,'Performance Curves'!$D$1:$L$1,1))+1,FALSE)),"")</f>
        <v/>
      </c>
      <c r="BC432" s="102" t="str">
        <f>IFERROR(('BMP P Tracking Table'!$BA432-INDEX('Performance Curves'!$D$1:$L$1,1,MATCH('BMP P Tracking Table'!$BA432,'Performance Curves'!$D$1:$L$1,1)))/(INDEX('Performance Curves'!$D$1:$L$1,1,MATCH('BMP P Tracking Table'!$BA432,'Performance Curves'!$D$1:$L$1,1)+1)-INDEX('Performance Curves'!$D$1:$L$1,1,MATCH('BMP P Tracking Table'!$BA432,'Performance Curves'!$D$1:$L$1,1))),"")</f>
        <v/>
      </c>
      <c r="BD432" s="103" t="str" cm="1">
        <f t="array" ref="BD432">IFERROR(IF('BMP P Tracking Table'!$BA432=2,VLOOKUP(CONCATENATE('BMP P Tracking Table'!$AW432," ",'BMP P Tracking Table'!$AY432),'Performance Curves'!$C$1:$L$44,_xlfn.SINGLE(MATCH('BMP P Tracking Table'!$BA432,'Performance Curves'!$D$1:$L$1,1))+1,FALSE),'BMP P Tracking Table'!$BB432*'BMP P Tracking Table'!$BC432+VLOOKUP(CONCATENATE('BMP P Tracking Table'!$AW432," ",'BMP P Tracking Table'!$AY432),'Performance Curves'!$C$1:$L$44,_xlfn.SINGLE(MATCH('BMP P Tracking Table'!$BA432,'Performance Curves'!$D$1:$L$1,1))+1,FALSE)),"")</f>
        <v/>
      </c>
      <c r="BE432" s="104" t="str">
        <f>IFERROR('BMP P Tracking Table'!$BD432*'BMP P Tracking Table'!$AZ432,"")</f>
        <v/>
      </c>
      <c r="BF432" s="98"/>
      <c r="BG432" s="37">
        <f t="shared" si="42"/>
        <v>0</v>
      </c>
    </row>
    <row r="433" spans="2:59" s="36" customFormat="1">
      <c r="B433" s="65"/>
      <c r="C433" s="65"/>
      <c r="D433" s="65"/>
      <c r="E433" s="65"/>
      <c r="F433" s="94"/>
      <c r="G433" s="94"/>
      <c r="H433" s="65"/>
      <c r="I433" s="65"/>
      <c r="J433" s="65"/>
      <c r="K433" s="95"/>
      <c r="L433" s="65"/>
      <c r="M433" s="65"/>
      <c r="N433" s="65"/>
      <c r="O433" s="65"/>
      <c r="P433" s="65"/>
      <c r="Q433" s="65"/>
      <c r="R433" s="65" t="str">
        <f>IFERROR(VLOOKUP('BMP P Tracking Table'!$Q433,Dropdowns!$C$2:$E$15,3,FALSE),"")</f>
        <v/>
      </c>
      <c r="S433" s="65" t="str">
        <f>IFERROR(VLOOKUP('BMP P Tracking Table'!$R433,Dropdowns!$Q$3:$R$23,2,FALSE),"")</f>
        <v/>
      </c>
      <c r="T433" s="65"/>
      <c r="U433" s="65"/>
      <c r="V433" s="65"/>
      <c r="W433" s="65"/>
      <c r="X433" s="65"/>
      <c r="Y433" s="65"/>
      <c r="Z433" s="65"/>
      <c r="AA433" s="65"/>
      <c r="AB433" s="65"/>
      <c r="AC433" s="97"/>
      <c r="AD433" s="65"/>
      <c r="AE433" s="104" t="str">
        <f>IFERROR('BMP P Tracking Table'!$V433*VLOOKUP('BMP P Tracking Table'!$R433,'Loading Rates'!$B$1:$L$24,4,FALSE)+IF('BMP P Tracking Table'!$W433="By HSG",'BMP P Tracking Table'!$X433*VLOOKUP('BMP P Tracking Table'!$R433,'Loading Rates'!$B$1:$L$24,6,FALSE)+'BMP P Tracking Table'!$Y433*VLOOKUP('BMP P Tracking Table'!$R433,'Loading Rates'!$B$1:$L$24,7,FALSE)+'BMP P Tracking Table'!$Z433*VLOOKUP('BMP P Tracking Table'!$R433,'Loading Rates'!$B$1:$L$24,8,FALSE)+'BMP P Tracking Table'!$AA433*VLOOKUP('BMP P Tracking Table'!$R433,'Loading Rates'!$B$1:$L$24,9,FALSE),'BMP P Tracking Table'!$AB433*VLOOKUP('BMP P Tracking Table'!$R433,'Loading Rates'!$B$1:$L$24,10,FALSE)),"")</f>
        <v/>
      </c>
      <c r="AF433" s="104" t="str">
        <f>IFERROR(MIN(2,IF('BMP P Tracking Table'!$W433="Total Pervious",(-(3630*'BMP P Tracking Table'!$V433+20.691*'BMP P Tracking Table'!$AB433)+SQRT((3630*'BMP P Tracking Table'!$V433+20.691*'BMP P Tracking Table'!$AB433)^2-(4*(996.798*'BMP P Tracking Table'!$AB433)*-'BMP P Tracking Table'!$AC433)))/(2*(996.798*'BMP P Tracking Table'!$AB433)),IF(SUM('BMP P Tracking Table'!$X433:$AA433)=0,'BMP P Tracking Table'!$AC433/(-3630*'BMP P Tracking Table'!$V433),(-(3630*'BMP P Tracking Table'!$V433+20.691*'BMP P Tracking Table'!$AA433-216.711*'BMP P Tracking Table'!$Z433-83.853*'BMP P Tracking Table'!$Y433-42.834*'BMP P Tracking Table'!$X433)+SQRT((3630*'BMP P Tracking Table'!$V433+20.691*'BMP P Tracking Table'!$AA433-216.711*'BMP P Tracking Table'!$Z433-83.853*'BMP P Tracking Table'!$Y433-42.834*'BMP P Tracking Table'!$X433)^2-(4*(149.919*'BMP P Tracking Table'!$X433+236.676*'BMP P Tracking Table'!$Y433+726*'BMP P Tracking Table'!$Z433+996.798*'BMP P Tracking Table'!$AA433)*-'BMP P Tracking Table'!$AC433)))/(2*(149.919*'BMP P Tracking Table'!$X433+236.676*'BMP P Tracking Table'!$Y433+726*'BMP P Tracking Table'!$Z433+996.798*'BMP P Tracking Table'!$AA433))))),"")</f>
        <v/>
      </c>
      <c r="AG433" s="104" t="str">
        <f>IFERROR((VLOOKUP(CONCATENATE('BMP P Tracking Table'!$U433," ",'BMP P Tracking Table'!$AD433),'Performance Curves'!$C$1:$L$46,_xlfn.SINGLE(MATCH('BMP P Tracking Table'!$AF433,'Performance Curves'!$D$1:$L$1,1))+2,FALSE)-VLOOKUP(CONCATENATE('BMP P Tracking Table'!$U433," ",'BMP P Tracking Table'!$AD433),'Performance Curves'!$C$1:$L$46,_xlfn.SINGLE(MATCH('BMP P Tracking Table'!$AF433,'Performance Curves'!$D$1:$L$1,1))+1,FALSE)),"")</f>
        <v/>
      </c>
      <c r="AH433" s="104" t="str">
        <f>IFERROR(('BMP P Tracking Table'!$AF433-INDEX('Performance Curves'!$D$1:$L$1,1,MATCH('BMP P Tracking Table'!$AF433,'Performance Curves'!$D$1:$L$1,1)))/(INDEX('Performance Curves'!$D$1:$L$1,1,MATCH('BMP P Tracking Table'!$AF433,'Performance Curves'!$D$1:$L$1,1)+1)-INDEX('Performance Curves'!$D$1:$L$1,1,MATCH('BMP P Tracking Table'!$AF433,'Performance Curves'!$D$1:$L$1,1))),"")</f>
        <v/>
      </c>
      <c r="AI433" s="103" t="str">
        <f>IFERROR(IF('BMP P Tracking Table'!$AF433=2,VLOOKUP(CONCATENATE('BMP P Tracking Table'!$U433," ",'BMP P Tracking Table'!$AD433),'Performance Curves'!$C$1:$L$46,_xlfn.SINGLE(MATCH('BMP P Tracking Table'!$AF433,'Performance Curves'!$D$1:$L$1,1))+1,FALSE),'BMP P Tracking Table'!$AG433*'BMP P Tracking Table'!$AH433+VLOOKUP(CONCATENATE('BMP P Tracking Table'!$U433," ",'BMP P Tracking Table'!$AD433),'Performance Curves'!$C$1:$L$46,_xlfn.SINGLE(MATCH('BMP P Tracking Table'!$AF433,'Performance Curves'!$D$1:$L$1,1))+1,FALSE)),"")</f>
        <v/>
      </c>
      <c r="AJ433" s="104" t="str">
        <f>IFERROR('BMP P Tracking Table'!$AI433*'BMP P Tracking Table'!$AE433,"")</f>
        <v/>
      </c>
      <c r="AK433" s="65"/>
      <c r="AL433" s="98"/>
      <c r="AM433" s="98"/>
      <c r="AN433" s="64">
        <v>1</v>
      </c>
      <c r="AO433" s="102" t="str">
        <f t="shared" si="41"/>
        <v/>
      </c>
      <c r="AP433" s="98"/>
      <c r="AQ433" s="98"/>
      <c r="AR433" s="98"/>
      <c r="AS433" s="98"/>
      <c r="AT433" s="98"/>
      <c r="AU433" s="98"/>
      <c r="AV433" s="98"/>
      <c r="AW433" s="65"/>
      <c r="AX433" s="99"/>
      <c r="AY433" s="99"/>
      <c r="AZ433" s="104" t="str">
        <f>IF('BMP P Tracking Table'!$AL433="Yes",IF('BMP P Tracking Table'!$AM433="No",'BMP P Tracking Table'!$V433*VLOOKUP('BMP P Tracking Table'!$R433,'Loading Rates'!$B$1:$L$24,4,FALSE)+IF('BMP P Tracking Table'!$W433="By HSG",'BMP P Tracking Table'!$X433*VLOOKUP('BMP P Tracking Table'!$R433,'Loading Rates'!$B$1:$L$24,6,FALSE)+'BMP P Tracking Table'!$Y433*VLOOKUP('BMP P Tracking Table'!$R433,'Loading Rates'!$B$1:$L$24,7,FALSE)+'BMP P Tracking Table'!$Z433*VLOOKUP('BMP P Tracking Table'!$R433,'Loading Rates'!$B$1:$L$24,8,FALSE)+'BMP P Tracking Table'!$AA433*VLOOKUP('BMP P Tracking Table'!$R433,'Loading Rates'!$B$1:$L$24,9,FALSE),'BMP P Tracking Table'!$AB433*VLOOKUP('BMP P Tracking Table'!$R433,'Loading Rates'!$B$1:$L$24,10,FALSE)),'BMP P Tracking Table'!$AP433*VLOOKUP('BMP P Tracking Table'!$R433,'Loading Rates'!$B$1:$L$24,4,FALSE)+IF('BMP P Tracking Table'!$AQ433="By HSG",'BMP P Tracking Table'!$AR433*VLOOKUP('BMP P Tracking Table'!$R433,'Loading Rates'!$B$1:$L$24,6,FALSE)+'BMP P Tracking Table'!$AS433*VLOOKUP('BMP P Tracking Table'!$R433,'Loading Rates'!$B$1:$L$24,7,FALSE)+'BMP P Tracking Table'!$AT433*VLOOKUP('BMP P Tracking Table'!$R433,'Loading Rates'!$B$1:$L$24,8,FALSE)+'BMP P Tracking Table'!$AU433*VLOOKUP('BMP P Tracking Table'!$R433,'Loading Rates'!$B$1:$L$24,9,FALSE),'BMP P Tracking Table'!$AV433*VLOOKUP('BMP P Tracking Table'!$R433,'Loading Rates'!$B$1:$L$24,10,FALSE))),"")</f>
        <v/>
      </c>
      <c r="BA433" s="104" t="str">
        <f>IFERROR(IF('BMP P Tracking Table'!$AM433="Yes",MIN(2,IF('BMP P Tracking Table'!$AQ433="Total Pervious",(-(3630*'BMP P Tracking Table'!$AP433+20.691*'BMP P Tracking Table'!$AV433)+SQRT((3630*'BMP P Tracking Table'!$AP433+20.691*'BMP P Tracking Table'!$AV433)^2-(4*(996.798*'BMP P Tracking Table'!$AV433)*-'BMP P Tracking Table'!$AX433)))/(2*(996.798*'BMP P Tracking Table'!$AV433)),IF(SUM('BMP P Tracking Table'!$AR433:$AU433)=0,'BMP P Tracking Table'!$AV433/(-3630*'BMP P Tracking Table'!$AP433),(-(3630*'BMP P Tracking Table'!$AP433+20.691*'BMP P Tracking Table'!$AU433-216.711*'BMP P Tracking Table'!$AT433-83.853*'BMP P Tracking Table'!$AS433-42.834*'BMP P Tracking Table'!$AR433)+SQRT((3630*'BMP P Tracking Table'!$AP433+20.691*'BMP P Tracking Table'!$AU433-216.711*'BMP P Tracking Table'!$AT433-83.853*'BMP P Tracking Table'!$AS433-42.834*'BMP P Tracking Table'!$AR433)^2-(4*(149.919*'BMP P Tracking Table'!$AR433+236.676*'BMP P Tracking Table'!$AS433+726*'BMP P Tracking Table'!$AT433+996.798*'BMP P Tracking Table'!$AU433)*-'BMP P Tracking Table'!$AX433)))/(2*(149.919*'BMP P Tracking Table'!$AR433+236.676*'BMP P Tracking Table'!$AS433+726*'BMP P Tracking Table'!$AT433+996.798*'BMP P Tracking Table'!$AU433))))),MIN(2,IF('BMP P Tracking Table'!$AQ433="Total Pervious",(-(3630*'BMP P Tracking Table'!$V433+20.691*'BMP P Tracking Table'!$AB433)+SQRT((3630*'BMP P Tracking Table'!$V433+20.691*'BMP P Tracking Table'!$AB433)^2-(4*(996.798*'BMP P Tracking Table'!$AB433)*-'BMP P Tracking Table'!$AX433)))/(2*(996.798*'BMP P Tracking Table'!$AB433)),IF(SUM('BMP P Tracking Table'!$X433:$AA433)=0,'BMP P Tracking Table'!$AX433/(-3630*'BMP P Tracking Table'!$V433),(-(3630*'BMP P Tracking Table'!$V433+20.691*'BMP P Tracking Table'!$AA433-216.711*'BMP P Tracking Table'!$Z433-83.853*'BMP P Tracking Table'!$Y433-42.834*'BMP P Tracking Table'!$X433)+SQRT((3630*'BMP P Tracking Table'!$V433+20.691*'BMP P Tracking Table'!$AA433-216.711*'BMP P Tracking Table'!$Z433-83.853*'BMP P Tracking Table'!$Y433-42.834*'BMP P Tracking Table'!$X433)^2-(4*(149.919*'BMP P Tracking Table'!$X433+236.676*'BMP P Tracking Table'!$Y433+726*'BMP P Tracking Table'!$Z433+996.798*'BMP P Tracking Table'!$AA433)*-'BMP P Tracking Table'!$AX433)))/(2*(149.919*'BMP P Tracking Table'!$X433+236.676*'BMP P Tracking Table'!$Y433+726*'BMP P Tracking Table'!$Z433+996.798*'BMP P Tracking Table'!$AA433)))))),"")</f>
        <v/>
      </c>
      <c r="BB433" s="102" t="str">
        <f>IFERROR((VLOOKUP(CONCATENATE('BMP P Tracking Table'!$AW433," ",'BMP P Tracking Table'!$AY433),'Performance Curves'!$C$1:$L$46,_xlfn.SINGLE(MATCH('BMP P Tracking Table'!$BA433,'Performance Curves'!$D$1:$L$1,1))+2,FALSE)-VLOOKUP(CONCATENATE('BMP P Tracking Table'!$AW433," ",'BMP P Tracking Table'!$AY433),'Performance Curves'!$C$1:$L$46,_xlfn.SINGLE(MATCH('BMP P Tracking Table'!$BA433,'Performance Curves'!$D$1:$L$1,1))+1,FALSE)),"")</f>
        <v/>
      </c>
      <c r="BC433" s="102" t="str">
        <f>IFERROR(('BMP P Tracking Table'!$BA433-INDEX('Performance Curves'!$D$1:$L$1,1,MATCH('BMP P Tracking Table'!$BA433,'Performance Curves'!$D$1:$L$1,1)))/(INDEX('Performance Curves'!$D$1:$L$1,1,MATCH('BMP P Tracking Table'!$BA433,'Performance Curves'!$D$1:$L$1,1)+1)-INDEX('Performance Curves'!$D$1:$L$1,1,MATCH('BMP P Tracking Table'!$BA433,'Performance Curves'!$D$1:$L$1,1))),"")</f>
        <v/>
      </c>
      <c r="BD433" s="103" t="str" cm="1">
        <f t="array" ref="BD433">IFERROR(IF('BMP P Tracking Table'!$BA433=2,VLOOKUP(CONCATENATE('BMP P Tracking Table'!$AW433," ",'BMP P Tracking Table'!$AY433),'Performance Curves'!$C$1:$L$44,_xlfn.SINGLE(MATCH('BMP P Tracking Table'!$BA433,'Performance Curves'!$D$1:$L$1,1))+1,FALSE),'BMP P Tracking Table'!$BB433*'BMP P Tracking Table'!$BC433+VLOOKUP(CONCATENATE('BMP P Tracking Table'!$AW433," ",'BMP P Tracking Table'!$AY433),'Performance Curves'!$C$1:$L$44,_xlfn.SINGLE(MATCH('BMP P Tracking Table'!$BA433,'Performance Curves'!$D$1:$L$1,1))+1,FALSE)),"")</f>
        <v/>
      </c>
      <c r="BE433" s="104" t="str">
        <f>IFERROR('BMP P Tracking Table'!$BD433*'BMP P Tracking Table'!$AZ433,"")</f>
        <v/>
      </c>
      <c r="BF433" s="98"/>
      <c r="BG433" s="37">
        <f t="shared" si="42"/>
        <v>0</v>
      </c>
    </row>
    <row r="434" spans="2:59" s="36" customFormat="1">
      <c r="B434" s="65"/>
      <c r="C434" s="65"/>
      <c r="D434" s="65"/>
      <c r="E434" s="65"/>
      <c r="F434" s="94"/>
      <c r="G434" s="94"/>
      <c r="H434" s="65"/>
      <c r="I434" s="65"/>
      <c r="J434" s="65"/>
      <c r="K434" s="95"/>
      <c r="L434" s="65"/>
      <c r="M434" s="65"/>
      <c r="N434" s="65"/>
      <c r="O434" s="65"/>
      <c r="P434" s="65"/>
      <c r="Q434" s="65"/>
      <c r="R434" s="65" t="str">
        <f>IFERROR(VLOOKUP('BMP P Tracking Table'!$Q434,Dropdowns!$C$2:$E$15,3,FALSE),"")</f>
        <v/>
      </c>
      <c r="S434" s="65" t="str">
        <f>IFERROR(VLOOKUP('BMP P Tracking Table'!$R434,Dropdowns!$Q$3:$R$23,2,FALSE),"")</f>
        <v/>
      </c>
      <c r="T434" s="65"/>
      <c r="U434" s="65"/>
      <c r="V434" s="65"/>
      <c r="W434" s="65"/>
      <c r="X434" s="65"/>
      <c r="Y434" s="65"/>
      <c r="Z434" s="65"/>
      <c r="AA434" s="65"/>
      <c r="AB434" s="65"/>
      <c r="AC434" s="97"/>
      <c r="AD434" s="65"/>
      <c r="AE434" s="104" t="str">
        <f>IFERROR('BMP P Tracking Table'!$V434*VLOOKUP('BMP P Tracking Table'!$R434,'Loading Rates'!$B$1:$L$24,4,FALSE)+IF('BMP P Tracking Table'!$W434="By HSG",'BMP P Tracking Table'!$X434*VLOOKUP('BMP P Tracking Table'!$R434,'Loading Rates'!$B$1:$L$24,6,FALSE)+'BMP P Tracking Table'!$Y434*VLOOKUP('BMP P Tracking Table'!$R434,'Loading Rates'!$B$1:$L$24,7,FALSE)+'BMP P Tracking Table'!$Z434*VLOOKUP('BMP P Tracking Table'!$R434,'Loading Rates'!$B$1:$L$24,8,FALSE)+'BMP P Tracking Table'!$AA434*VLOOKUP('BMP P Tracking Table'!$R434,'Loading Rates'!$B$1:$L$24,9,FALSE),'BMP P Tracking Table'!$AB434*VLOOKUP('BMP P Tracking Table'!$R434,'Loading Rates'!$B$1:$L$24,10,FALSE)),"")</f>
        <v/>
      </c>
      <c r="AF434" s="104" t="str">
        <f>IFERROR(MIN(2,IF('BMP P Tracking Table'!$W434="Total Pervious",(-(3630*'BMP P Tracking Table'!$V434+20.691*'BMP P Tracking Table'!$AB434)+SQRT((3630*'BMP P Tracking Table'!$V434+20.691*'BMP P Tracking Table'!$AB434)^2-(4*(996.798*'BMP P Tracking Table'!$AB434)*-'BMP P Tracking Table'!$AC434)))/(2*(996.798*'BMP P Tracking Table'!$AB434)),IF(SUM('BMP P Tracking Table'!$X434:$AA434)=0,'BMP P Tracking Table'!$AC434/(-3630*'BMP P Tracking Table'!$V434),(-(3630*'BMP P Tracking Table'!$V434+20.691*'BMP P Tracking Table'!$AA434-216.711*'BMP P Tracking Table'!$Z434-83.853*'BMP P Tracking Table'!$Y434-42.834*'BMP P Tracking Table'!$X434)+SQRT((3630*'BMP P Tracking Table'!$V434+20.691*'BMP P Tracking Table'!$AA434-216.711*'BMP P Tracking Table'!$Z434-83.853*'BMP P Tracking Table'!$Y434-42.834*'BMP P Tracking Table'!$X434)^2-(4*(149.919*'BMP P Tracking Table'!$X434+236.676*'BMP P Tracking Table'!$Y434+726*'BMP P Tracking Table'!$Z434+996.798*'BMP P Tracking Table'!$AA434)*-'BMP P Tracking Table'!$AC434)))/(2*(149.919*'BMP P Tracking Table'!$X434+236.676*'BMP P Tracking Table'!$Y434+726*'BMP P Tracking Table'!$Z434+996.798*'BMP P Tracking Table'!$AA434))))),"")</f>
        <v/>
      </c>
      <c r="AG434" s="104" t="str">
        <f>IFERROR((VLOOKUP(CONCATENATE('BMP P Tracking Table'!$U434," ",'BMP P Tracking Table'!$AD434),'Performance Curves'!$C$1:$L$46,_xlfn.SINGLE(MATCH('BMP P Tracking Table'!$AF434,'Performance Curves'!$D$1:$L$1,1))+2,FALSE)-VLOOKUP(CONCATENATE('BMP P Tracking Table'!$U434," ",'BMP P Tracking Table'!$AD434),'Performance Curves'!$C$1:$L$46,_xlfn.SINGLE(MATCH('BMP P Tracking Table'!$AF434,'Performance Curves'!$D$1:$L$1,1))+1,FALSE)),"")</f>
        <v/>
      </c>
      <c r="AH434" s="104" t="str">
        <f>IFERROR(('BMP P Tracking Table'!$AF434-INDEX('Performance Curves'!$D$1:$L$1,1,MATCH('BMP P Tracking Table'!$AF434,'Performance Curves'!$D$1:$L$1,1)))/(INDEX('Performance Curves'!$D$1:$L$1,1,MATCH('BMP P Tracking Table'!$AF434,'Performance Curves'!$D$1:$L$1,1)+1)-INDEX('Performance Curves'!$D$1:$L$1,1,MATCH('BMP P Tracking Table'!$AF434,'Performance Curves'!$D$1:$L$1,1))),"")</f>
        <v/>
      </c>
      <c r="AI434" s="103" t="str">
        <f>IFERROR(IF('BMP P Tracking Table'!$AF434=2,VLOOKUP(CONCATENATE('BMP P Tracking Table'!$U434," ",'BMP P Tracking Table'!$AD434),'Performance Curves'!$C$1:$L$46,_xlfn.SINGLE(MATCH('BMP P Tracking Table'!$AF434,'Performance Curves'!$D$1:$L$1,1))+1,FALSE),'BMP P Tracking Table'!$AG434*'BMP P Tracking Table'!$AH434+VLOOKUP(CONCATENATE('BMP P Tracking Table'!$U434," ",'BMP P Tracking Table'!$AD434),'Performance Curves'!$C$1:$L$46,_xlfn.SINGLE(MATCH('BMP P Tracking Table'!$AF434,'Performance Curves'!$D$1:$L$1,1))+1,FALSE)),"")</f>
        <v/>
      </c>
      <c r="AJ434" s="104" t="str">
        <f>IFERROR('BMP P Tracking Table'!$AI434*'BMP P Tracking Table'!$AE434,"")</f>
        <v/>
      </c>
      <c r="AK434" s="65"/>
      <c r="AL434" s="98"/>
      <c r="AM434" s="98"/>
      <c r="AN434" s="64">
        <v>1</v>
      </c>
      <c r="AO434" s="102" t="str">
        <f t="shared" si="41"/>
        <v/>
      </c>
      <c r="AP434" s="98"/>
      <c r="AQ434" s="98"/>
      <c r="AR434" s="98"/>
      <c r="AS434" s="98"/>
      <c r="AT434" s="98"/>
      <c r="AU434" s="98"/>
      <c r="AV434" s="98"/>
      <c r="AW434" s="65"/>
      <c r="AX434" s="99"/>
      <c r="AY434" s="99"/>
      <c r="AZ434" s="104" t="str">
        <f>IF('BMP P Tracking Table'!$AL434="Yes",IF('BMP P Tracking Table'!$AM434="No",'BMP P Tracking Table'!$V434*VLOOKUP('BMP P Tracking Table'!$R434,'Loading Rates'!$B$1:$L$24,4,FALSE)+IF('BMP P Tracking Table'!$W434="By HSG",'BMP P Tracking Table'!$X434*VLOOKUP('BMP P Tracking Table'!$R434,'Loading Rates'!$B$1:$L$24,6,FALSE)+'BMP P Tracking Table'!$Y434*VLOOKUP('BMP P Tracking Table'!$R434,'Loading Rates'!$B$1:$L$24,7,FALSE)+'BMP P Tracking Table'!$Z434*VLOOKUP('BMP P Tracking Table'!$R434,'Loading Rates'!$B$1:$L$24,8,FALSE)+'BMP P Tracking Table'!$AA434*VLOOKUP('BMP P Tracking Table'!$R434,'Loading Rates'!$B$1:$L$24,9,FALSE),'BMP P Tracking Table'!$AB434*VLOOKUP('BMP P Tracking Table'!$R434,'Loading Rates'!$B$1:$L$24,10,FALSE)),'BMP P Tracking Table'!$AP434*VLOOKUP('BMP P Tracking Table'!$R434,'Loading Rates'!$B$1:$L$24,4,FALSE)+IF('BMP P Tracking Table'!$AQ434="By HSG",'BMP P Tracking Table'!$AR434*VLOOKUP('BMP P Tracking Table'!$R434,'Loading Rates'!$B$1:$L$24,6,FALSE)+'BMP P Tracking Table'!$AS434*VLOOKUP('BMP P Tracking Table'!$R434,'Loading Rates'!$B$1:$L$24,7,FALSE)+'BMP P Tracking Table'!$AT434*VLOOKUP('BMP P Tracking Table'!$R434,'Loading Rates'!$B$1:$L$24,8,FALSE)+'BMP P Tracking Table'!$AU434*VLOOKUP('BMP P Tracking Table'!$R434,'Loading Rates'!$B$1:$L$24,9,FALSE),'BMP P Tracking Table'!$AV434*VLOOKUP('BMP P Tracking Table'!$R434,'Loading Rates'!$B$1:$L$24,10,FALSE))),"")</f>
        <v/>
      </c>
      <c r="BA434" s="104" t="str">
        <f>IFERROR(IF('BMP P Tracking Table'!$AM434="Yes",MIN(2,IF('BMP P Tracking Table'!$AQ434="Total Pervious",(-(3630*'BMP P Tracking Table'!$AP434+20.691*'BMP P Tracking Table'!$AV434)+SQRT((3630*'BMP P Tracking Table'!$AP434+20.691*'BMP P Tracking Table'!$AV434)^2-(4*(996.798*'BMP P Tracking Table'!$AV434)*-'BMP P Tracking Table'!$AX434)))/(2*(996.798*'BMP P Tracking Table'!$AV434)),IF(SUM('BMP P Tracking Table'!$AR434:$AU434)=0,'BMP P Tracking Table'!$AV434/(-3630*'BMP P Tracking Table'!$AP434),(-(3630*'BMP P Tracking Table'!$AP434+20.691*'BMP P Tracking Table'!$AU434-216.711*'BMP P Tracking Table'!$AT434-83.853*'BMP P Tracking Table'!$AS434-42.834*'BMP P Tracking Table'!$AR434)+SQRT((3630*'BMP P Tracking Table'!$AP434+20.691*'BMP P Tracking Table'!$AU434-216.711*'BMP P Tracking Table'!$AT434-83.853*'BMP P Tracking Table'!$AS434-42.834*'BMP P Tracking Table'!$AR434)^2-(4*(149.919*'BMP P Tracking Table'!$AR434+236.676*'BMP P Tracking Table'!$AS434+726*'BMP P Tracking Table'!$AT434+996.798*'BMP P Tracking Table'!$AU434)*-'BMP P Tracking Table'!$AX434)))/(2*(149.919*'BMP P Tracking Table'!$AR434+236.676*'BMP P Tracking Table'!$AS434+726*'BMP P Tracking Table'!$AT434+996.798*'BMP P Tracking Table'!$AU434))))),MIN(2,IF('BMP P Tracking Table'!$AQ434="Total Pervious",(-(3630*'BMP P Tracking Table'!$V434+20.691*'BMP P Tracking Table'!$AB434)+SQRT((3630*'BMP P Tracking Table'!$V434+20.691*'BMP P Tracking Table'!$AB434)^2-(4*(996.798*'BMP P Tracking Table'!$AB434)*-'BMP P Tracking Table'!$AX434)))/(2*(996.798*'BMP P Tracking Table'!$AB434)),IF(SUM('BMP P Tracking Table'!$X434:$AA434)=0,'BMP P Tracking Table'!$AX434/(-3630*'BMP P Tracking Table'!$V434),(-(3630*'BMP P Tracking Table'!$V434+20.691*'BMP P Tracking Table'!$AA434-216.711*'BMP P Tracking Table'!$Z434-83.853*'BMP P Tracking Table'!$Y434-42.834*'BMP P Tracking Table'!$X434)+SQRT((3630*'BMP P Tracking Table'!$V434+20.691*'BMP P Tracking Table'!$AA434-216.711*'BMP P Tracking Table'!$Z434-83.853*'BMP P Tracking Table'!$Y434-42.834*'BMP P Tracking Table'!$X434)^2-(4*(149.919*'BMP P Tracking Table'!$X434+236.676*'BMP P Tracking Table'!$Y434+726*'BMP P Tracking Table'!$Z434+996.798*'BMP P Tracking Table'!$AA434)*-'BMP P Tracking Table'!$AX434)))/(2*(149.919*'BMP P Tracking Table'!$X434+236.676*'BMP P Tracking Table'!$Y434+726*'BMP P Tracking Table'!$Z434+996.798*'BMP P Tracking Table'!$AA434)))))),"")</f>
        <v/>
      </c>
      <c r="BB434" s="102" t="str">
        <f>IFERROR((VLOOKUP(CONCATENATE('BMP P Tracking Table'!$AW434," ",'BMP P Tracking Table'!$AY434),'Performance Curves'!$C$1:$L$46,_xlfn.SINGLE(MATCH('BMP P Tracking Table'!$BA434,'Performance Curves'!$D$1:$L$1,1))+2,FALSE)-VLOOKUP(CONCATENATE('BMP P Tracking Table'!$AW434," ",'BMP P Tracking Table'!$AY434),'Performance Curves'!$C$1:$L$46,_xlfn.SINGLE(MATCH('BMP P Tracking Table'!$BA434,'Performance Curves'!$D$1:$L$1,1))+1,FALSE)),"")</f>
        <v/>
      </c>
      <c r="BC434" s="102" t="str">
        <f>IFERROR(('BMP P Tracking Table'!$BA434-INDEX('Performance Curves'!$D$1:$L$1,1,MATCH('BMP P Tracking Table'!$BA434,'Performance Curves'!$D$1:$L$1,1)))/(INDEX('Performance Curves'!$D$1:$L$1,1,MATCH('BMP P Tracking Table'!$BA434,'Performance Curves'!$D$1:$L$1,1)+1)-INDEX('Performance Curves'!$D$1:$L$1,1,MATCH('BMP P Tracking Table'!$BA434,'Performance Curves'!$D$1:$L$1,1))),"")</f>
        <v/>
      </c>
      <c r="BD434" s="103" t="str" cm="1">
        <f t="array" ref="BD434">IFERROR(IF('BMP P Tracking Table'!$BA434=2,VLOOKUP(CONCATENATE('BMP P Tracking Table'!$AW434," ",'BMP P Tracking Table'!$AY434),'Performance Curves'!$C$1:$L$44,_xlfn.SINGLE(MATCH('BMP P Tracking Table'!$BA434,'Performance Curves'!$D$1:$L$1,1))+1,FALSE),'BMP P Tracking Table'!$BB434*'BMP P Tracking Table'!$BC434+VLOOKUP(CONCATENATE('BMP P Tracking Table'!$AW434," ",'BMP P Tracking Table'!$AY434),'Performance Curves'!$C$1:$L$44,_xlfn.SINGLE(MATCH('BMP P Tracking Table'!$BA434,'Performance Curves'!$D$1:$L$1,1))+1,FALSE)),"")</f>
        <v/>
      </c>
      <c r="BE434" s="104" t="str">
        <f>IFERROR('BMP P Tracking Table'!$BD434*'BMP P Tracking Table'!$AZ434,"")</f>
        <v/>
      </c>
      <c r="BF434" s="98"/>
      <c r="BG434" s="37">
        <f t="shared" si="42"/>
        <v>0</v>
      </c>
    </row>
    <row r="435" spans="2:59" s="36" customFormat="1">
      <c r="B435" s="65"/>
      <c r="C435" s="65"/>
      <c r="D435" s="65"/>
      <c r="E435" s="65"/>
      <c r="F435" s="94"/>
      <c r="G435" s="94"/>
      <c r="H435" s="65"/>
      <c r="I435" s="65"/>
      <c r="J435" s="65"/>
      <c r="K435" s="95"/>
      <c r="L435" s="65"/>
      <c r="M435" s="65"/>
      <c r="N435" s="65"/>
      <c r="O435" s="65"/>
      <c r="P435" s="65"/>
      <c r="Q435" s="65"/>
      <c r="R435" s="65" t="str">
        <f>IFERROR(VLOOKUP('BMP P Tracking Table'!$Q435,Dropdowns!$C$2:$E$15,3,FALSE),"")</f>
        <v/>
      </c>
      <c r="S435" s="65" t="str">
        <f>IFERROR(VLOOKUP('BMP P Tracking Table'!$R435,Dropdowns!$Q$3:$R$23,2,FALSE),"")</f>
        <v/>
      </c>
      <c r="T435" s="65"/>
      <c r="U435" s="65"/>
      <c r="V435" s="65"/>
      <c r="W435" s="65"/>
      <c r="X435" s="65"/>
      <c r="Y435" s="65"/>
      <c r="Z435" s="65"/>
      <c r="AA435" s="65"/>
      <c r="AB435" s="65"/>
      <c r="AC435" s="97"/>
      <c r="AD435" s="65"/>
      <c r="AE435" s="104" t="str">
        <f>IFERROR('BMP P Tracking Table'!$V435*VLOOKUP('BMP P Tracking Table'!$R435,'Loading Rates'!$B$1:$L$24,4,FALSE)+IF('BMP P Tracking Table'!$W435="By HSG",'BMP P Tracking Table'!$X435*VLOOKUP('BMP P Tracking Table'!$R435,'Loading Rates'!$B$1:$L$24,6,FALSE)+'BMP P Tracking Table'!$Y435*VLOOKUP('BMP P Tracking Table'!$R435,'Loading Rates'!$B$1:$L$24,7,FALSE)+'BMP P Tracking Table'!$Z435*VLOOKUP('BMP P Tracking Table'!$R435,'Loading Rates'!$B$1:$L$24,8,FALSE)+'BMP P Tracking Table'!$AA435*VLOOKUP('BMP P Tracking Table'!$R435,'Loading Rates'!$B$1:$L$24,9,FALSE),'BMP P Tracking Table'!$AB435*VLOOKUP('BMP P Tracking Table'!$R435,'Loading Rates'!$B$1:$L$24,10,FALSE)),"")</f>
        <v/>
      </c>
      <c r="AF435" s="104" t="str">
        <f>IFERROR(MIN(2,IF('BMP P Tracking Table'!$W435="Total Pervious",(-(3630*'BMP P Tracking Table'!$V435+20.691*'BMP P Tracking Table'!$AB435)+SQRT((3630*'BMP P Tracking Table'!$V435+20.691*'BMP P Tracking Table'!$AB435)^2-(4*(996.798*'BMP P Tracking Table'!$AB435)*-'BMP P Tracking Table'!$AC435)))/(2*(996.798*'BMP P Tracking Table'!$AB435)),IF(SUM('BMP P Tracking Table'!$X435:$AA435)=0,'BMP P Tracking Table'!$AC435/(-3630*'BMP P Tracking Table'!$V435),(-(3630*'BMP P Tracking Table'!$V435+20.691*'BMP P Tracking Table'!$AA435-216.711*'BMP P Tracking Table'!$Z435-83.853*'BMP P Tracking Table'!$Y435-42.834*'BMP P Tracking Table'!$X435)+SQRT((3630*'BMP P Tracking Table'!$V435+20.691*'BMP P Tracking Table'!$AA435-216.711*'BMP P Tracking Table'!$Z435-83.853*'BMP P Tracking Table'!$Y435-42.834*'BMP P Tracking Table'!$X435)^2-(4*(149.919*'BMP P Tracking Table'!$X435+236.676*'BMP P Tracking Table'!$Y435+726*'BMP P Tracking Table'!$Z435+996.798*'BMP P Tracking Table'!$AA435)*-'BMP P Tracking Table'!$AC435)))/(2*(149.919*'BMP P Tracking Table'!$X435+236.676*'BMP P Tracking Table'!$Y435+726*'BMP P Tracking Table'!$Z435+996.798*'BMP P Tracking Table'!$AA435))))),"")</f>
        <v/>
      </c>
      <c r="AG435" s="104" t="str">
        <f>IFERROR((VLOOKUP(CONCATENATE('BMP P Tracking Table'!$U435," ",'BMP P Tracking Table'!$AD435),'Performance Curves'!$C$1:$L$46,_xlfn.SINGLE(MATCH('BMP P Tracking Table'!$AF435,'Performance Curves'!$D$1:$L$1,1))+2,FALSE)-VLOOKUP(CONCATENATE('BMP P Tracking Table'!$U435," ",'BMP P Tracking Table'!$AD435),'Performance Curves'!$C$1:$L$46,_xlfn.SINGLE(MATCH('BMP P Tracking Table'!$AF435,'Performance Curves'!$D$1:$L$1,1))+1,FALSE)),"")</f>
        <v/>
      </c>
      <c r="AH435" s="104" t="str">
        <f>IFERROR(('BMP P Tracking Table'!$AF435-INDEX('Performance Curves'!$D$1:$L$1,1,MATCH('BMP P Tracking Table'!$AF435,'Performance Curves'!$D$1:$L$1,1)))/(INDEX('Performance Curves'!$D$1:$L$1,1,MATCH('BMP P Tracking Table'!$AF435,'Performance Curves'!$D$1:$L$1,1)+1)-INDEX('Performance Curves'!$D$1:$L$1,1,MATCH('BMP P Tracking Table'!$AF435,'Performance Curves'!$D$1:$L$1,1))),"")</f>
        <v/>
      </c>
      <c r="AI435" s="103" t="str">
        <f>IFERROR(IF('BMP P Tracking Table'!$AF435=2,VLOOKUP(CONCATENATE('BMP P Tracking Table'!$U435," ",'BMP P Tracking Table'!$AD435),'Performance Curves'!$C$1:$L$46,_xlfn.SINGLE(MATCH('BMP P Tracking Table'!$AF435,'Performance Curves'!$D$1:$L$1,1))+1,FALSE),'BMP P Tracking Table'!$AG435*'BMP P Tracking Table'!$AH435+VLOOKUP(CONCATENATE('BMP P Tracking Table'!$U435," ",'BMP P Tracking Table'!$AD435),'Performance Curves'!$C$1:$L$46,_xlfn.SINGLE(MATCH('BMP P Tracking Table'!$AF435,'Performance Curves'!$D$1:$L$1,1))+1,FALSE)),"")</f>
        <v/>
      </c>
      <c r="AJ435" s="104" t="str">
        <f>IFERROR('BMP P Tracking Table'!$AI435*'BMP P Tracking Table'!$AE435,"")</f>
        <v/>
      </c>
      <c r="AK435" s="65"/>
      <c r="AL435" s="98"/>
      <c r="AM435" s="98"/>
      <c r="AN435" s="64">
        <v>1</v>
      </c>
      <c r="AO435" s="102" t="str">
        <f t="shared" si="41"/>
        <v/>
      </c>
      <c r="AP435" s="98"/>
      <c r="AQ435" s="98"/>
      <c r="AR435" s="98"/>
      <c r="AS435" s="98"/>
      <c r="AT435" s="98"/>
      <c r="AU435" s="98"/>
      <c r="AV435" s="98"/>
      <c r="AW435" s="65"/>
      <c r="AX435" s="99"/>
      <c r="AY435" s="99"/>
      <c r="AZ435" s="104" t="str">
        <f>IF('BMP P Tracking Table'!$AL435="Yes",IF('BMP P Tracking Table'!$AM435="No",'BMP P Tracking Table'!$V435*VLOOKUP('BMP P Tracking Table'!$R435,'Loading Rates'!$B$1:$L$24,4,FALSE)+IF('BMP P Tracking Table'!$W435="By HSG",'BMP P Tracking Table'!$X435*VLOOKUP('BMP P Tracking Table'!$R435,'Loading Rates'!$B$1:$L$24,6,FALSE)+'BMP P Tracking Table'!$Y435*VLOOKUP('BMP P Tracking Table'!$R435,'Loading Rates'!$B$1:$L$24,7,FALSE)+'BMP P Tracking Table'!$Z435*VLOOKUP('BMP P Tracking Table'!$R435,'Loading Rates'!$B$1:$L$24,8,FALSE)+'BMP P Tracking Table'!$AA435*VLOOKUP('BMP P Tracking Table'!$R435,'Loading Rates'!$B$1:$L$24,9,FALSE),'BMP P Tracking Table'!$AB435*VLOOKUP('BMP P Tracking Table'!$R435,'Loading Rates'!$B$1:$L$24,10,FALSE)),'BMP P Tracking Table'!$AP435*VLOOKUP('BMP P Tracking Table'!$R435,'Loading Rates'!$B$1:$L$24,4,FALSE)+IF('BMP P Tracking Table'!$AQ435="By HSG",'BMP P Tracking Table'!$AR435*VLOOKUP('BMP P Tracking Table'!$R435,'Loading Rates'!$B$1:$L$24,6,FALSE)+'BMP P Tracking Table'!$AS435*VLOOKUP('BMP P Tracking Table'!$R435,'Loading Rates'!$B$1:$L$24,7,FALSE)+'BMP P Tracking Table'!$AT435*VLOOKUP('BMP P Tracking Table'!$R435,'Loading Rates'!$B$1:$L$24,8,FALSE)+'BMP P Tracking Table'!$AU435*VLOOKUP('BMP P Tracking Table'!$R435,'Loading Rates'!$B$1:$L$24,9,FALSE),'BMP P Tracking Table'!$AV435*VLOOKUP('BMP P Tracking Table'!$R435,'Loading Rates'!$B$1:$L$24,10,FALSE))),"")</f>
        <v/>
      </c>
      <c r="BA435" s="104" t="str">
        <f>IFERROR(IF('BMP P Tracking Table'!$AM435="Yes",MIN(2,IF('BMP P Tracking Table'!$AQ435="Total Pervious",(-(3630*'BMP P Tracking Table'!$AP435+20.691*'BMP P Tracking Table'!$AV435)+SQRT((3630*'BMP P Tracking Table'!$AP435+20.691*'BMP P Tracking Table'!$AV435)^2-(4*(996.798*'BMP P Tracking Table'!$AV435)*-'BMP P Tracking Table'!$AX435)))/(2*(996.798*'BMP P Tracking Table'!$AV435)),IF(SUM('BMP P Tracking Table'!$AR435:$AU435)=0,'BMP P Tracking Table'!$AV435/(-3630*'BMP P Tracking Table'!$AP435),(-(3630*'BMP P Tracking Table'!$AP435+20.691*'BMP P Tracking Table'!$AU435-216.711*'BMP P Tracking Table'!$AT435-83.853*'BMP P Tracking Table'!$AS435-42.834*'BMP P Tracking Table'!$AR435)+SQRT((3630*'BMP P Tracking Table'!$AP435+20.691*'BMP P Tracking Table'!$AU435-216.711*'BMP P Tracking Table'!$AT435-83.853*'BMP P Tracking Table'!$AS435-42.834*'BMP P Tracking Table'!$AR435)^2-(4*(149.919*'BMP P Tracking Table'!$AR435+236.676*'BMP P Tracking Table'!$AS435+726*'BMP P Tracking Table'!$AT435+996.798*'BMP P Tracking Table'!$AU435)*-'BMP P Tracking Table'!$AX435)))/(2*(149.919*'BMP P Tracking Table'!$AR435+236.676*'BMP P Tracking Table'!$AS435+726*'BMP P Tracking Table'!$AT435+996.798*'BMP P Tracking Table'!$AU435))))),MIN(2,IF('BMP P Tracking Table'!$AQ435="Total Pervious",(-(3630*'BMP P Tracking Table'!$V435+20.691*'BMP P Tracking Table'!$AB435)+SQRT((3630*'BMP P Tracking Table'!$V435+20.691*'BMP P Tracking Table'!$AB435)^2-(4*(996.798*'BMP P Tracking Table'!$AB435)*-'BMP P Tracking Table'!$AX435)))/(2*(996.798*'BMP P Tracking Table'!$AB435)),IF(SUM('BMP P Tracking Table'!$X435:$AA435)=0,'BMP P Tracking Table'!$AX435/(-3630*'BMP P Tracking Table'!$V435),(-(3630*'BMP P Tracking Table'!$V435+20.691*'BMP P Tracking Table'!$AA435-216.711*'BMP P Tracking Table'!$Z435-83.853*'BMP P Tracking Table'!$Y435-42.834*'BMP P Tracking Table'!$X435)+SQRT((3630*'BMP P Tracking Table'!$V435+20.691*'BMP P Tracking Table'!$AA435-216.711*'BMP P Tracking Table'!$Z435-83.853*'BMP P Tracking Table'!$Y435-42.834*'BMP P Tracking Table'!$X435)^2-(4*(149.919*'BMP P Tracking Table'!$X435+236.676*'BMP P Tracking Table'!$Y435+726*'BMP P Tracking Table'!$Z435+996.798*'BMP P Tracking Table'!$AA435)*-'BMP P Tracking Table'!$AX435)))/(2*(149.919*'BMP P Tracking Table'!$X435+236.676*'BMP P Tracking Table'!$Y435+726*'BMP P Tracking Table'!$Z435+996.798*'BMP P Tracking Table'!$AA435)))))),"")</f>
        <v/>
      </c>
      <c r="BB435" s="102" t="str">
        <f>IFERROR((VLOOKUP(CONCATENATE('BMP P Tracking Table'!$AW435," ",'BMP P Tracking Table'!$AY435),'Performance Curves'!$C$1:$L$46,_xlfn.SINGLE(MATCH('BMP P Tracking Table'!$BA435,'Performance Curves'!$D$1:$L$1,1))+2,FALSE)-VLOOKUP(CONCATENATE('BMP P Tracking Table'!$AW435," ",'BMP P Tracking Table'!$AY435),'Performance Curves'!$C$1:$L$46,_xlfn.SINGLE(MATCH('BMP P Tracking Table'!$BA435,'Performance Curves'!$D$1:$L$1,1))+1,FALSE)),"")</f>
        <v/>
      </c>
      <c r="BC435" s="102" t="str">
        <f>IFERROR(('BMP P Tracking Table'!$BA435-INDEX('Performance Curves'!$D$1:$L$1,1,MATCH('BMP P Tracking Table'!$BA435,'Performance Curves'!$D$1:$L$1,1)))/(INDEX('Performance Curves'!$D$1:$L$1,1,MATCH('BMP P Tracking Table'!$BA435,'Performance Curves'!$D$1:$L$1,1)+1)-INDEX('Performance Curves'!$D$1:$L$1,1,MATCH('BMP P Tracking Table'!$BA435,'Performance Curves'!$D$1:$L$1,1))),"")</f>
        <v/>
      </c>
      <c r="BD435" s="103" t="str" cm="1">
        <f t="array" ref="BD435">IFERROR(IF('BMP P Tracking Table'!$BA435=2,VLOOKUP(CONCATENATE('BMP P Tracking Table'!$AW435," ",'BMP P Tracking Table'!$AY435),'Performance Curves'!$C$1:$L$44,_xlfn.SINGLE(MATCH('BMP P Tracking Table'!$BA435,'Performance Curves'!$D$1:$L$1,1))+1,FALSE),'BMP P Tracking Table'!$BB435*'BMP P Tracking Table'!$BC435+VLOOKUP(CONCATENATE('BMP P Tracking Table'!$AW435," ",'BMP P Tracking Table'!$AY435),'Performance Curves'!$C$1:$L$44,_xlfn.SINGLE(MATCH('BMP P Tracking Table'!$BA435,'Performance Curves'!$D$1:$L$1,1))+1,FALSE)),"")</f>
        <v/>
      </c>
      <c r="BE435" s="104" t="str">
        <f>IFERROR('BMP P Tracking Table'!$BD435*'BMP P Tracking Table'!$AZ435,"")</f>
        <v/>
      </c>
      <c r="BF435" s="98"/>
      <c r="BG435" s="37">
        <f t="shared" si="42"/>
        <v>0</v>
      </c>
    </row>
    <row r="436" spans="2:59" s="36" customFormat="1">
      <c r="B436" s="65"/>
      <c r="C436" s="65"/>
      <c r="D436" s="65"/>
      <c r="E436" s="65"/>
      <c r="F436" s="94"/>
      <c r="G436" s="94"/>
      <c r="H436" s="65"/>
      <c r="I436" s="65"/>
      <c r="J436" s="65"/>
      <c r="K436" s="95"/>
      <c r="L436" s="65"/>
      <c r="M436" s="65"/>
      <c r="N436" s="65"/>
      <c r="O436" s="65"/>
      <c r="P436" s="65"/>
      <c r="Q436" s="65"/>
      <c r="R436" s="65" t="str">
        <f>IFERROR(VLOOKUP('BMP P Tracking Table'!$Q436,Dropdowns!$C$2:$E$15,3,FALSE),"")</f>
        <v/>
      </c>
      <c r="S436" s="65" t="str">
        <f>IFERROR(VLOOKUP('BMP P Tracking Table'!$R436,Dropdowns!$Q$3:$R$23,2,FALSE),"")</f>
        <v/>
      </c>
      <c r="T436" s="65"/>
      <c r="U436" s="65"/>
      <c r="V436" s="65"/>
      <c r="W436" s="65"/>
      <c r="X436" s="65"/>
      <c r="Y436" s="65"/>
      <c r="Z436" s="65"/>
      <c r="AA436" s="65"/>
      <c r="AB436" s="65"/>
      <c r="AC436" s="97"/>
      <c r="AD436" s="65"/>
      <c r="AE436" s="104" t="str">
        <f>IFERROR('BMP P Tracking Table'!$V436*VLOOKUP('BMP P Tracking Table'!$R436,'Loading Rates'!$B$1:$L$24,4,FALSE)+IF('BMP P Tracking Table'!$W436="By HSG",'BMP P Tracking Table'!$X436*VLOOKUP('BMP P Tracking Table'!$R436,'Loading Rates'!$B$1:$L$24,6,FALSE)+'BMP P Tracking Table'!$Y436*VLOOKUP('BMP P Tracking Table'!$R436,'Loading Rates'!$B$1:$L$24,7,FALSE)+'BMP P Tracking Table'!$Z436*VLOOKUP('BMP P Tracking Table'!$R436,'Loading Rates'!$B$1:$L$24,8,FALSE)+'BMP P Tracking Table'!$AA436*VLOOKUP('BMP P Tracking Table'!$R436,'Loading Rates'!$B$1:$L$24,9,FALSE),'BMP P Tracking Table'!$AB436*VLOOKUP('BMP P Tracking Table'!$R436,'Loading Rates'!$B$1:$L$24,10,FALSE)),"")</f>
        <v/>
      </c>
      <c r="AF436" s="104" t="str">
        <f>IFERROR(MIN(2,IF('BMP P Tracking Table'!$W436="Total Pervious",(-(3630*'BMP P Tracking Table'!$V436+20.691*'BMP P Tracking Table'!$AB436)+SQRT((3630*'BMP P Tracking Table'!$V436+20.691*'BMP P Tracking Table'!$AB436)^2-(4*(996.798*'BMP P Tracking Table'!$AB436)*-'BMP P Tracking Table'!$AC436)))/(2*(996.798*'BMP P Tracking Table'!$AB436)),IF(SUM('BMP P Tracking Table'!$X436:$AA436)=0,'BMP P Tracking Table'!$AC436/(-3630*'BMP P Tracking Table'!$V436),(-(3630*'BMP P Tracking Table'!$V436+20.691*'BMP P Tracking Table'!$AA436-216.711*'BMP P Tracking Table'!$Z436-83.853*'BMP P Tracking Table'!$Y436-42.834*'BMP P Tracking Table'!$X436)+SQRT((3630*'BMP P Tracking Table'!$V436+20.691*'BMP P Tracking Table'!$AA436-216.711*'BMP P Tracking Table'!$Z436-83.853*'BMP P Tracking Table'!$Y436-42.834*'BMP P Tracking Table'!$X436)^2-(4*(149.919*'BMP P Tracking Table'!$X436+236.676*'BMP P Tracking Table'!$Y436+726*'BMP P Tracking Table'!$Z436+996.798*'BMP P Tracking Table'!$AA436)*-'BMP P Tracking Table'!$AC436)))/(2*(149.919*'BMP P Tracking Table'!$X436+236.676*'BMP P Tracking Table'!$Y436+726*'BMP P Tracking Table'!$Z436+996.798*'BMP P Tracking Table'!$AA436))))),"")</f>
        <v/>
      </c>
      <c r="AG436" s="104" t="str">
        <f>IFERROR((VLOOKUP(CONCATENATE('BMP P Tracking Table'!$U436," ",'BMP P Tracking Table'!$AD436),'Performance Curves'!$C$1:$L$46,_xlfn.SINGLE(MATCH('BMP P Tracking Table'!$AF436,'Performance Curves'!$D$1:$L$1,1))+2,FALSE)-VLOOKUP(CONCATENATE('BMP P Tracking Table'!$U436," ",'BMP P Tracking Table'!$AD436),'Performance Curves'!$C$1:$L$46,_xlfn.SINGLE(MATCH('BMP P Tracking Table'!$AF436,'Performance Curves'!$D$1:$L$1,1))+1,FALSE)),"")</f>
        <v/>
      </c>
      <c r="AH436" s="104" t="str">
        <f>IFERROR(('BMP P Tracking Table'!$AF436-INDEX('Performance Curves'!$D$1:$L$1,1,MATCH('BMP P Tracking Table'!$AF436,'Performance Curves'!$D$1:$L$1,1)))/(INDEX('Performance Curves'!$D$1:$L$1,1,MATCH('BMP P Tracking Table'!$AF436,'Performance Curves'!$D$1:$L$1,1)+1)-INDEX('Performance Curves'!$D$1:$L$1,1,MATCH('BMP P Tracking Table'!$AF436,'Performance Curves'!$D$1:$L$1,1))),"")</f>
        <v/>
      </c>
      <c r="AI436" s="103" t="str">
        <f>IFERROR(IF('BMP P Tracking Table'!$AF436=2,VLOOKUP(CONCATENATE('BMP P Tracking Table'!$U436," ",'BMP P Tracking Table'!$AD436),'Performance Curves'!$C$1:$L$46,_xlfn.SINGLE(MATCH('BMP P Tracking Table'!$AF436,'Performance Curves'!$D$1:$L$1,1))+1,FALSE),'BMP P Tracking Table'!$AG436*'BMP P Tracking Table'!$AH436+VLOOKUP(CONCATENATE('BMP P Tracking Table'!$U436," ",'BMP P Tracking Table'!$AD436),'Performance Curves'!$C$1:$L$46,_xlfn.SINGLE(MATCH('BMP P Tracking Table'!$AF436,'Performance Curves'!$D$1:$L$1,1))+1,FALSE)),"")</f>
        <v/>
      </c>
      <c r="AJ436" s="104" t="str">
        <f>IFERROR('BMP P Tracking Table'!$AI436*'BMP P Tracking Table'!$AE436,"")</f>
        <v/>
      </c>
      <c r="AK436" s="65"/>
      <c r="AL436" s="98"/>
      <c r="AM436" s="98"/>
      <c r="AN436" s="64">
        <v>1</v>
      </c>
      <c r="AO436" s="102" t="str">
        <f t="shared" si="41"/>
        <v/>
      </c>
      <c r="AP436" s="98"/>
      <c r="AQ436" s="98"/>
      <c r="AR436" s="98"/>
      <c r="AS436" s="98"/>
      <c r="AT436" s="98"/>
      <c r="AU436" s="98"/>
      <c r="AV436" s="98"/>
      <c r="AW436" s="65"/>
      <c r="AX436" s="99"/>
      <c r="AY436" s="99"/>
      <c r="AZ436" s="104" t="str">
        <f>IF('BMP P Tracking Table'!$AL436="Yes",IF('BMP P Tracking Table'!$AM436="No",'BMP P Tracking Table'!$V436*VLOOKUP('BMP P Tracking Table'!$R436,'Loading Rates'!$B$1:$L$24,4,FALSE)+IF('BMP P Tracking Table'!$W436="By HSG",'BMP P Tracking Table'!$X436*VLOOKUP('BMP P Tracking Table'!$R436,'Loading Rates'!$B$1:$L$24,6,FALSE)+'BMP P Tracking Table'!$Y436*VLOOKUP('BMP P Tracking Table'!$R436,'Loading Rates'!$B$1:$L$24,7,FALSE)+'BMP P Tracking Table'!$Z436*VLOOKUP('BMP P Tracking Table'!$R436,'Loading Rates'!$B$1:$L$24,8,FALSE)+'BMP P Tracking Table'!$AA436*VLOOKUP('BMP P Tracking Table'!$R436,'Loading Rates'!$B$1:$L$24,9,FALSE),'BMP P Tracking Table'!$AB436*VLOOKUP('BMP P Tracking Table'!$R436,'Loading Rates'!$B$1:$L$24,10,FALSE)),'BMP P Tracking Table'!$AP436*VLOOKUP('BMP P Tracking Table'!$R436,'Loading Rates'!$B$1:$L$24,4,FALSE)+IF('BMP P Tracking Table'!$AQ436="By HSG",'BMP P Tracking Table'!$AR436*VLOOKUP('BMP P Tracking Table'!$R436,'Loading Rates'!$B$1:$L$24,6,FALSE)+'BMP P Tracking Table'!$AS436*VLOOKUP('BMP P Tracking Table'!$R436,'Loading Rates'!$B$1:$L$24,7,FALSE)+'BMP P Tracking Table'!$AT436*VLOOKUP('BMP P Tracking Table'!$R436,'Loading Rates'!$B$1:$L$24,8,FALSE)+'BMP P Tracking Table'!$AU436*VLOOKUP('BMP P Tracking Table'!$R436,'Loading Rates'!$B$1:$L$24,9,FALSE),'BMP P Tracking Table'!$AV436*VLOOKUP('BMP P Tracking Table'!$R436,'Loading Rates'!$B$1:$L$24,10,FALSE))),"")</f>
        <v/>
      </c>
      <c r="BA436" s="104" t="str">
        <f>IFERROR(IF('BMP P Tracking Table'!$AM436="Yes",MIN(2,IF('BMP P Tracking Table'!$AQ436="Total Pervious",(-(3630*'BMP P Tracking Table'!$AP436+20.691*'BMP P Tracking Table'!$AV436)+SQRT((3630*'BMP P Tracking Table'!$AP436+20.691*'BMP P Tracking Table'!$AV436)^2-(4*(996.798*'BMP P Tracking Table'!$AV436)*-'BMP P Tracking Table'!$AX436)))/(2*(996.798*'BMP P Tracking Table'!$AV436)),IF(SUM('BMP P Tracking Table'!$AR436:$AU436)=0,'BMP P Tracking Table'!$AV436/(-3630*'BMP P Tracking Table'!$AP436),(-(3630*'BMP P Tracking Table'!$AP436+20.691*'BMP P Tracking Table'!$AU436-216.711*'BMP P Tracking Table'!$AT436-83.853*'BMP P Tracking Table'!$AS436-42.834*'BMP P Tracking Table'!$AR436)+SQRT((3630*'BMP P Tracking Table'!$AP436+20.691*'BMP P Tracking Table'!$AU436-216.711*'BMP P Tracking Table'!$AT436-83.853*'BMP P Tracking Table'!$AS436-42.834*'BMP P Tracking Table'!$AR436)^2-(4*(149.919*'BMP P Tracking Table'!$AR436+236.676*'BMP P Tracking Table'!$AS436+726*'BMP P Tracking Table'!$AT436+996.798*'BMP P Tracking Table'!$AU436)*-'BMP P Tracking Table'!$AX436)))/(2*(149.919*'BMP P Tracking Table'!$AR436+236.676*'BMP P Tracking Table'!$AS436+726*'BMP P Tracking Table'!$AT436+996.798*'BMP P Tracking Table'!$AU436))))),MIN(2,IF('BMP P Tracking Table'!$AQ436="Total Pervious",(-(3630*'BMP P Tracking Table'!$V436+20.691*'BMP P Tracking Table'!$AB436)+SQRT((3630*'BMP P Tracking Table'!$V436+20.691*'BMP P Tracking Table'!$AB436)^2-(4*(996.798*'BMP P Tracking Table'!$AB436)*-'BMP P Tracking Table'!$AX436)))/(2*(996.798*'BMP P Tracking Table'!$AB436)),IF(SUM('BMP P Tracking Table'!$X436:$AA436)=0,'BMP P Tracking Table'!$AX436/(-3630*'BMP P Tracking Table'!$V436),(-(3630*'BMP P Tracking Table'!$V436+20.691*'BMP P Tracking Table'!$AA436-216.711*'BMP P Tracking Table'!$Z436-83.853*'BMP P Tracking Table'!$Y436-42.834*'BMP P Tracking Table'!$X436)+SQRT((3630*'BMP P Tracking Table'!$V436+20.691*'BMP P Tracking Table'!$AA436-216.711*'BMP P Tracking Table'!$Z436-83.853*'BMP P Tracking Table'!$Y436-42.834*'BMP P Tracking Table'!$X436)^2-(4*(149.919*'BMP P Tracking Table'!$X436+236.676*'BMP P Tracking Table'!$Y436+726*'BMP P Tracking Table'!$Z436+996.798*'BMP P Tracking Table'!$AA436)*-'BMP P Tracking Table'!$AX436)))/(2*(149.919*'BMP P Tracking Table'!$X436+236.676*'BMP P Tracking Table'!$Y436+726*'BMP P Tracking Table'!$Z436+996.798*'BMP P Tracking Table'!$AA436)))))),"")</f>
        <v/>
      </c>
      <c r="BB436" s="102" t="str">
        <f>IFERROR((VLOOKUP(CONCATENATE('BMP P Tracking Table'!$AW436," ",'BMP P Tracking Table'!$AY436),'Performance Curves'!$C$1:$L$46,_xlfn.SINGLE(MATCH('BMP P Tracking Table'!$BA436,'Performance Curves'!$D$1:$L$1,1))+2,FALSE)-VLOOKUP(CONCATENATE('BMP P Tracking Table'!$AW436," ",'BMP P Tracking Table'!$AY436),'Performance Curves'!$C$1:$L$46,_xlfn.SINGLE(MATCH('BMP P Tracking Table'!$BA436,'Performance Curves'!$D$1:$L$1,1))+1,FALSE)),"")</f>
        <v/>
      </c>
      <c r="BC436" s="102" t="str">
        <f>IFERROR(('BMP P Tracking Table'!$BA436-INDEX('Performance Curves'!$D$1:$L$1,1,MATCH('BMP P Tracking Table'!$BA436,'Performance Curves'!$D$1:$L$1,1)))/(INDEX('Performance Curves'!$D$1:$L$1,1,MATCH('BMP P Tracking Table'!$BA436,'Performance Curves'!$D$1:$L$1,1)+1)-INDEX('Performance Curves'!$D$1:$L$1,1,MATCH('BMP P Tracking Table'!$BA436,'Performance Curves'!$D$1:$L$1,1))),"")</f>
        <v/>
      </c>
      <c r="BD436" s="103" t="str" cm="1">
        <f t="array" ref="BD436">IFERROR(IF('BMP P Tracking Table'!$BA436=2,VLOOKUP(CONCATENATE('BMP P Tracking Table'!$AW436," ",'BMP P Tracking Table'!$AY436),'Performance Curves'!$C$1:$L$44,_xlfn.SINGLE(MATCH('BMP P Tracking Table'!$BA436,'Performance Curves'!$D$1:$L$1,1))+1,FALSE),'BMP P Tracking Table'!$BB436*'BMP P Tracking Table'!$BC436+VLOOKUP(CONCATENATE('BMP P Tracking Table'!$AW436," ",'BMP P Tracking Table'!$AY436),'Performance Curves'!$C$1:$L$44,_xlfn.SINGLE(MATCH('BMP P Tracking Table'!$BA436,'Performance Curves'!$D$1:$L$1,1))+1,FALSE)),"")</f>
        <v/>
      </c>
      <c r="BE436" s="104" t="str">
        <f>IFERROR('BMP P Tracking Table'!$BD436*'BMP P Tracking Table'!$AZ436,"")</f>
        <v/>
      </c>
      <c r="BF436" s="98"/>
      <c r="BG436" s="37">
        <f t="shared" si="42"/>
        <v>0</v>
      </c>
    </row>
    <row r="437" spans="2:59" s="36" customFormat="1">
      <c r="B437" s="65"/>
      <c r="C437" s="65"/>
      <c r="D437" s="65"/>
      <c r="E437" s="65"/>
      <c r="F437" s="94"/>
      <c r="G437" s="94"/>
      <c r="H437" s="65"/>
      <c r="I437" s="65"/>
      <c r="J437" s="65"/>
      <c r="K437" s="95"/>
      <c r="L437" s="65"/>
      <c r="M437" s="65"/>
      <c r="N437" s="65"/>
      <c r="O437" s="65"/>
      <c r="P437" s="65"/>
      <c r="Q437" s="65"/>
      <c r="R437" s="65" t="str">
        <f>IFERROR(VLOOKUP('BMP P Tracking Table'!$Q437,Dropdowns!$C$2:$E$15,3,FALSE),"")</f>
        <v/>
      </c>
      <c r="S437" s="65" t="str">
        <f>IFERROR(VLOOKUP('BMP P Tracking Table'!$R437,Dropdowns!$Q$3:$R$23,2,FALSE),"")</f>
        <v/>
      </c>
      <c r="T437" s="65"/>
      <c r="U437" s="65"/>
      <c r="V437" s="65"/>
      <c r="W437" s="65"/>
      <c r="X437" s="65"/>
      <c r="Y437" s="65"/>
      <c r="Z437" s="65"/>
      <c r="AA437" s="65"/>
      <c r="AB437" s="65"/>
      <c r="AC437" s="97"/>
      <c r="AD437" s="65"/>
      <c r="AE437" s="104" t="str">
        <f>IFERROR('BMP P Tracking Table'!$V437*VLOOKUP('BMP P Tracking Table'!$R437,'Loading Rates'!$B$1:$L$24,4,FALSE)+IF('BMP P Tracking Table'!$W437="By HSG",'BMP P Tracking Table'!$X437*VLOOKUP('BMP P Tracking Table'!$R437,'Loading Rates'!$B$1:$L$24,6,FALSE)+'BMP P Tracking Table'!$Y437*VLOOKUP('BMP P Tracking Table'!$R437,'Loading Rates'!$B$1:$L$24,7,FALSE)+'BMP P Tracking Table'!$Z437*VLOOKUP('BMP P Tracking Table'!$R437,'Loading Rates'!$B$1:$L$24,8,FALSE)+'BMP P Tracking Table'!$AA437*VLOOKUP('BMP P Tracking Table'!$R437,'Loading Rates'!$B$1:$L$24,9,FALSE),'BMP P Tracking Table'!$AB437*VLOOKUP('BMP P Tracking Table'!$R437,'Loading Rates'!$B$1:$L$24,10,FALSE)),"")</f>
        <v/>
      </c>
      <c r="AF437" s="104" t="str">
        <f>IFERROR(MIN(2,IF('BMP P Tracking Table'!$W437="Total Pervious",(-(3630*'BMP P Tracking Table'!$V437+20.691*'BMP P Tracking Table'!$AB437)+SQRT((3630*'BMP P Tracking Table'!$V437+20.691*'BMP P Tracking Table'!$AB437)^2-(4*(996.798*'BMP P Tracking Table'!$AB437)*-'BMP P Tracking Table'!$AC437)))/(2*(996.798*'BMP P Tracking Table'!$AB437)),IF(SUM('BMP P Tracking Table'!$X437:$AA437)=0,'BMP P Tracking Table'!$AC437/(-3630*'BMP P Tracking Table'!$V437),(-(3630*'BMP P Tracking Table'!$V437+20.691*'BMP P Tracking Table'!$AA437-216.711*'BMP P Tracking Table'!$Z437-83.853*'BMP P Tracking Table'!$Y437-42.834*'BMP P Tracking Table'!$X437)+SQRT((3630*'BMP P Tracking Table'!$V437+20.691*'BMP P Tracking Table'!$AA437-216.711*'BMP P Tracking Table'!$Z437-83.853*'BMP P Tracking Table'!$Y437-42.834*'BMP P Tracking Table'!$X437)^2-(4*(149.919*'BMP P Tracking Table'!$X437+236.676*'BMP P Tracking Table'!$Y437+726*'BMP P Tracking Table'!$Z437+996.798*'BMP P Tracking Table'!$AA437)*-'BMP P Tracking Table'!$AC437)))/(2*(149.919*'BMP P Tracking Table'!$X437+236.676*'BMP P Tracking Table'!$Y437+726*'BMP P Tracking Table'!$Z437+996.798*'BMP P Tracking Table'!$AA437))))),"")</f>
        <v/>
      </c>
      <c r="AG437" s="104" t="str">
        <f>IFERROR((VLOOKUP(CONCATENATE('BMP P Tracking Table'!$U437," ",'BMP P Tracking Table'!$AD437),'Performance Curves'!$C$1:$L$46,_xlfn.SINGLE(MATCH('BMP P Tracking Table'!$AF437,'Performance Curves'!$D$1:$L$1,1))+2,FALSE)-VLOOKUP(CONCATENATE('BMP P Tracking Table'!$U437," ",'BMP P Tracking Table'!$AD437),'Performance Curves'!$C$1:$L$46,_xlfn.SINGLE(MATCH('BMP P Tracking Table'!$AF437,'Performance Curves'!$D$1:$L$1,1))+1,FALSE)),"")</f>
        <v/>
      </c>
      <c r="AH437" s="104" t="str">
        <f>IFERROR(('BMP P Tracking Table'!$AF437-INDEX('Performance Curves'!$D$1:$L$1,1,MATCH('BMP P Tracking Table'!$AF437,'Performance Curves'!$D$1:$L$1,1)))/(INDEX('Performance Curves'!$D$1:$L$1,1,MATCH('BMP P Tracking Table'!$AF437,'Performance Curves'!$D$1:$L$1,1)+1)-INDEX('Performance Curves'!$D$1:$L$1,1,MATCH('BMP P Tracking Table'!$AF437,'Performance Curves'!$D$1:$L$1,1))),"")</f>
        <v/>
      </c>
      <c r="AI437" s="103" t="str">
        <f>IFERROR(IF('BMP P Tracking Table'!$AF437=2,VLOOKUP(CONCATENATE('BMP P Tracking Table'!$U437," ",'BMP P Tracking Table'!$AD437),'Performance Curves'!$C$1:$L$46,_xlfn.SINGLE(MATCH('BMP P Tracking Table'!$AF437,'Performance Curves'!$D$1:$L$1,1))+1,FALSE),'BMP P Tracking Table'!$AG437*'BMP P Tracking Table'!$AH437+VLOOKUP(CONCATENATE('BMP P Tracking Table'!$U437," ",'BMP P Tracking Table'!$AD437),'Performance Curves'!$C$1:$L$46,_xlfn.SINGLE(MATCH('BMP P Tracking Table'!$AF437,'Performance Curves'!$D$1:$L$1,1))+1,FALSE)),"")</f>
        <v/>
      </c>
      <c r="AJ437" s="104" t="str">
        <f>IFERROR('BMP P Tracking Table'!$AI437*'BMP P Tracking Table'!$AE437,"")</f>
        <v/>
      </c>
      <c r="AK437" s="65"/>
      <c r="AL437" s="98"/>
      <c r="AM437" s="98"/>
      <c r="AN437" s="64">
        <v>1</v>
      </c>
      <c r="AO437" s="102" t="str">
        <f t="shared" si="41"/>
        <v/>
      </c>
      <c r="AP437" s="98"/>
      <c r="AQ437" s="98"/>
      <c r="AR437" s="98"/>
      <c r="AS437" s="98"/>
      <c r="AT437" s="98"/>
      <c r="AU437" s="98"/>
      <c r="AV437" s="98"/>
      <c r="AW437" s="65"/>
      <c r="AX437" s="99"/>
      <c r="AY437" s="99"/>
      <c r="AZ437" s="104" t="str">
        <f>IF('BMP P Tracking Table'!$AL437="Yes",IF('BMP P Tracking Table'!$AM437="No",'BMP P Tracking Table'!$V437*VLOOKUP('BMP P Tracking Table'!$R437,'Loading Rates'!$B$1:$L$24,4,FALSE)+IF('BMP P Tracking Table'!$W437="By HSG",'BMP P Tracking Table'!$X437*VLOOKUP('BMP P Tracking Table'!$R437,'Loading Rates'!$B$1:$L$24,6,FALSE)+'BMP P Tracking Table'!$Y437*VLOOKUP('BMP P Tracking Table'!$R437,'Loading Rates'!$B$1:$L$24,7,FALSE)+'BMP P Tracking Table'!$Z437*VLOOKUP('BMP P Tracking Table'!$R437,'Loading Rates'!$B$1:$L$24,8,FALSE)+'BMP P Tracking Table'!$AA437*VLOOKUP('BMP P Tracking Table'!$R437,'Loading Rates'!$B$1:$L$24,9,FALSE),'BMP P Tracking Table'!$AB437*VLOOKUP('BMP P Tracking Table'!$R437,'Loading Rates'!$B$1:$L$24,10,FALSE)),'BMP P Tracking Table'!$AP437*VLOOKUP('BMP P Tracking Table'!$R437,'Loading Rates'!$B$1:$L$24,4,FALSE)+IF('BMP P Tracking Table'!$AQ437="By HSG",'BMP P Tracking Table'!$AR437*VLOOKUP('BMP P Tracking Table'!$R437,'Loading Rates'!$B$1:$L$24,6,FALSE)+'BMP P Tracking Table'!$AS437*VLOOKUP('BMP P Tracking Table'!$R437,'Loading Rates'!$B$1:$L$24,7,FALSE)+'BMP P Tracking Table'!$AT437*VLOOKUP('BMP P Tracking Table'!$R437,'Loading Rates'!$B$1:$L$24,8,FALSE)+'BMP P Tracking Table'!$AU437*VLOOKUP('BMP P Tracking Table'!$R437,'Loading Rates'!$B$1:$L$24,9,FALSE),'BMP P Tracking Table'!$AV437*VLOOKUP('BMP P Tracking Table'!$R437,'Loading Rates'!$B$1:$L$24,10,FALSE))),"")</f>
        <v/>
      </c>
      <c r="BA437" s="104" t="str">
        <f>IFERROR(IF('BMP P Tracking Table'!$AM437="Yes",MIN(2,IF('BMP P Tracking Table'!$AQ437="Total Pervious",(-(3630*'BMP P Tracking Table'!$AP437+20.691*'BMP P Tracking Table'!$AV437)+SQRT((3630*'BMP P Tracking Table'!$AP437+20.691*'BMP P Tracking Table'!$AV437)^2-(4*(996.798*'BMP P Tracking Table'!$AV437)*-'BMP P Tracking Table'!$AX437)))/(2*(996.798*'BMP P Tracking Table'!$AV437)),IF(SUM('BMP P Tracking Table'!$AR437:$AU437)=0,'BMP P Tracking Table'!$AV437/(-3630*'BMP P Tracking Table'!$AP437),(-(3630*'BMP P Tracking Table'!$AP437+20.691*'BMP P Tracking Table'!$AU437-216.711*'BMP P Tracking Table'!$AT437-83.853*'BMP P Tracking Table'!$AS437-42.834*'BMP P Tracking Table'!$AR437)+SQRT((3630*'BMP P Tracking Table'!$AP437+20.691*'BMP P Tracking Table'!$AU437-216.711*'BMP P Tracking Table'!$AT437-83.853*'BMP P Tracking Table'!$AS437-42.834*'BMP P Tracking Table'!$AR437)^2-(4*(149.919*'BMP P Tracking Table'!$AR437+236.676*'BMP P Tracking Table'!$AS437+726*'BMP P Tracking Table'!$AT437+996.798*'BMP P Tracking Table'!$AU437)*-'BMP P Tracking Table'!$AX437)))/(2*(149.919*'BMP P Tracking Table'!$AR437+236.676*'BMP P Tracking Table'!$AS437+726*'BMP P Tracking Table'!$AT437+996.798*'BMP P Tracking Table'!$AU437))))),MIN(2,IF('BMP P Tracking Table'!$AQ437="Total Pervious",(-(3630*'BMP P Tracking Table'!$V437+20.691*'BMP P Tracking Table'!$AB437)+SQRT((3630*'BMP P Tracking Table'!$V437+20.691*'BMP P Tracking Table'!$AB437)^2-(4*(996.798*'BMP P Tracking Table'!$AB437)*-'BMP P Tracking Table'!$AX437)))/(2*(996.798*'BMP P Tracking Table'!$AB437)),IF(SUM('BMP P Tracking Table'!$X437:$AA437)=0,'BMP P Tracking Table'!$AX437/(-3630*'BMP P Tracking Table'!$V437),(-(3630*'BMP P Tracking Table'!$V437+20.691*'BMP P Tracking Table'!$AA437-216.711*'BMP P Tracking Table'!$Z437-83.853*'BMP P Tracking Table'!$Y437-42.834*'BMP P Tracking Table'!$X437)+SQRT((3630*'BMP P Tracking Table'!$V437+20.691*'BMP P Tracking Table'!$AA437-216.711*'BMP P Tracking Table'!$Z437-83.853*'BMP P Tracking Table'!$Y437-42.834*'BMP P Tracking Table'!$X437)^2-(4*(149.919*'BMP P Tracking Table'!$X437+236.676*'BMP P Tracking Table'!$Y437+726*'BMP P Tracking Table'!$Z437+996.798*'BMP P Tracking Table'!$AA437)*-'BMP P Tracking Table'!$AX437)))/(2*(149.919*'BMP P Tracking Table'!$X437+236.676*'BMP P Tracking Table'!$Y437+726*'BMP P Tracking Table'!$Z437+996.798*'BMP P Tracking Table'!$AA437)))))),"")</f>
        <v/>
      </c>
      <c r="BB437" s="102" t="str">
        <f>IFERROR((VLOOKUP(CONCATENATE('BMP P Tracking Table'!$AW437," ",'BMP P Tracking Table'!$AY437),'Performance Curves'!$C$1:$L$46,_xlfn.SINGLE(MATCH('BMP P Tracking Table'!$BA437,'Performance Curves'!$D$1:$L$1,1))+2,FALSE)-VLOOKUP(CONCATENATE('BMP P Tracking Table'!$AW437," ",'BMP P Tracking Table'!$AY437),'Performance Curves'!$C$1:$L$46,_xlfn.SINGLE(MATCH('BMP P Tracking Table'!$BA437,'Performance Curves'!$D$1:$L$1,1))+1,FALSE)),"")</f>
        <v/>
      </c>
      <c r="BC437" s="102" t="str">
        <f>IFERROR(('BMP P Tracking Table'!$BA437-INDEX('Performance Curves'!$D$1:$L$1,1,MATCH('BMP P Tracking Table'!$BA437,'Performance Curves'!$D$1:$L$1,1)))/(INDEX('Performance Curves'!$D$1:$L$1,1,MATCH('BMP P Tracking Table'!$BA437,'Performance Curves'!$D$1:$L$1,1)+1)-INDEX('Performance Curves'!$D$1:$L$1,1,MATCH('BMP P Tracking Table'!$BA437,'Performance Curves'!$D$1:$L$1,1))),"")</f>
        <v/>
      </c>
      <c r="BD437" s="103" t="str" cm="1">
        <f t="array" ref="BD437">IFERROR(IF('BMP P Tracking Table'!$BA437=2,VLOOKUP(CONCATENATE('BMP P Tracking Table'!$AW437," ",'BMP P Tracking Table'!$AY437),'Performance Curves'!$C$1:$L$44,_xlfn.SINGLE(MATCH('BMP P Tracking Table'!$BA437,'Performance Curves'!$D$1:$L$1,1))+1,FALSE),'BMP P Tracking Table'!$BB437*'BMP P Tracking Table'!$BC437+VLOOKUP(CONCATENATE('BMP P Tracking Table'!$AW437," ",'BMP P Tracking Table'!$AY437),'Performance Curves'!$C$1:$L$44,_xlfn.SINGLE(MATCH('BMP P Tracking Table'!$BA437,'Performance Curves'!$D$1:$L$1,1))+1,FALSE)),"")</f>
        <v/>
      </c>
      <c r="BE437" s="104" t="str">
        <f>IFERROR('BMP P Tracking Table'!$BD437*'BMP P Tracking Table'!$AZ437,"")</f>
        <v/>
      </c>
      <c r="BF437" s="98"/>
      <c r="BG437" s="37">
        <f t="shared" si="42"/>
        <v>0</v>
      </c>
    </row>
    <row r="438" spans="2:59" s="36" customFormat="1">
      <c r="B438" s="65"/>
      <c r="C438" s="65"/>
      <c r="D438" s="65"/>
      <c r="E438" s="65"/>
      <c r="F438" s="94"/>
      <c r="G438" s="94"/>
      <c r="H438" s="65"/>
      <c r="I438" s="65"/>
      <c r="J438" s="65"/>
      <c r="K438" s="95"/>
      <c r="L438" s="65"/>
      <c r="M438" s="65"/>
      <c r="N438" s="65"/>
      <c r="O438" s="65"/>
      <c r="P438" s="65"/>
      <c r="Q438" s="65"/>
      <c r="R438" s="65" t="str">
        <f>IFERROR(VLOOKUP('BMP P Tracking Table'!$Q438,Dropdowns!$C$2:$E$15,3,FALSE),"")</f>
        <v/>
      </c>
      <c r="S438" s="65" t="str">
        <f>IFERROR(VLOOKUP('BMP P Tracking Table'!$R438,Dropdowns!$Q$3:$R$23,2,FALSE),"")</f>
        <v/>
      </c>
      <c r="T438" s="65"/>
      <c r="U438" s="65"/>
      <c r="V438" s="65"/>
      <c r="W438" s="65"/>
      <c r="X438" s="65"/>
      <c r="Y438" s="65"/>
      <c r="Z438" s="65"/>
      <c r="AA438" s="65"/>
      <c r="AB438" s="65"/>
      <c r="AC438" s="97"/>
      <c r="AD438" s="65"/>
      <c r="AE438" s="104" t="str">
        <f>IFERROR('BMP P Tracking Table'!$V438*VLOOKUP('BMP P Tracking Table'!$R438,'Loading Rates'!$B$1:$L$24,4,FALSE)+IF('BMP P Tracking Table'!$W438="By HSG",'BMP P Tracking Table'!$X438*VLOOKUP('BMP P Tracking Table'!$R438,'Loading Rates'!$B$1:$L$24,6,FALSE)+'BMP P Tracking Table'!$Y438*VLOOKUP('BMP P Tracking Table'!$R438,'Loading Rates'!$B$1:$L$24,7,FALSE)+'BMP P Tracking Table'!$Z438*VLOOKUP('BMP P Tracking Table'!$R438,'Loading Rates'!$B$1:$L$24,8,FALSE)+'BMP P Tracking Table'!$AA438*VLOOKUP('BMP P Tracking Table'!$R438,'Loading Rates'!$B$1:$L$24,9,FALSE),'BMP P Tracking Table'!$AB438*VLOOKUP('BMP P Tracking Table'!$R438,'Loading Rates'!$B$1:$L$24,10,FALSE)),"")</f>
        <v/>
      </c>
      <c r="AF438" s="104" t="str">
        <f>IFERROR(MIN(2,IF('BMP P Tracking Table'!$W438="Total Pervious",(-(3630*'BMP P Tracking Table'!$V438+20.691*'BMP P Tracking Table'!$AB438)+SQRT((3630*'BMP P Tracking Table'!$V438+20.691*'BMP P Tracking Table'!$AB438)^2-(4*(996.798*'BMP P Tracking Table'!$AB438)*-'BMP P Tracking Table'!$AC438)))/(2*(996.798*'BMP P Tracking Table'!$AB438)),IF(SUM('BMP P Tracking Table'!$X438:$AA438)=0,'BMP P Tracking Table'!$AC438/(-3630*'BMP P Tracking Table'!$V438),(-(3630*'BMP P Tracking Table'!$V438+20.691*'BMP P Tracking Table'!$AA438-216.711*'BMP P Tracking Table'!$Z438-83.853*'BMP P Tracking Table'!$Y438-42.834*'BMP P Tracking Table'!$X438)+SQRT((3630*'BMP P Tracking Table'!$V438+20.691*'BMP P Tracking Table'!$AA438-216.711*'BMP P Tracking Table'!$Z438-83.853*'BMP P Tracking Table'!$Y438-42.834*'BMP P Tracking Table'!$X438)^2-(4*(149.919*'BMP P Tracking Table'!$X438+236.676*'BMP P Tracking Table'!$Y438+726*'BMP P Tracking Table'!$Z438+996.798*'BMP P Tracking Table'!$AA438)*-'BMP P Tracking Table'!$AC438)))/(2*(149.919*'BMP P Tracking Table'!$X438+236.676*'BMP P Tracking Table'!$Y438+726*'BMP P Tracking Table'!$Z438+996.798*'BMP P Tracking Table'!$AA438))))),"")</f>
        <v/>
      </c>
      <c r="AG438" s="104" t="str">
        <f>IFERROR((VLOOKUP(CONCATENATE('BMP P Tracking Table'!$U438," ",'BMP P Tracking Table'!$AD438),'Performance Curves'!$C$1:$L$46,_xlfn.SINGLE(MATCH('BMP P Tracking Table'!$AF438,'Performance Curves'!$D$1:$L$1,1))+2,FALSE)-VLOOKUP(CONCATENATE('BMP P Tracking Table'!$U438," ",'BMP P Tracking Table'!$AD438),'Performance Curves'!$C$1:$L$46,_xlfn.SINGLE(MATCH('BMP P Tracking Table'!$AF438,'Performance Curves'!$D$1:$L$1,1))+1,FALSE)),"")</f>
        <v/>
      </c>
      <c r="AH438" s="104" t="str">
        <f>IFERROR(('BMP P Tracking Table'!$AF438-INDEX('Performance Curves'!$D$1:$L$1,1,MATCH('BMP P Tracking Table'!$AF438,'Performance Curves'!$D$1:$L$1,1)))/(INDEX('Performance Curves'!$D$1:$L$1,1,MATCH('BMP P Tracking Table'!$AF438,'Performance Curves'!$D$1:$L$1,1)+1)-INDEX('Performance Curves'!$D$1:$L$1,1,MATCH('BMP P Tracking Table'!$AF438,'Performance Curves'!$D$1:$L$1,1))),"")</f>
        <v/>
      </c>
      <c r="AI438" s="103" t="str">
        <f>IFERROR(IF('BMP P Tracking Table'!$AF438=2,VLOOKUP(CONCATENATE('BMP P Tracking Table'!$U438," ",'BMP P Tracking Table'!$AD438),'Performance Curves'!$C$1:$L$46,_xlfn.SINGLE(MATCH('BMP P Tracking Table'!$AF438,'Performance Curves'!$D$1:$L$1,1))+1,FALSE),'BMP P Tracking Table'!$AG438*'BMP P Tracking Table'!$AH438+VLOOKUP(CONCATENATE('BMP P Tracking Table'!$U438," ",'BMP P Tracking Table'!$AD438),'Performance Curves'!$C$1:$L$46,_xlfn.SINGLE(MATCH('BMP P Tracking Table'!$AF438,'Performance Curves'!$D$1:$L$1,1))+1,FALSE)),"")</f>
        <v/>
      </c>
      <c r="AJ438" s="104" t="str">
        <f>IFERROR('BMP P Tracking Table'!$AI438*'BMP P Tracking Table'!$AE438,"")</f>
        <v/>
      </c>
      <c r="AK438" s="65"/>
      <c r="AL438" s="98"/>
      <c r="AM438" s="98"/>
      <c r="AN438" s="64">
        <v>1</v>
      </c>
      <c r="AO438" s="102" t="str">
        <f t="shared" si="41"/>
        <v/>
      </c>
      <c r="AP438" s="98"/>
      <c r="AQ438" s="98"/>
      <c r="AR438" s="98"/>
      <c r="AS438" s="98"/>
      <c r="AT438" s="98"/>
      <c r="AU438" s="98"/>
      <c r="AV438" s="98"/>
      <c r="AW438" s="65"/>
      <c r="AX438" s="99"/>
      <c r="AY438" s="99"/>
      <c r="AZ438" s="104" t="str">
        <f>IF('BMP P Tracking Table'!$AL438="Yes",IF('BMP P Tracking Table'!$AM438="No",'BMP P Tracking Table'!$V438*VLOOKUP('BMP P Tracking Table'!$R438,'Loading Rates'!$B$1:$L$24,4,FALSE)+IF('BMP P Tracking Table'!$W438="By HSG",'BMP P Tracking Table'!$X438*VLOOKUP('BMP P Tracking Table'!$R438,'Loading Rates'!$B$1:$L$24,6,FALSE)+'BMP P Tracking Table'!$Y438*VLOOKUP('BMP P Tracking Table'!$R438,'Loading Rates'!$B$1:$L$24,7,FALSE)+'BMP P Tracking Table'!$Z438*VLOOKUP('BMP P Tracking Table'!$R438,'Loading Rates'!$B$1:$L$24,8,FALSE)+'BMP P Tracking Table'!$AA438*VLOOKUP('BMP P Tracking Table'!$R438,'Loading Rates'!$B$1:$L$24,9,FALSE),'BMP P Tracking Table'!$AB438*VLOOKUP('BMP P Tracking Table'!$R438,'Loading Rates'!$B$1:$L$24,10,FALSE)),'BMP P Tracking Table'!$AP438*VLOOKUP('BMP P Tracking Table'!$R438,'Loading Rates'!$B$1:$L$24,4,FALSE)+IF('BMP P Tracking Table'!$AQ438="By HSG",'BMP P Tracking Table'!$AR438*VLOOKUP('BMP P Tracking Table'!$R438,'Loading Rates'!$B$1:$L$24,6,FALSE)+'BMP P Tracking Table'!$AS438*VLOOKUP('BMP P Tracking Table'!$R438,'Loading Rates'!$B$1:$L$24,7,FALSE)+'BMP P Tracking Table'!$AT438*VLOOKUP('BMP P Tracking Table'!$R438,'Loading Rates'!$B$1:$L$24,8,FALSE)+'BMP P Tracking Table'!$AU438*VLOOKUP('BMP P Tracking Table'!$R438,'Loading Rates'!$B$1:$L$24,9,FALSE),'BMP P Tracking Table'!$AV438*VLOOKUP('BMP P Tracking Table'!$R438,'Loading Rates'!$B$1:$L$24,10,FALSE))),"")</f>
        <v/>
      </c>
      <c r="BA438" s="104" t="str">
        <f>IFERROR(IF('BMP P Tracking Table'!$AM438="Yes",MIN(2,IF('BMP P Tracking Table'!$AQ438="Total Pervious",(-(3630*'BMP P Tracking Table'!$AP438+20.691*'BMP P Tracking Table'!$AV438)+SQRT((3630*'BMP P Tracking Table'!$AP438+20.691*'BMP P Tracking Table'!$AV438)^2-(4*(996.798*'BMP P Tracking Table'!$AV438)*-'BMP P Tracking Table'!$AX438)))/(2*(996.798*'BMP P Tracking Table'!$AV438)),IF(SUM('BMP P Tracking Table'!$AR438:$AU438)=0,'BMP P Tracking Table'!$AV438/(-3630*'BMP P Tracking Table'!$AP438),(-(3630*'BMP P Tracking Table'!$AP438+20.691*'BMP P Tracking Table'!$AU438-216.711*'BMP P Tracking Table'!$AT438-83.853*'BMP P Tracking Table'!$AS438-42.834*'BMP P Tracking Table'!$AR438)+SQRT((3630*'BMP P Tracking Table'!$AP438+20.691*'BMP P Tracking Table'!$AU438-216.711*'BMP P Tracking Table'!$AT438-83.853*'BMP P Tracking Table'!$AS438-42.834*'BMP P Tracking Table'!$AR438)^2-(4*(149.919*'BMP P Tracking Table'!$AR438+236.676*'BMP P Tracking Table'!$AS438+726*'BMP P Tracking Table'!$AT438+996.798*'BMP P Tracking Table'!$AU438)*-'BMP P Tracking Table'!$AX438)))/(2*(149.919*'BMP P Tracking Table'!$AR438+236.676*'BMP P Tracking Table'!$AS438+726*'BMP P Tracking Table'!$AT438+996.798*'BMP P Tracking Table'!$AU438))))),MIN(2,IF('BMP P Tracking Table'!$AQ438="Total Pervious",(-(3630*'BMP P Tracking Table'!$V438+20.691*'BMP P Tracking Table'!$AB438)+SQRT((3630*'BMP P Tracking Table'!$V438+20.691*'BMP P Tracking Table'!$AB438)^2-(4*(996.798*'BMP P Tracking Table'!$AB438)*-'BMP P Tracking Table'!$AX438)))/(2*(996.798*'BMP P Tracking Table'!$AB438)),IF(SUM('BMP P Tracking Table'!$X438:$AA438)=0,'BMP P Tracking Table'!$AX438/(-3630*'BMP P Tracking Table'!$V438),(-(3630*'BMP P Tracking Table'!$V438+20.691*'BMP P Tracking Table'!$AA438-216.711*'BMP P Tracking Table'!$Z438-83.853*'BMP P Tracking Table'!$Y438-42.834*'BMP P Tracking Table'!$X438)+SQRT((3630*'BMP P Tracking Table'!$V438+20.691*'BMP P Tracking Table'!$AA438-216.711*'BMP P Tracking Table'!$Z438-83.853*'BMP P Tracking Table'!$Y438-42.834*'BMP P Tracking Table'!$X438)^2-(4*(149.919*'BMP P Tracking Table'!$X438+236.676*'BMP P Tracking Table'!$Y438+726*'BMP P Tracking Table'!$Z438+996.798*'BMP P Tracking Table'!$AA438)*-'BMP P Tracking Table'!$AX438)))/(2*(149.919*'BMP P Tracking Table'!$X438+236.676*'BMP P Tracking Table'!$Y438+726*'BMP P Tracking Table'!$Z438+996.798*'BMP P Tracking Table'!$AA438)))))),"")</f>
        <v/>
      </c>
      <c r="BB438" s="102" t="str">
        <f>IFERROR((VLOOKUP(CONCATENATE('BMP P Tracking Table'!$AW438," ",'BMP P Tracking Table'!$AY438),'Performance Curves'!$C$1:$L$46,_xlfn.SINGLE(MATCH('BMP P Tracking Table'!$BA438,'Performance Curves'!$D$1:$L$1,1))+2,FALSE)-VLOOKUP(CONCATENATE('BMP P Tracking Table'!$AW438," ",'BMP P Tracking Table'!$AY438),'Performance Curves'!$C$1:$L$46,_xlfn.SINGLE(MATCH('BMP P Tracking Table'!$BA438,'Performance Curves'!$D$1:$L$1,1))+1,FALSE)),"")</f>
        <v/>
      </c>
      <c r="BC438" s="102" t="str">
        <f>IFERROR(('BMP P Tracking Table'!$BA438-INDEX('Performance Curves'!$D$1:$L$1,1,MATCH('BMP P Tracking Table'!$BA438,'Performance Curves'!$D$1:$L$1,1)))/(INDEX('Performance Curves'!$D$1:$L$1,1,MATCH('BMP P Tracking Table'!$BA438,'Performance Curves'!$D$1:$L$1,1)+1)-INDEX('Performance Curves'!$D$1:$L$1,1,MATCH('BMP P Tracking Table'!$BA438,'Performance Curves'!$D$1:$L$1,1))),"")</f>
        <v/>
      </c>
      <c r="BD438" s="103" t="str" cm="1">
        <f t="array" ref="BD438">IFERROR(IF('BMP P Tracking Table'!$BA438=2,VLOOKUP(CONCATENATE('BMP P Tracking Table'!$AW438," ",'BMP P Tracking Table'!$AY438),'Performance Curves'!$C$1:$L$44,_xlfn.SINGLE(MATCH('BMP P Tracking Table'!$BA438,'Performance Curves'!$D$1:$L$1,1))+1,FALSE),'BMP P Tracking Table'!$BB438*'BMP P Tracking Table'!$BC438+VLOOKUP(CONCATENATE('BMP P Tracking Table'!$AW438," ",'BMP P Tracking Table'!$AY438),'Performance Curves'!$C$1:$L$44,_xlfn.SINGLE(MATCH('BMP P Tracking Table'!$BA438,'Performance Curves'!$D$1:$L$1,1))+1,FALSE)),"")</f>
        <v/>
      </c>
      <c r="BE438" s="104" t="str">
        <f>IFERROR('BMP P Tracking Table'!$BD438*'BMP P Tracking Table'!$AZ438,"")</f>
        <v/>
      </c>
      <c r="BF438" s="98"/>
      <c r="BG438" s="37">
        <f t="shared" si="42"/>
        <v>0</v>
      </c>
    </row>
    <row r="439" spans="2:59" s="36" customFormat="1">
      <c r="B439" s="65"/>
      <c r="C439" s="65"/>
      <c r="D439" s="65"/>
      <c r="E439" s="65"/>
      <c r="F439" s="94"/>
      <c r="G439" s="94"/>
      <c r="H439" s="65"/>
      <c r="I439" s="65"/>
      <c r="J439" s="65"/>
      <c r="K439" s="95"/>
      <c r="L439" s="65"/>
      <c r="M439" s="65"/>
      <c r="N439" s="65"/>
      <c r="O439" s="65"/>
      <c r="P439" s="65"/>
      <c r="Q439" s="65"/>
      <c r="R439" s="65" t="str">
        <f>IFERROR(VLOOKUP('BMP P Tracking Table'!$Q439,Dropdowns!$C$2:$E$15,3,FALSE),"")</f>
        <v/>
      </c>
      <c r="S439" s="65" t="str">
        <f>IFERROR(VLOOKUP('BMP P Tracking Table'!$R439,Dropdowns!$Q$3:$R$23,2,FALSE),"")</f>
        <v/>
      </c>
      <c r="T439" s="65"/>
      <c r="U439" s="65"/>
      <c r="V439" s="65"/>
      <c r="W439" s="65"/>
      <c r="X439" s="65"/>
      <c r="Y439" s="65"/>
      <c r="Z439" s="65"/>
      <c r="AA439" s="65"/>
      <c r="AB439" s="65"/>
      <c r="AC439" s="97"/>
      <c r="AD439" s="65"/>
      <c r="AE439" s="104" t="str">
        <f>IFERROR('BMP P Tracking Table'!$V439*VLOOKUP('BMP P Tracking Table'!$R439,'Loading Rates'!$B$1:$L$24,4,FALSE)+IF('BMP P Tracking Table'!$W439="By HSG",'BMP P Tracking Table'!$X439*VLOOKUP('BMP P Tracking Table'!$R439,'Loading Rates'!$B$1:$L$24,6,FALSE)+'BMP P Tracking Table'!$Y439*VLOOKUP('BMP P Tracking Table'!$R439,'Loading Rates'!$B$1:$L$24,7,FALSE)+'BMP P Tracking Table'!$Z439*VLOOKUP('BMP P Tracking Table'!$R439,'Loading Rates'!$B$1:$L$24,8,FALSE)+'BMP P Tracking Table'!$AA439*VLOOKUP('BMP P Tracking Table'!$R439,'Loading Rates'!$B$1:$L$24,9,FALSE),'BMP P Tracking Table'!$AB439*VLOOKUP('BMP P Tracking Table'!$R439,'Loading Rates'!$B$1:$L$24,10,FALSE)),"")</f>
        <v/>
      </c>
      <c r="AF439" s="104" t="str">
        <f>IFERROR(MIN(2,IF('BMP P Tracking Table'!$W439="Total Pervious",(-(3630*'BMP P Tracking Table'!$V439+20.691*'BMP P Tracking Table'!$AB439)+SQRT((3630*'BMP P Tracking Table'!$V439+20.691*'BMP P Tracking Table'!$AB439)^2-(4*(996.798*'BMP P Tracking Table'!$AB439)*-'BMP P Tracking Table'!$AC439)))/(2*(996.798*'BMP P Tracking Table'!$AB439)),IF(SUM('BMP P Tracking Table'!$X439:$AA439)=0,'BMP P Tracking Table'!$AC439/(-3630*'BMP P Tracking Table'!$V439),(-(3630*'BMP P Tracking Table'!$V439+20.691*'BMP P Tracking Table'!$AA439-216.711*'BMP P Tracking Table'!$Z439-83.853*'BMP P Tracking Table'!$Y439-42.834*'BMP P Tracking Table'!$X439)+SQRT((3630*'BMP P Tracking Table'!$V439+20.691*'BMP P Tracking Table'!$AA439-216.711*'BMP P Tracking Table'!$Z439-83.853*'BMP P Tracking Table'!$Y439-42.834*'BMP P Tracking Table'!$X439)^2-(4*(149.919*'BMP P Tracking Table'!$X439+236.676*'BMP P Tracking Table'!$Y439+726*'BMP P Tracking Table'!$Z439+996.798*'BMP P Tracking Table'!$AA439)*-'BMP P Tracking Table'!$AC439)))/(2*(149.919*'BMP P Tracking Table'!$X439+236.676*'BMP P Tracking Table'!$Y439+726*'BMP P Tracking Table'!$Z439+996.798*'BMP P Tracking Table'!$AA439))))),"")</f>
        <v/>
      </c>
      <c r="AG439" s="104" t="str">
        <f>IFERROR((VLOOKUP(CONCATENATE('BMP P Tracking Table'!$U439," ",'BMP P Tracking Table'!$AD439),'Performance Curves'!$C$1:$L$46,_xlfn.SINGLE(MATCH('BMP P Tracking Table'!$AF439,'Performance Curves'!$D$1:$L$1,1))+2,FALSE)-VLOOKUP(CONCATENATE('BMP P Tracking Table'!$U439," ",'BMP P Tracking Table'!$AD439),'Performance Curves'!$C$1:$L$46,_xlfn.SINGLE(MATCH('BMP P Tracking Table'!$AF439,'Performance Curves'!$D$1:$L$1,1))+1,FALSE)),"")</f>
        <v/>
      </c>
      <c r="AH439" s="104" t="str">
        <f>IFERROR(('BMP P Tracking Table'!$AF439-INDEX('Performance Curves'!$D$1:$L$1,1,MATCH('BMP P Tracking Table'!$AF439,'Performance Curves'!$D$1:$L$1,1)))/(INDEX('Performance Curves'!$D$1:$L$1,1,MATCH('BMP P Tracking Table'!$AF439,'Performance Curves'!$D$1:$L$1,1)+1)-INDEX('Performance Curves'!$D$1:$L$1,1,MATCH('BMP P Tracking Table'!$AF439,'Performance Curves'!$D$1:$L$1,1))),"")</f>
        <v/>
      </c>
      <c r="AI439" s="103" t="str">
        <f>IFERROR(IF('BMP P Tracking Table'!$AF439=2,VLOOKUP(CONCATENATE('BMP P Tracking Table'!$U439," ",'BMP P Tracking Table'!$AD439),'Performance Curves'!$C$1:$L$46,_xlfn.SINGLE(MATCH('BMP P Tracking Table'!$AF439,'Performance Curves'!$D$1:$L$1,1))+1,FALSE),'BMP P Tracking Table'!$AG439*'BMP P Tracking Table'!$AH439+VLOOKUP(CONCATENATE('BMP P Tracking Table'!$U439," ",'BMP P Tracking Table'!$AD439),'Performance Curves'!$C$1:$L$46,_xlfn.SINGLE(MATCH('BMP P Tracking Table'!$AF439,'Performance Curves'!$D$1:$L$1,1))+1,FALSE)),"")</f>
        <v/>
      </c>
      <c r="AJ439" s="104" t="str">
        <f>IFERROR('BMP P Tracking Table'!$AI439*'BMP P Tracking Table'!$AE439,"")</f>
        <v/>
      </c>
      <c r="AK439" s="65"/>
      <c r="AL439" s="98"/>
      <c r="AM439" s="98"/>
      <c r="AN439" s="64">
        <v>1</v>
      </c>
      <c r="AO439" s="102" t="str">
        <f t="shared" si="41"/>
        <v/>
      </c>
      <c r="AP439" s="98"/>
      <c r="AQ439" s="98"/>
      <c r="AR439" s="98"/>
      <c r="AS439" s="98"/>
      <c r="AT439" s="98"/>
      <c r="AU439" s="98"/>
      <c r="AV439" s="98"/>
      <c r="AW439" s="65"/>
      <c r="AX439" s="99"/>
      <c r="AY439" s="99"/>
      <c r="AZ439" s="104" t="str">
        <f>IF('BMP P Tracking Table'!$AL439="Yes",IF('BMP P Tracking Table'!$AM439="No",'BMP P Tracking Table'!$V439*VLOOKUP('BMP P Tracking Table'!$R439,'Loading Rates'!$B$1:$L$24,4,FALSE)+IF('BMP P Tracking Table'!$W439="By HSG",'BMP P Tracking Table'!$X439*VLOOKUP('BMP P Tracking Table'!$R439,'Loading Rates'!$B$1:$L$24,6,FALSE)+'BMP P Tracking Table'!$Y439*VLOOKUP('BMP P Tracking Table'!$R439,'Loading Rates'!$B$1:$L$24,7,FALSE)+'BMP P Tracking Table'!$Z439*VLOOKUP('BMP P Tracking Table'!$R439,'Loading Rates'!$B$1:$L$24,8,FALSE)+'BMP P Tracking Table'!$AA439*VLOOKUP('BMP P Tracking Table'!$R439,'Loading Rates'!$B$1:$L$24,9,FALSE),'BMP P Tracking Table'!$AB439*VLOOKUP('BMP P Tracking Table'!$R439,'Loading Rates'!$B$1:$L$24,10,FALSE)),'BMP P Tracking Table'!$AP439*VLOOKUP('BMP P Tracking Table'!$R439,'Loading Rates'!$B$1:$L$24,4,FALSE)+IF('BMP P Tracking Table'!$AQ439="By HSG",'BMP P Tracking Table'!$AR439*VLOOKUP('BMP P Tracking Table'!$R439,'Loading Rates'!$B$1:$L$24,6,FALSE)+'BMP P Tracking Table'!$AS439*VLOOKUP('BMP P Tracking Table'!$R439,'Loading Rates'!$B$1:$L$24,7,FALSE)+'BMP P Tracking Table'!$AT439*VLOOKUP('BMP P Tracking Table'!$R439,'Loading Rates'!$B$1:$L$24,8,FALSE)+'BMP P Tracking Table'!$AU439*VLOOKUP('BMP P Tracking Table'!$R439,'Loading Rates'!$B$1:$L$24,9,FALSE),'BMP P Tracking Table'!$AV439*VLOOKUP('BMP P Tracking Table'!$R439,'Loading Rates'!$B$1:$L$24,10,FALSE))),"")</f>
        <v/>
      </c>
      <c r="BA439" s="104" t="str">
        <f>IFERROR(IF('BMP P Tracking Table'!$AM439="Yes",MIN(2,IF('BMP P Tracking Table'!$AQ439="Total Pervious",(-(3630*'BMP P Tracking Table'!$AP439+20.691*'BMP P Tracking Table'!$AV439)+SQRT((3630*'BMP P Tracking Table'!$AP439+20.691*'BMP P Tracking Table'!$AV439)^2-(4*(996.798*'BMP P Tracking Table'!$AV439)*-'BMP P Tracking Table'!$AX439)))/(2*(996.798*'BMP P Tracking Table'!$AV439)),IF(SUM('BMP P Tracking Table'!$AR439:$AU439)=0,'BMP P Tracking Table'!$AV439/(-3630*'BMP P Tracking Table'!$AP439),(-(3630*'BMP P Tracking Table'!$AP439+20.691*'BMP P Tracking Table'!$AU439-216.711*'BMP P Tracking Table'!$AT439-83.853*'BMP P Tracking Table'!$AS439-42.834*'BMP P Tracking Table'!$AR439)+SQRT((3630*'BMP P Tracking Table'!$AP439+20.691*'BMP P Tracking Table'!$AU439-216.711*'BMP P Tracking Table'!$AT439-83.853*'BMP P Tracking Table'!$AS439-42.834*'BMP P Tracking Table'!$AR439)^2-(4*(149.919*'BMP P Tracking Table'!$AR439+236.676*'BMP P Tracking Table'!$AS439+726*'BMP P Tracking Table'!$AT439+996.798*'BMP P Tracking Table'!$AU439)*-'BMP P Tracking Table'!$AX439)))/(2*(149.919*'BMP P Tracking Table'!$AR439+236.676*'BMP P Tracking Table'!$AS439+726*'BMP P Tracking Table'!$AT439+996.798*'BMP P Tracking Table'!$AU439))))),MIN(2,IF('BMP P Tracking Table'!$AQ439="Total Pervious",(-(3630*'BMP P Tracking Table'!$V439+20.691*'BMP P Tracking Table'!$AB439)+SQRT((3630*'BMP P Tracking Table'!$V439+20.691*'BMP P Tracking Table'!$AB439)^2-(4*(996.798*'BMP P Tracking Table'!$AB439)*-'BMP P Tracking Table'!$AX439)))/(2*(996.798*'BMP P Tracking Table'!$AB439)),IF(SUM('BMP P Tracking Table'!$X439:$AA439)=0,'BMP P Tracking Table'!$AX439/(-3630*'BMP P Tracking Table'!$V439),(-(3630*'BMP P Tracking Table'!$V439+20.691*'BMP P Tracking Table'!$AA439-216.711*'BMP P Tracking Table'!$Z439-83.853*'BMP P Tracking Table'!$Y439-42.834*'BMP P Tracking Table'!$X439)+SQRT((3630*'BMP P Tracking Table'!$V439+20.691*'BMP P Tracking Table'!$AA439-216.711*'BMP P Tracking Table'!$Z439-83.853*'BMP P Tracking Table'!$Y439-42.834*'BMP P Tracking Table'!$X439)^2-(4*(149.919*'BMP P Tracking Table'!$X439+236.676*'BMP P Tracking Table'!$Y439+726*'BMP P Tracking Table'!$Z439+996.798*'BMP P Tracking Table'!$AA439)*-'BMP P Tracking Table'!$AX439)))/(2*(149.919*'BMP P Tracking Table'!$X439+236.676*'BMP P Tracking Table'!$Y439+726*'BMP P Tracking Table'!$Z439+996.798*'BMP P Tracking Table'!$AA439)))))),"")</f>
        <v/>
      </c>
      <c r="BB439" s="102" t="str">
        <f>IFERROR((VLOOKUP(CONCATENATE('BMP P Tracking Table'!$AW439," ",'BMP P Tracking Table'!$AY439),'Performance Curves'!$C$1:$L$46,_xlfn.SINGLE(MATCH('BMP P Tracking Table'!$BA439,'Performance Curves'!$D$1:$L$1,1))+2,FALSE)-VLOOKUP(CONCATENATE('BMP P Tracking Table'!$AW439," ",'BMP P Tracking Table'!$AY439),'Performance Curves'!$C$1:$L$46,_xlfn.SINGLE(MATCH('BMP P Tracking Table'!$BA439,'Performance Curves'!$D$1:$L$1,1))+1,FALSE)),"")</f>
        <v/>
      </c>
      <c r="BC439" s="102" t="str">
        <f>IFERROR(('BMP P Tracking Table'!$BA439-INDEX('Performance Curves'!$D$1:$L$1,1,MATCH('BMP P Tracking Table'!$BA439,'Performance Curves'!$D$1:$L$1,1)))/(INDEX('Performance Curves'!$D$1:$L$1,1,MATCH('BMP P Tracking Table'!$BA439,'Performance Curves'!$D$1:$L$1,1)+1)-INDEX('Performance Curves'!$D$1:$L$1,1,MATCH('BMP P Tracking Table'!$BA439,'Performance Curves'!$D$1:$L$1,1))),"")</f>
        <v/>
      </c>
      <c r="BD439" s="103" t="str" cm="1">
        <f t="array" ref="BD439">IFERROR(IF('BMP P Tracking Table'!$BA439=2,VLOOKUP(CONCATENATE('BMP P Tracking Table'!$AW439," ",'BMP P Tracking Table'!$AY439),'Performance Curves'!$C$1:$L$44,_xlfn.SINGLE(MATCH('BMP P Tracking Table'!$BA439,'Performance Curves'!$D$1:$L$1,1))+1,FALSE),'BMP P Tracking Table'!$BB439*'BMP P Tracking Table'!$BC439+VLOOKUP(CONCATENATE('BMP P Tracking Table'!$AW439," ",'BMP P Tracking Table'!$AY439),'Performance Curves'!$C$1:$L$44,_xlfn.SINGLE(MATCH('BMP P Tracking Table'!$BA439,'Performance Curves'!$D$1:$L$1,1))+1,FALSE)),"")</f>
        <v/>
      </c>
      <c r="BE439" s="104" t="str">
        <f>IFERROR('BMP P Tracking Table'!$BD439*'BMP P Tracking Table'!$AZ439,"")</f>
        <v/>
      </c>
      <c r="BF439" s="98"/>
      <c r="BG439" s="37">
        <f t="shared" si="42"/>
        <v>0</v>
      </c>
    </row>
    <row r="440" spans="2:59" s="36" customFormat="1">
      <c r="B440" s="65"/>
      <c r="C440" s="65"/>
      <c r="D440" s="65"/>
      <c r="E440" s="65"/>
      <c r="F440" s="94"/>
      <c r="G440" s="94"/>
      <c r="H440" s="65"/>
      <c r="I440" s="65"/>
      <c r="J440" s="65"/>
      <c r="K440" s="95"/>
      <c r="L440" s="65"/>
      <c r="M440" s="65"/>
      <c r="N440" s="65"/>
      <c r="O440" s="65"/>
      <c r="P440" s="65"/>
      <c r="Q440" s="65"/>
      <c r="R440" s="65" t="str">
        <f>IFERROR(VLOOKUP('BMP P Tracking Table'!$Q440,Dropdowns!$C$2:$E$15,3,FALSE),"")</f>
        <v/>
      </c>
      <c r="S440" s="65" t="str">
        <f>IFERROR(VLOOKUP('BMP P Tracking Table'!$R440,Dropdowns!$Q$3:$R$23,2,FALSE),"")</f>
        <v/>
      </c>
      <c r="T440" s="65"/>
      <c r="U440" s="65"/>
      <c r="V440" s="65"/>
      <c r="W440" s="65"/>
      <c r="X440" s="65"/>
      <c r="Y440" s="65"/>
      <c r="Z440" s="65"/>
      <c r="AA440" s="65"/>
      <c r="AB440" s="65"/>
      <c r="AC440" s="97"/>
      <c r="AD440" s="65"/>
      <c r="AE440" s="104" t="str">
        <f>IFERROR('BMP P Tracking Table'!$V440*VLOOKUP('BMP P Tracking Table'!$R440,'Loading Rates'!$B$1:$L$24,4,FALSE)+IF('BMP P Tracking Table'!$W440="By HSG",'BMP P Tracking Table'!$X440*VLOOKUP('BMP P Tracking Table'!$R440,'Loading Rates'!$B$1:$L$24,6,FALSE)+'BMP P Tracking Table'!$Y440*VLOOKUP('BMP P Tracking Table'!$R440,'Loading Rates'!$B$1:$L$24,7,FALSE)+'BMP P Tracking Table'!$Z440*VLOOKUP('BMP P Tracking Table'!$R440,'Loading Rates'!$B$1:$L$24,8,FALSE)+'BMP P Tracking Table'!$AA440*VLOOKUP('BMP P Tracking Table'!$R440,'Loading Rates'!$B$1:$L$24,9,FALSE),'BMP P Tracking Table'!$AB440*VLOOKUP('BMP P Tracking Table'!$R440,'Loading Rates'!$B$1:$L$24,10,FALSE)),"")</f>
        <v/>
      </c>
      <c r="AF440" s="104" t="str">
        <f>IFERROR(MIN(2,IF('BMP P Tracking Table'!$W440="Total Pervious",(-(3630*'BMP P Tracking Table'!$V440+20.691*'BMP P Tracking Table'!$AB440)+SQRT((3630*'BMP P Tracking Table'!$V440+20.691*'BMP P Tracking Table'!$AB440)^2-(4*(996.798*'BMP P Tracking Table'!$AB440)*-'BMP P Tracking Table'!$AC440)))/(2*(996.798*'BMP P Tracking Table'!$AB440)),IF(SUM('BMP P Tracking Table'!$X440:$AA440)=0,'BMP P Tracking Table'!$AC440/(-3630*'BMP P Tracking Table'!$V440),(-(3630*'BMP P Tracking Table'!$V440+20.691*'BMP P Tracking Table'!$AA440-216.711*'BMP P Tracking Table'!$Z440-83.853*'BMP P Tracking Table'!$Y440-42.834*'BMP P Tracking Table'!$X440)+SQRT((3630*'BMP P Tracking Table'!$V440+20.691*'BMP P Tracking Table'!$AA440-216.711*'BMP P Tracking Table'!$Z440-83.853*'BMP P Tracking Table'!$Y440-42.834*'BMP P Tracking Table'!$X440)^2-(4*(149.919*'BMP P Tracking Table'!$X440+236.676*'BMP P Tracking Table'!$Y440+726*'BMP P Tracking Table'!$Z440+996.798*'BMP P Tracking Table'!$AA440)*-'BMP P Tracking Table'!$AC440)))/(2*(149.919*'BMP P Tracking Table'!$X440+236.676*'BMP P Tracking Table'!$Y440+726*'BMP P Tracking Table'!$Z440+996.798*'BMP P Tracking Table'!$AA440))))),"")</f>
        <v/>
      </c>
      <c r="AG440" s="104" t="str">
        <f>IFERROR((VLOOKUP(CONCATENATE('BMP P Tracking Table'!$U440," ",'BMP P Tracking Table'!$AD440),'Performance Curves'!$C$1:$L$46,_xlfn.SINGLE(MATCH('BMP P Tracking Table'!$AF440,'Performance Curves'!$D$1:$L$1,1))+2,FALSE)-VLOOKUP(CONCATENATE('BMP P Tracking Table'!$U440," ",'BMP P Tracking Table'!$AD440),'Performance Curves'!$C$1:$L$46,_xlfn.SINGLE(MATCH('BMP P Tracking Table'!$AF440,'Performance Curves'!$D$1:$L$1,1))+1,FALSE)),"")</f>
        <v/>
      </c>
      <c r="AH440" s="104" t="str">
        <f>IFERROR(('BMP P Tracking Table'!$AF440-INDEX('Performance Curves'!$D$1:$L$1,1,MATCH('BMP P Tracking Table'!$AF440,'Performance Curves'!$D$1:$L$1,1)))/(INDEX('Performance Curves'!$D$1:$L$1,1,MATCH('BMP P Tracking Table'!$AF440,'Performance Curves'!$D$1:$L$1,1)+1)-INDEX('Performance Curves'!$D$1:$L$1,1,MATCH('BMP P Tracking Table'!$AF440,'Performance Curves'!$D$1:$L$1,1))),"")</f>
        <v/>
      </c>
      <c r="AI440" s="103" t="str">
        <f>IFERROR(IF('BMP P Tracking Table'!$AF440=2,VLOOKUP(CONCATENATE('BMP P Tracking Table'!$U440," ",'BMP P Tracking Table'!$AD440),'Performance Curves'!$C$1:$L$46,_xlfn.SINGLE(MATCH('BMP P Tracking Table'!$AF440,'Performance Curves'!$D$1:$L$1,1))+1,FALSE),'BMP P Tracking Table'!$AG440*'BMP P Tracking Table'!$AH440+VLOOKUP(CONCATENATE('BMP P Tracking Table'!$U440," ",'BMP P Tracking Table'!$AD440),'Performance Curves'!$C$1:$L$46,_xlfn.SINGLE(MATCH('BMP P Tracking Table'!$AF440,'Performance Curves'!$D$1:$L$1,1))+1,FALSE)),"")</f>
        <v/>
      </c>
      <c r="AJ440" s="104" t="str">
        <f>IFERROR('BMP P Tracking Table'!$AI440*'BMP P Tracking Table'!$AE440,"")</f>
        <v/>
      </c>
      <c r="AK440" s="65"/>
      <c r="AL440" s="98"/>
      <c r="AM440" s="98"/>
      <c r="AN440" s="64">
        <v>1</v>
      </c>
      <c r="AO440" s="102" t="str">
        <f t="shared" si="41"/>
        <v/>
      </c>
      <c r="AP440" s="98"/>
      <c r="AQ440" s="98"/>
      <c r="AR440" s="98"/>
      <c r="AS440" s="98"/>
      <c r="AT440" s="98"/>
      <c r="AU440" s="98"/>
      <c r="AV440" s="98"/>
      <c r="AW440" s="65"/>
      <c r="AX440" s="99"/>
      <c r="AY440" s="99"/>
      <c r="AZ440" s="104" t="str">
        <f>IF('BMP P Tracking Table'!$AL440="Yes",IF('BMP P Tracking Table'!$AM440="No",'BMP P Tracking Table'!$V440*VLOOKUP('BMP P Tracking Table'!$R440,'Loading Rates'!$B$1:$L$24,4,FALSE)+IF('BMP P Tracking Table'!$W440="By HSG",'BMP P Tracking Table'!$X440*VLOOKUP('BMP P Tracking Table'!$R440,'Loading Rates'!$B$1:$L$24,6,FALSE)+'BMP P Tracking Table'!$Y440*VLOOKUP('BMP P Tracking Table'!$R440,'Loading Rates'!$B$1:$L$24,7,FALSE)+'BMP P Tracking Table'!$Z440*VLOOKUP('BMP P Tracking Table'!$R440,'Loading Rates'!$B$1:$L$24,8,FALSE)+'BMP P Tracking Table'!$AA440*VLOOKUP('BMP P Tracking Table'!$R440,'Loading Rates'!$B$1:$L$24,9,FALSE),'BMP P Tracking Table'!$AB440*VLOOKUP('BMP P Tracking Table'!$R440,'Loading Rates'!$B$1:$L$24,10,FALSE)),'BMP P Tracking Table'!$AP440*VLOOKUP('BMP P Tracking Table'!$R440,'Loading Rates'!$B$1:$L$24,4,FALSE)+IF('BMP P Tracking Table'!$AQ440="By HSG",'BMP P Tracking Table'!$AR440*VLOOKUP('BMP P Tracking Table'!$R440,'Loading Rates'!$B$1:$L$24,6,FALSE)+'BMP P Tracking Table'!$AS440*VLOOKUP('BMP P Tracking Table'!$R440,'Loading Rates'!$B$1:$L$24,7,FALSE)+'BMP P Tracking Table'!$AT440*VLOOKUP('BMP P Tracking Table'!$R440,'Loading Rates'!$B$1:$L$24,8,FALSE)+'BMP P Tracking Table'!$AU440*VLOOKUP('BMP P Tracking Table'!$R440,'Loading Rates'!$B$1:$L$24,9,FALSE),'BMP P Tracking Table'!$AV440*VLOOKUP('BMP P Tracking Table'!$R440,'Loading Rates'!$B$1:$L$24,10,FALSE))),"")</f>
        <v/>
      </c>
      <c r="BA440" s="104" t="str">
        <f>IFERROR(IF('BMP P Tracking Table'!$AM440="Yes",MIN(2,IF('BMP P Tracking Table'!$AQ440="Total Pervious",(-(3630*'BMP P Tracking Table'!$AP440+20.691*'BMP P Tracking Table'!$AV440)+SQRT((3630*'BMP P Tracking Table'!$AP440+20.691*'BMP P Tracking Table'!$AV440)^2-(4*(996.798*'BMP P Tracking Table'!$AV440)*-'BMP P Tracking Table'!$AX440)))/(2*(996.798*'BMP P Tracking Table'!$AV440)),IF(SUM('BMP P Tracking Table'!$AR440:$AU440)=0,'BMP P Tracking Table'!$AV440/(-3630*'BMP P Tracking Table'!$AP440),(-(3630*'BMP P Tracking Table'!$AP440+20.691*'BMP P Tracking Table'!$AU440-216.711*'BMP P Tracking Table'!$AT440-83.853*'BMP P Tracking Table'!$AS440-42.834*'BMP P Tracking Table'!$AR440)+SQRT((3630*'BMP P Tracking Table'!$AP440+20.691*'BMP P Tracking Table'!$AU440-216.711*'BMP P Tracking Table'!$AT440-83.853*'BMP P Tracking Table'!$AS440-42.834*'BMP P Tracking Table'!$AR440)^2-(4*(149.919*'BMP P Tracking Table'!$AR440+236.676*'BMP P Tracking Table'!$AS440+726*'BMP P Tracking Table'!$AT440+996.798*'BMP P Tracking Table'!$AU440)*-'BMP P Tracking Table'!$AX440)))/(2*(149.919*'BMP P Tracking Table'!$AR440+236.676*'BMP P Tracking Table'!$AS440+726*'BMP P Tracking Table'!$AT440+996.798*'BMP P Tracking Table'!$AU440))))),MIN(2,IF('BMP P Tracking Table'!$AQ440="Total Pervious",(-(3630*'BMP P Tracking Table'!$V440+20.691*'BMP P Tracking Table'!$AB440)+SQRT((3630*'BMP P Tracking Table'!$V440+20.691*'BMP P Tracking Table'!$AB440)^2-(4*(996.798*'BMP P Tracking Table'!$AB440)*-'BMP P Tracking Table'!$AX440)))/(2*(996.798*'BMP P Tracking Table'!$AB440)),IF(SUM('BMP P Tracking Table'!$X440:$AA440)=0,'BMP P Tracking Table'!$AX440/(-3630*'BMP P Tracking Table'!$V440),(-(3630*'BMP P Tracking Table'!$V440+20.691*'BMP P Tracking Table'!$AA440-216.711*'BMP P Tracking Table'!$Z440-83.853*'BMP P Tracking Table'!$Y440-42.834*'BMP P Tracking Table'!$X440)+SQRT((3630*'BMP P Tracking Table'!$V440+20.691*'BMP P Tracking Table'!$AA440-216.711*'BMP P Tracking Table'!$Z440-83.853*'BMP P Tracking Table'!$Y440-42.834*'BMP P Tracking Table'!$X440)^2-(4*(149.919*'BMP P Tracking Table'!$X440+236.676*'BMP P Tracking Table'!$Y440+726*'BMP P Tracking Table'!$Z440+996.798*'BMP P Tracking Table'!$AA440)*-'BMP P Tracking Table'!$AX440)))/(2*(149.919*'BMP P Tracking Table'!$X440+236.676*'BMP P Tracking Table'!$Y440+726*'BMP P Tracking Table'!$Z440+996.798*'BMP P Tracking Table'!$AA440)))))),"")</f>
        <v/>
      </c>
      <c r="BB440" s="102" t="str">
        <f>IFERROR((VLOOKUP(CONCATENATE('BMP P Tracking Table'!$AW440," ",'BMP P Tracking Table'!$AY440),'Performance Curves'!$C$1:$L$46,_xlfn.SINGLE(MATCH('BMP P Tracking Table'!$BA440,'Performance Curves'!$D$1:$L$1,1))+2,FALSE)-VLOOKUP(CONCATENATE('BMP P Tracking Table'!$AW440," ",'BMP P Tracking Table'!$AY440),'Performance Curves'!$C$1:$L$46,_xlfn.SINGLE(MATCH('BMP P Tracking Table'!$BA440,'Performance Curves'!$D$1:$L$1,1))+1,FALSE)),"")</f>
        <v/>
      </c>
      <c r="BC440" s="102" t="str">
        <f>IFERROR(('BMP P Tracking Table'!$BA440-INDEX('Performance Curves'!$D$1:$L$1,1,MATCH('BMP P Tracking Table'!$BA440,'Performance Curves'!$D$1:$L$1,1)))/(INDEX('Performance Curves'!$D$1:$L$1,1,MATCH('BMP P Tracking Table'!$BA440,'Performance Curves'!$D$1:$L$1,1)+1)-INDEX('Performance Curves'!$D$1:$L$1,1,MATCH('BMP P Tracking Table'!$BA440,'Performance Curves'!$D$1:$L$1,1))),"")</f>
        <v/>
      </c>
      <c r="BD440" s="103" t="str" cm="1">
        <f t="array" ref="BD440">IFERROR(IF('BMP P Tracking Table'!$BA440=2,VLOOKUP(CONCATENATE('BMP P Tracking Table'!$AW440," ",'BMP P Tracking Table'!$AY440),'Performance Curves'!$C$1:$L$44,_xlfn.SINGLE(MATCH('BMP P Tracking Table'!$BA440,'Performance Curves'!$D$1:$L$1,1))+1,FALSE),'BMP P Tracking Table'!$BB440*'BMP P Tracking Table'!$BC440+VLOOKUP(CONCATENATE('BMP P Tracking Table'!$AW440," ",'BMP P Tracking Table'!$AY440),'Performance Curves'!$C$1:$L$44,_xlfn.SINGLE(MATCH('BMP P Tracking Table'!$BA440,'Performance Curves'!$D$1:$L$1,1))+1,FALSE)),"")</f>
        <v/>
      </c>
      <c r="BE440" s="104" t="str">
        <f>IFERROR('BMP P Tracking Table'!$BD440*'BMP P Tracking Table'!$AZ440,"")</f>
        <v/>
      </c>
      <c r="BF440" s="98"/>
      <c r="BG440" s="37">
        <f t="shared" si="42"/>
        <v>0</v>
      </c>
    </row>
    <row r="441" spans="2:59" s="36" customFormat="1">
      <c r="B441" s="65"/>
      <c r="C441" s="65"/>
      <c r="D441" s="65"/>
      <c r="E441" s="65"/>
      <c r="F441" s="94"/>
      <c r="G441" s="94"/>
      <c r="H441" s="65"/>
      <c r="I441" s="65"/>
      <c r="J441" s="65"/>
      <c r="K441" s="95"/>
      <c r="L441" s="65"/>
      <c r="M441" s="65"/>
      <c r="N441" s="65"/>
      <c r="O441" s="65"/>
      <c r="P441" s="65"/>
      <c r="Q441" s="65"/>
      <c r="R441" s="65" t="str">
        <f>IFERROR(VLOOKUP('BMP P Tracking Table'!$Q441,Dropdowns!$C$2:$E$15,3,FALSE),"")</f>
        <v/>
      </c>
      <c r="S441" s="65" t="str">
        <f>IFERROR(VLOOKUP('BMP P Tracking Table'!$R441,Dropdowns!$Q$3:$R$23,2,FALSE),"")</f>
        <v/>
      </c>
      <c r="T441" s="65"/>
      <c r="U441" s="65"/>
      <c r="V441" s="65"/>
      <c r="W441" s="65"/>
      <c r="X441" s="65"/>
      <c r="Y441" s="65"/>
      <c r="Z441" s="65"/>
      <c r="AA441" s="65"/>
      <c r="AB441" s="65"/>
      <c r="AC441" s="97"/>
      <c r="AD441" s="65"/>
      <c r="AE441" s="104" t="str">
        <f>IFERROR('BMP P Tracking Table'!$V441*VLOOKUP('BMP P Tracking Table'!$R441,'Loading Rates'!$B$1:$L$24,4,FALSE)+IF('BMP P Tracking Table'!$W441="By HSG",'BMP P Tracking Table'!$X441*VLOOKUP('BMP P Tracking Table'!$R441,'Loading Rates'!$B$1:$L$24,6,FALSE)+'BMP P Tracking Table'!$Y441*VLOOKUP('BMP P Tracking Table'!$R441,'Loading Rates'!$B$1:$L$24,7,FALSE)+'BMP P Tracking Table'!$Z441*VLOOKUP('BMP P Tracking Table'!$R441,'Loading Rates'!$B$1:$L$24,8,FALSE)+'BMP P Tracking Table'!$AA441*VLOOKUP('BMP P Tracking Table'!$R441,'Loading Rates'!$B$1:$L$24,9,FALSE),'BMP P Tracking Table'!$AB441*VLOOKUP('BMP P Tracking Table'!$R441,'Loading Rates'!$B$1:$L$24,10,FALSE)),"")</f>
        <v/>
      </c>
      <c r="AF441" s="104" t="str">
        <f>IFERROR(MIN(2,IF('BMP P Tracking Table'!$W441="Total Pervious",(-(3630*'BMP P Tracking Table'!$V441+20.691*'BMP P Tracking Table'!$AB441)+SQRT((3630*'BMP P Tracking Table'!$V441+20.691*'BMP P Tracking Table'!$AB441)^2-(4*(996.798*'BMP P Tracking Table'!$AB441)*-'BMP P Tracking Table'!$AC441)))/(2*(996.798*'BMP P Tracking Table'!$AB441)),IF(SUM('BMP P Tracking Table'!$X441:$AA441)=0,'BMP P Tracking Table'!$AC441/(-3630*'BMP P Tracking Table'!$V441),(-(3630*'BMP P Tracking Table'!$V441+20.691*'BMP P Tracking Table'!$AA441-216.711*'BMP P Tracking Table'!$Z441-83.853*'BMP P Tracking Table'!$Y441-42.834*'BMP P Tracking Table'!$X441)+SQRT((3630*'BMP P Tracking Table'!$V441+20.691*'BMP P Tracking Table'!$AA441-216.711*'BMP P Tracking Table'!$Z441-83.853*'BMP P Tracking Table'!$Y441-42.834*'BMP P Tracking Table'!$X441)^2-(4*(149.919*'BMP P Tracking Table'!$X441+236.676*'BMP P Tracking Table'!$Y441+726*'BMP P Tracking Table'!$Z441+996.798*'BMP P Tracking Table'!$AA441)*-'BMP P Tracking Table'!$AC441)))/(2*(149.919*'BMP P Tracking Table'!$X441+236.676*'BMP P Tracking Table'!$Y441+726*'BMP P Tracking Table'!$Z441+996.798*'BMP P Tracking Table'!$AA441))))),"")</f>
        <v/>
      </c>
      <c r="AG441" s="104" t="str">
        <f>IFERROR((VLOOKUP(CONCATENATE('BMP P Tracking Table'!$U441," ",'BMP P Tracking Table'!$AD441),'Performance Curves'!$C$1:$L$46,_xlfn.SINGLE(MATCH('BMP P Tracking Table'!$AF441,'Performance Curves'!$D$1:$L$1,1))+2,FALSE)-VLOOKUP(CONCATENATE('BMP P Tracking Table'!$U441," ",'BMP P Tracking Table'!$AD441),'Performance Curves'!$C$1:$L$46,_xlfn.SINGLE(MATCH('BMP P Tracking Table'!$AF441,'Performance Curves'!$D$1:$L$1,1))+1,FALSE)),"")</f>
        <v/>
      </c>
      <c r="AH441" s="104" t="str">
        <f>IFERROR(('BMP P Tracking Table'!$AF441-INDEX('Performance Curves'!$D$1:$L$1,1,MATCH('BMP P Tracking Table'!$AF441,'Performance Curves'!$D$1:$L$1,1)))/(INDEX('Performance Curves'!$D$1:$L$1,1,MATCH('BMP P Tracking Table'!$AF441,'Performance Curves'!$D$1:$L$1,1)+1)-INDEX('Performance Curves'!$D$1:$L$1,1,MATCH('BMP P Tracking Table'!$AF441,'Performance Curves'!$D$1:$L$1,1))),"")</f>
        <v/>
      </c>
      <c r="AI441" s="103" t="str">
        <f>IFERROR(IF('BMP P Tracking Table'!$AF441=2,VLOOKUP(CONCATENATE('BMP P Tracking Table'!$U441," ",'BMP P Tracking Table'!$AD441),'Performance Curves'!$C$1:$L$46,_xlfn.SINGLE(MATCH('BMP P Tracking Table'!$AF441,'Performance Curves'!$D$1:$L$1,1))+1,FALSE),'BMP P Tracking Table'!$AG441*'BMP P Tracking Table'!$AH441+VLOOKUP(CONCATENATE('BMP P Tracking Table'!$U441," ",'BMP P Tracking Table'!$AD441),'Performance Curves'!$C$1:$L$46,_xlfn.SINGLE(MATCH('BMP P Tracking Table'!$AF441,'Performance Curves'!$D$1:$L$1,1))+1,FALSE)),"")</f>
        <v/>
      </c>
      <c r="AJ441" s="104" t="str">
        <f>IFERROR('BMP P Tracking Table'!$AI441*'BMP P Tracking Table'!$AE441,"")</f>
        <v/>
      </c>
      <c r="AK441" s="65"/>
      <c r="AL441" s="98"/>
      <c r="AM441" s="98"/>
      <c r="AN441" s="64">
        <v>1</v>
      </c>
      <c r="AO441" s="102" t="str">
        <f t="shared" si="41"/>
        <v/>
      </c>
      <c r="AP441" s="98"/>
      <c r="AQ441" s="98"/>
      <c r="AR441" s="98"/>
      <c r="AS441" s="98"/>
      <c r="AT441" s="98"/>
      <c r="AU441" s="98"/>
      <c r="AV441" s="98"/>
      <c r="AW441" s="65"/>
      <c r="AX441" s="99"/>
      <c r="AY441" s="99"/>
      <c r="AZ441" s="104" t="str">
        <f>IF('BMP P Tracking Table'!$AL441="Yes",IF('BMP P Tracking Table'!$AM441="No",'BMP P Tracking Table'!$V441*VLOOKUP('BMP P Tracking Table'!$R441,'Loading Rates'!$B$1:$L$24,4,FALSE)+IF('BMP P Tracking Table'!$W441="By HSG",'BMP P Tracking Table'!$X441*VLOOKUP('BMP P Tracking Table'!$R441,'Loading Rates'!$B$1:$L$24,6,FALSE)+'BMP P Tracking Table'!$Y441*VLOOKUP('BMP P Tracking Table'!$R441,'Loading Rates'!$B$1:$L$24,7,FALSE)+'BMP P Tracking Table'!$Z441*VLOOKUP('BMP P Tracking Table'!$R441,'Loading Rates'!$B$1:$L$24,8,FALSE)+'BMP P Tracking Table'!$AA441*VLOOKUP('BMP P Tracking Table'!$R441,'Loading Rates'!$B$1:$L$24,9,FALSE),'BMP P Tracking Table'!$AB441*VLOOKUP('BMP P Tracking Table'!$R441,'Loading Rates'!$B$1:$L$24,10,FALSE)),'BMP P Tracking Table'!$AP441*VLOOKUP('BMP P Tracking Table'!$R441,'Loading Rates'!$B$1:$L$24,4,FALSE)+IF('BMP P Tracking Table'!$AQ441="By HSG",'BMP P Tracking Table'!$AR441*VLOOKUP('BMP P Tracking Table'!$R441,'Loading Rates'!$B$1:$L$24,6,FALSE)+'BMP P Tracking Table'!$AS441*VLOOKUP('BMP P Tracking Table'!$R441,'Loading Rates'!$B$1:$L$24,7,FALSE)+'BMP P Tracking Table'!$AT441*VLOOKUP('BMP P Tracking Table'!$R441,'Loading Rates'!$B$1:$L$24,8,FALSE)+'BMP P Tracking Table'!$AU441*VLOOKUP('BMP P Tracking Table'!$R441,'Loading Rates'!$B$1:$L$24,9,FALSE),'BMP P Tracking Table'!$AV441*VLOOKUP('BMP P Tracking Table'!$R441,'Loading Rates'!$B$1:$L$24,10,FALSE))),"")</f>
        <v/>
      </c>
      <c r="BA441" s="104" t="str">
        <f>IFERROR(IF('BMP P Tracking Table'!$AM441="Yes",MIN(2,IF('BMP P Tracking Table'!$AQ441="Total Pervious",(-(3630*'BMP P Tracking Table'!$AP441+20.691*'BMP P Tracking Table'!$AV441)+SQRT((3630*'BMP P Tracking Table'!$AP441+20.691*'BMP P Tracking Table'!$AV441)^2-(4*(996.798*'BMP P Tracking Table'!$AV441)*-'BMP P Tracking Table'!$AX441)))/(2*(996.798*'BMP P Tracking Table'!$AV441)),IF(SUM('BMP P Tracking Table'!$AR441:$AU441)=0,'BMP P Tracking Table'!$AV441/(-3630*'BMP P Tracking Table'!$AP441),(-(3630*'BMP P Tracking Table'!$AP441+20.691*'BMP P Tracking Table'!$AU441-216.711*'BMP P Tracking Table'!$AT441-83.853*'BMP P Tracking Table'!$AS441-42.834*'BMP P Tracking Table'!$AR441)+SQRT((3630*'BMP P Tracking Table'!$AP441+20.691*'BMP P Tracking Table'!$AU441-216.711*'BMP P Tracking Table'!$AT441-83.853*'BMP P Tracking Table'!$AS441-42.834*'BMP P Tracking Table'!$AR441)^2-(4*(149.919*'BMP P Tracking Table'!$AR441+236.676*'BMP P Tracking Table'!$AS441+726*'BMP P Tracking Table'!$AT441+996.798*'BMP P Tracking Table'!$AU441)*-'BMP P Tracking Table'!$AX441)))/(2*(149.919*'BMP P Tracking Table'!$AR441+236.676*'BMP P Tracking Table'!$AS441+726*'BMP P Tracking Table'!$AT441+996.798*'BMP P Tracking Table'!$AU441))))),MIN(2,IF('BMP P Tracking Table'!$AQ441="Total Pervious",(-(3630*'BMP P Tracking Table'!$V441+20.691*'BMP P Tracking Table'!$AB441)+SQRT((3630*'BMP P Tracking Table'!$V441+20.691*'BMP P Tracking Table'!$AB441)^2-(4*(996.798*'BMP P Tracking Table'!$AB441)*-'BMP P Tracking Table'!$AX441)))/(2*(996.798*'BMP P Tracking Table'!$AB441)),IF(SUM('BMP P Tracking Table'!$X441:$AA441)=0,'BMP P Tracking Table'!$AX441/(-3630*'BMP P Tracking Table'!$V441),(-(3630*'BMP P Tracking Table'!$V441+20.691*'BMP P Tracking Table'!$AA441-216.711*'BMP P Tracking Table'!$Z441-83.853*'BMP P Tracking Table'!$Y441-42.834*'BMP P Tracking Table'!$X441)+SQRT((3630*'BMP P Tracking Table'!$V441+20.691*'BMP P Tracking Table'!$AA441-216.711*'BMP P Tracking Table'!$Z441-83.853*'BMP P Tracking Table'!$Y441-42.834*'BMP P Tracking Table'!$X441)^2-(4*(149.919*'BMP P Tracking Table'!$X441+236.676*'BMP P Tracking Table'!$Y441+726*'BMP P Tracking Table'!$Z441+996.798*'BMP P Tracking Table'!$AA441)*-'BMP P Tracking Table'!$AX441)))/(2*(149.919*'BMP P Tracking Table'!$X441+236.676*'BMP P Tracking Table'!$Y441+726*'BMP P Tracking Table'!$Z441+996.798*'BMP P Tracking Table'!$AA441)))))),"")</f>
        <v/>
      </c>
      <c r="BB441" s="102" t="str">
        <f>IFERROR((VLOOKUP(CONCATENATE('BMP P Tracking Table'!$AW441," ",'BMP P Tracking Table'!$AY441),'Performance Curves'!$C$1:$L$46,_xlfn.SINGLE(MATCH('BMP P Tracking Table'!$BA441,'Performance Curves'!$D$1:$L$1,1))+2,FALSE)-VLOOKUP(CONCATENATE('BMP P Tracking Table'!$AW441," ",'BMP P Tracking Table'!$AY441),'Performance Curves'!$C$1:$L$46,_xlfn.SINGLE(MATCH('BMP P Tracking Table'!$BA441,'Performance Curves'!$D$1:$L$1,1))+1,FALSE)),"")</f>
        <v/>
      </c>
      <c r="BC441" s="102" t="str">
        <f>IFERROR(('BMP P Tracking Table'!$BA441-INDEX('Performance Curves'!$D$1:$L$1,1,MATCH('BMP P Tracking Table'!$BA441,'Performance Curves'!$D$1:$L$1,1)))/(INDEX('Performance Curves'!$D$1:$L$1,1,MATCH('BMP P Tracking Table'!$BA441,'Performance Curves'!$D$1:$L$1,1)+1)-INDEX('Performance Curves'!$D$1:$L$1,1,MATCH('BMP P Tracking Table'!$BA441,'Performance Curves'!$D$1:$L$1,1))),"")</f>
        <v/>
      </c>
      <c r="BD441" s="103" t="str" cm="1">
        <f t="array" ref="BD441">IFERROR(IF('BMP P Tracking Table'!$BA441=2,VLOOKUP(CONCATENATE('BMP P Tracking Table'!$AW441," ",'BMP P Tracking Table'!$AY441),'Performance Curves'!$C$1:$L$44,_xlfn.SINGLE(MATCH('BMP P Tracking Table'!$BA441,'Performance Curves'!$D$1:$L$1,1))+1,FALSE),'BMP P Tracking Table'!$BB441*'BMP P Tracking Table'!$BC441+VLOOKUP(CONCATENATE('BMP P Tracking Table'!$AW441," ",'BMP P Tracking Table'!$AY441),'Performance Curves'!$C$1:$L$44,_xlfn.SINGLE(MATCH('BMP P Tracking Table'!$BA441,'Performance Curves'!$D$1:$L$1,1))+1,FALSE)),"")</f>
        <v/>
      </c>
      <c r="BE441" s="104" t="str">
        <f>IFERROR('BMP P Tracking Table'!$BD441*'BMP P Tracking Table'!$AZ441,"")</f>
        <v/>
      </c>
      <c r="BF441" s="98"/>
      <c r="BG441" s="37">
        <f t="shared" si="42"/>
        <v>0</v>
      </c>
    </row>
    <row r="442" spans="2:59" s="36" customFormat="1">
      <c r="B442" s="65"/>
      <c r="C442" s="65"/>
      <c r="D442" s="65"/>
      <c r="E442" s="65"/>
      <c r="F442" s="94"/>
      <c r="G442" s="94"/>
      <c r="H442" s="65"/>
      <c r="I442" s="65"/>
      <c r="J442" s="65"/>
      <c r="K442" s="95"/>
      <c r="L442" s="65"/>
      <c r="M442" s="65"/>
      <c r="N442" s="65"/>
      <c r="O442" s="65"/>
      <c r="P442" s="65"/>
      <c r="Q442" s="65"/>
      <c r="R442" s="65" t="str">
        <f>IFERROR(VLOOKUP('BMP P Tracking Table'!$Q442,Dropdowns!$C$2:$E$15,3,FALSE),"")</f>
        <v/>
      </c>
      <c r="S442" s="65" t="str">
        <f>IFERROR(VLOOKUP('BMP P Tracking Table'!$R442,Dropdowns!$Q$3:$R$23,2,FALSE),"")</f>
        <v/>
      </c>
      <c r="T442" s="65"/>
      <c r="U442" s="65"/>
      <c r="V442" s="65"/>
      <c r="W442" s="65"/>
      <c r="X442" s="65"/>
      <c r="Y442" s="65"/>
      <c r="Z442" s="65"/>
      <c r="AA442" s="65"/>
      <c r="AB442" s="65"/>
      <c r="AC442" s="97"/>
      <c r="AD442" s="65"/>
      <c r="AE442" s="104" t="str">
        <f>IFERROR('BMP P Tracking Table'!$V442*VLOOKUP('BMP P Tracking Table'!$R442,'Loading Rates'!$B$1:$L$24,4,FALSE)+IF('BMP P Tracking Table'!$W442="By HSG",'BMP P Tracking Table'!$X442*VLOOKUP('BMP P Tracking Table'!$R442,'Loading Rates'!$B$1:$L$24,6,FALSE)+'BMP P Tracking Table'!$Y442*VLOOKUP('BMP P Tracking Table'!$R442,'Loading Rates'!$B$1:$L$24,7,FALSE)+'BMP P Tracking Table'!$Z442*VLOOKUP('BMP P Tracking Table'!$R442,'Loading Rates'!$B$1:$L$24,8,FALSE)+'BMP P Tracking Table'!$AA442*VLOOKUP('BMP P Tracking Table'!$R442,'Loading Rates'!$B$1:$L$24,9,FALSE),'BMP P Tracking Table'!$AB442*VLOOKUP('BMP P Tracking Table'!$R442,'Loading Rates'!$B$1:$L$24,10,FALSE)),"")</f>
        <v/>
      </c>
      <c r="AF442" s="104" t="str">
        <f>IFERROR(MIN(2,IF('BMP P Tracking Table'!$W442="Total Pervious",(-(3630*'BMP P Tracking Table'!$V442+20.691*'BMP P Tracking Table'!$AB442)+SQRT((3630*'BMP P Tracking Table'!$V442+20.691*'BMP P Tracking Table'!$AB442)^2-(4*(996.798*'BMP P Tracking Table'!$AB442)*-'BMP P Tracking Table'!$AC442)))/(2*(996.798*'BMP P Tracking Table'!$AB442)),IF(SUM('BMP P Tracking Table'!$X442:$AA442)=0,'BMP P Tracking Table'!$AC442/(-3630*'BMP P Tracking Table'!$V442),(-(3630*'BMP P Tracking Table'!$V442+20.691*'BMP P Tracking Table'!$AA442-216.711*'BMP P Tracking Table'!$Z442-83.853*'BMP P Tracking Table'!$Y442-42.834*'BMP P Tracking Table'!$X442)+SQRT((3630*'BMP P Tracking Table'!$V442+20.691*'BMP P Tracking Table'!$AA442-216.711*'BMP P Tracking Table'!$Z442-83.853*'BMP P Tracking Table'!$Y442-42.834*'BMP P Tracking Table'!$X442)^2-(4*(149.919*'BMP P Tracking Table'!$X442+236.676*'BMP P Tracking Table'!$Y442+726*'BMP P Tracking Table'!$Z442+996.798*'BMP P Tracking Table'!$AA442)*-'BMP P Tracking Table'!$AC442)))/(2*(149.919*'BMP P Tracking Table'!$X442+236.676*'BMP P Tracking Table'!$Y442+726*'BMP P Tracking Table'!$Z442+996.798*'BMP P Tracking Table'!$AA442))))),"")</f>
        <v/>
      </c>
      <c r="AG442" s="104" t="str">
        <f>IFERROR((VLOOKUP(CONCATENATE('BMP P Tracking Table'!$U442," ",'BMP P Tracking Table'!$AD442),'Performance Curves'!$C$1:$L$46,_xlfn.SINGLE(MATCH('BMP P Tracking Table'!$AF442,'Performance Curves'!$D$1:$L$1,1))+2,FALSE)-VLOOKUP(CONCATENATE('BMP P Tracking Table'!$U442," ",'BMP P Tracking Table'!$AD442),'Performance Curves'!$C$1:$L$46,_xlfn.SINGLE(MATCH('BMP P Tracking Table'!$AF442,'Performance Curves'!$D$1:$L$1,1))+1,FALSE)),"")</f>
        <v/>
      </c>
      <c r="AH442" s="104" t="str">
        <f>IFERROR(('BMP P Tracking Table'!$AF442-INDEX('Performance Curves'!$D$1:$L$1,1,MATCH('BMP P Tracking Table'!$AF442,'Performance Curves'!$D$1:$L$1,1)))/(INDEX('Performance Curves'!$D$1:$L$1,1,MATCH('BMP P Tracking Table'!$AF442,'Performance Curves'!$D$1:$L$1,1)+1)-INDEX('Performance Curves'!$D$1:$L$1,1,MATCH('BMP P Tracking Table'!$AF442,'Performance Curves'!$D$1:$L$1,1))),"")</f>
        <v/>
      </c>
      <c r="AI442" s="103" t="str">
        <f>IFERROR(IF('BMP P Tracking Table'!$AF442=2,VLOOKUP(CONCATENATE('BMP P Tracking Table'!$U442," ",'BMP P Tracking Table'!$AD442),'Performance Curves'!$C$1:$L$46,_xlfn.SINGLE(MATCH('BMP P Tracking Table'!$AF442,'Performance Curves'!$D$1:$L$1,1))+1,FALSE),'BMP P Tracking Table'!$AG442*'BMP P Tracking Table'!$AH442+VLOOKUP(CONCATENATE('BMP P Tracking Table'!$U442," ",'BMP P Tracking Table'!$AD442),'Performance Curves'!$C$1:$L$46,_xlfn.SINGLE(MATCH('BMP P Tracking Table'!$AF442,'Performance Curves'!$D$1:$L$1,1))+1,FALSE)),"")</f>
        <v/>
      </c>
      <c r="AJ442" s="104" t="str">
        <f>IFERROR('BMP P Tracking Table'!$AI442*'BMP P Tracking Table'!$AE442,"")</f>
        <v/>
      </c>
      <c r="AK442" s="65"/>
      <c r="AL442" s="98"/>
      <c r="AM442" s="98"/>
      <c r="AN442" s="64">
        <v>1</v>
      </c>
      <c r="AO442" s="102" t="str">
        <f t="shared" si="41"/>
        <v/>
      </c>
      <c r="AP442" s="98"/>
      <c r="AQ442" s="98"/>
      <c r="AR442" s="98"/>
      <c r="AS442" s="98"/>
      <c r="AT442" s="98"/>
      <c r="AU442" s="98"/>
      <c r="AV442" s="98"/>
      <c r="AW442" s="65"/>
      <c r="AX442" s="99"/>
      <c r="AY442" s="99"/>
      <c r="AZ442" s="104" t="str">
        <f>IF('BMP P Tracking Table'!$AL442="Yes",IF('BMP P Tracking Table'!$AM442="No",'BMP P Tracking Table'!$V442*VLOOKUP('BMP P Tracking Table'!$R442,'Loading Rates'!$B$1:$L$24,4,FALSE)+IF('BMP P Tracking Table'!$W442="By HSG",'BMP P Tracking Table'!$X442*VLOOKUP('BMP P Tracking Table'!$R442,'Loading Rates'!$B$1:$L$24,6,FALSE)+'BMP P Tracking Table'!$Y442*VLOOKUP('BMP P Tracking Table'!$R442,'Loading Rates'!$B$1:$L$24,7,FALSE)+'BMP P Tracking Table'!$Z442*VLOOKUP('BMP P Tracking Table'!$R442,'Loading Rates'!$B$1:$L$24,8,FALSE)+'BMP P Tracking Table'!$AA442*VLOOKUP('BMP P Tracking Table'!$R442,'Loading Rates'!$B$1:$L$24,9,FALSE),'BMP P Tracking Table'!$AB442*VLOOKUP('BMP P Tracking Table'!$R442,'Loading Rates'!$B$1:$L$24,10,FALSE)),'BMP P Tracking Table'!$AP442*VLOOKUP('BMP P Tracking Table'!$R442,'Loading Rates'!$B$1:$L$24,4,FALSE)+IF('BMP P Tracking Table'!$AQ442="By HSG",'BMP P Tracking Table'!$AR442*VLOOKUP('BMP P Tracking Table'!$R442,'Loading Rates'!$B$1:$L$24,6,FALSE)+'BMP P Tracking Table'!$AS442*VLOOKUP('BMP P Tracking Table'!$R442,'Loading Rates'!$B$1:$L$24,7,FALSE)+'BMP P Tracking Table'!$AT442*VLOOKUP('BMP P Tracking Table'!$R442,'Loading Rates'!$B$1:$L$24,8,FALSE)+'BMP P Tracking Table'!$AU442*VLOOKUP('BMP P Tracking Table'!$R442,'Loading Rates'!$B$1:$L$24,9,FALSE),'BMP P Tracking Table'!$AV442*VLOOKUP('BMP P Tracking Table'!$R442,'Loading Rates'!$B$1:$L$24,10,FALSE))),"")</f>
        <v/>
      </c>
      <c r="BA442" s="104" t="str">
        <f>IFERROR(IF('BMP P Tracking Table'!$AM442="Yes",MIN(2,IF('BMP P Tracking Table'!$AQ442="Total Pervious",(-(3630*'BMP P Tracking Table'!$AP442+20.691*'BMP P Tracking Table'!$AV442)+SQRT((3630*'BMP P Tracking Table'!$AP442+20.691*'BMP P Tracking Table'!$AV442)^2-(4*(996.798*'BMP P Tracking Table'!$AV442)*-'BMP P Tracking Table'!$AX442)))/(2*(996.798*'BMP P Tracking Table'!$AV442)),IF(SUM('BMP P Tracking Table'!$AR442:$AU442)=0,'BMP P Tracking Table'!$AV442/(-3630*'BMP P Tracking Table'!$AP442),(-(3630*'BMP P Tracking Table'!$AP442+20.691*'BMP P Tracking Table'!$AU442-216.711*'BMP P Tracking Table'!$AT442-83.853*'BMP P Tracking Table'!$AS442-42.834*'BMP P Tracking Table'!$AR442)+SQRT((3630*'BMP P Tracking Table'!$AP442+20.691*'BMP P Tracking Table'!$AU442-216.711*'BMP P Tracking Table'!$AT442-83.853*'BMP P Tracking Table'!$AS442-42.834*'BMP P Tracking Table'!$AR442)^2-(4*(149.919*'BMP P Tracking Table'!$AR442+236.676*'BMP P Tracking Table'!$AS442+726*'BMP P Tracking Table'!$AT442+996.798*'BMP P Tracking Table'!$AU442)*-'BMP P Tracking Table'!$AX442)))/(2*(149.919*'BMP P Tracking Table'!$AR442+236.676*'BMP P Tracking Table'!$AS442+726*'BMP P Tracking Table'!$AT442+996.798*'BMP P Tracking Table'!$AU442))))),MIN(2,IF('BMP P Tracking Table'!$AQ442="Total Pervious",(-(3630*'BMP P Tracking Table'!$V442+20.691*'BMP P Tracking Table'!$AB442)+SQRT((3630*'BMP P Tracking Table'!$V442+20.691*'BMP P Tracking Table'!$AB442)^2-(4*(996.798*'BMP P Tracking Table'!$AB442)*-'BMP P Tracking Table'!$AX442)))/(2*(996.798*'BMP P Tracking Table'!$AB442)),IF(SUM('BMP P Tracking Table'!$X442:$AA442)=0,'BMP P Tracking Table'!$AX442/(-3630*'BMP P Tracking Table'!$V442),(-(3630*'BMP P Tracking Table'!$V442+20.691*'BMP P Tracking Table'!$AA442-216.711*'BMP P Tracking Table'!$Z442-83.853*'BMP P Tracking Table'!$Y442-42.834*'BMP P Tracking Table'!$X442)+SQRT((3630*'BMP P Tracking Table'!$V442+20.691*'BMP P Tracking Table'!$AA442-216.711*'BMP P Tracking Table'!$Z442-83.853*'BMP P Tracking Table'!$Y442-42.834*'BMP P Tracking Table'!$X442)^2-(4*(149.919*'BMP P Tracking Table'!$X442+236.676*'BMP P Tracking Table'!$Y442+726*'BMP P Tracking Table'!$Z442+996.798*'BMP P Tracking Table'!$AA442)*-'BMP P Tracking Table'!$AX442)))/(2*(149.919*'BMP P Tracking Table'!$X442+236.676*'BMP P Tracking Table'!$Y442+726*'BMP P Tracking Table'!$Z442+996.798*'BMP P Tracking Table'!$AA442)))))),"")</f>
        <v/>
      </c>
      <c r="BB442" s="102" t="str">
        <f>IFERROR((VLOOKUP(CONCATENATE('BMP P Tracking Table'!$AW442," ",'BMP P Tracking Table'!$AY442),'Performance Curves'!$C$1:$L$46,_xlfn.SINGLE(MATCH('BMP P Tracking Table'!$BA442,'Performance Curves'!$D$1:$L$1,1))+2,FALSE)-VLOOKUP(CONCATENATE('BMP P Tracking Table'!$AW442," ",'BMP P Tracking Table'!$AY442),'Performance Curves'!$C$1:$L$46,_xlfn.SINGLE(MATCH('BMP P Tracking Table'!$BA442,'Performance Curves'!$D$1:$L$1,1))+1,FALSE)),"")</f>
        <v/>
      </c>
      <c r="BC442" s="102" t="str">
        <f>IFERROR(('BMP P Tracking Table'!$BA442-INDEX('Performance Curves'!$D$1:$L$1,1,MATCH('BMP P Tracking Table'!$BA442,'Performance Curves'!$D$1:$L$1,1)))/(INDEX('Performance Curves'!$D$1:$L$1,1,MATCH('BMP P Tracking Table'!$BA442,'Performance Curves'!$D$1:$L$1,1)+1)-INDEX('Performance Curves'!$D$1:$L$1,1,MATCH('BMP P Tracking Table'!$BA442,'Performance Curves'!$D$1:$L$1,1))),"")</f>
        <v/>
      </c>
      <c r="BD442" s="103" t="str" cm="1">
        <f t="array" ref="BD442">IFERROR(IF('BMP P Tracking Table'!$BA442=2,VLOOKUP(CONCATENATE('BMP P Tracking Table'!$AW442," ",'BMP P Tracking Table'!$AY442),'Performance Curves'!$C$1:$L$44,_xlfn.SINGLE(MATCH('BMP P Tracking Table'!$BA442,'Performance Curves'!$D$1:$L$1,1))+1,FALSE),'BMP P Tracking Table'!$BB442*'BMP P Tracking Table'!$BC442+VLOOKUP(CONCATENATE('BMP P Tracking Table'!$AW442," ",'BMP P Tracking Table'!$AY442),'Performance Curves'!$C$1:$L$44,_xlfn.SINGLE(MATCH('BMP P Tracking Table'!$BA442,'Performance Curves'!$D$1:$L$1,1))+1,FALSE)),"")</f>
        <v/>
      </c>
      <c r="BE442" s="104" t="str">
        <f>IFERROR('BMP P Tracking Table'!$BD442*'BMP P Tracking Table'!$AZ442,"")</f>
        <v/>
      </c>
      <c r="BF442" s="98"/>
      <c r="BG442" s="37">
        <f t="shared" si="42"/>
        <v>0</v>
      </c>
    </row>
    <row r="443" spans="2:59" s="36" customFormat="1">
      <c r="B443" s="65"/>
      <c r="C443" s="65"/>
      <c r="D443" s="65"/>
      <c r="E443" s="65"/>
      <c r="F443" s="94"/>
      <c r="G443" s="94"/>
      <c r="H443" s="65"/>
      <c r="I443" s="65"/>
      <c r="J443" s="65"/>
      <c r="K443" s="95"/>
      <c r="L443" s="65"/>
      <c r="M443" s="65"/>
      <c r="N443" s="65"/>
      <c r="O443" s="65"/>
      <c r="P443" s="65"/>
      <c r="Q443" s="65"/>
      <c r="R443" s="65" t="str">
        <f>IFERROR(VLOOKUP('BMP P Tracking Table'!$Q443,Dropdowns!$C$2:$E$15,3,FALSE),"")</f>
        <v/>
      </c>
      <c r="S443" s="65" t="str">
        <f>IFERROR(VLOOKUP('BMP P Tracking Table'!$R443,Dropdowns!$Q$3:$R$23,2,FALSE),"")</f>
        <v/>
      </c>
      <c r="T443" s="65"/>
      <c r="U443" s="65"/>
      <c r="V443" s="65"/>
      <c r="W443" s="65"/>
      <c r="X443" s="65"/>
      <c r="Y443" s="65"/>
      <c r="Z443" s="65"/>
      <c r="AA443" s="65"/>
      <c r="AB443" s="65"/>
      <c r="AC443" s="97"/>
      <c r="AD443" s="65"/>
      <c r="AE443" s="104" t="str">
        <f>IFERROR('BMP P Tracking Table'!$V443*VLOOKUP('BMP P Tracking Table'!$R443,'Loading Rates'!$B$1:$L$24,4,FALSE)+IF('BMP P Tracking Table'!$W443="By HSG",'BMP P Tracking Table'!$X443*VLOOKUP('BMP P Tracking Table'!$R443,'Loading Rates'!$B$1:$L$24,6,FALSE)+'BMP P Tracking Table'!$Y443*VLOOKUP('BMP P Tracking Table'!$R443,'Loading Rates'!$B$1:$L$24,7,FALSE)+'BMP P Tracking Table'!$Z443*VLOOKUP('BMP P Tracking Table'!$R443,'Loading Rates'!$B$1:$L$24,8,FALSE)+'BMP P Tracking Table'!$AA443*VLOOKUP('BMP P Tracking Table'!$R443,'Loading Rates'!$B$1:$L$24,9,FALSE),'BMP P Tracking Table'!$AB443*VLOOKUP('BMP P Tracking Table'!$R443,'Loading Rates'!$B$1:$L$24,10,FALSE)),"")</f>
        <v/>
      </c>
      <c r="AF443" s="104" t="str">
        <f>IFERROR(MIN(2,IF('BMP P Tracking Table'!$W443="Total Pervious",(-(3630*'BMP P Tracking Table'!$V443+20.691*'BMP P Tracking Table'!$AB443)+SQRT((3630*'BMP P Tracking Table'!$V443+20.691*'BMP P Tracking Table'!$AB443)^2-(4*(996.798*'BMP P Tracking Table'!$AB443)*-'BMP P Tracking Table'!$AC443)))/(2*(996.798*'BMP P Tracking Table'!$AB443)),IF(SUM('BMP P Tracking Table'!$X443:$AA443)=0,'BMP P Tracking Table'!$AC443/(-3630*'BMP P Tracking Table'!$V443),(-(3630*'BMP P Tracking Table'!$V443+20.691*'BMP P Tracking Table'!$AA443-216.711*'BMP P Tracking Table'!$Z443-83.853*'BMP P Tracking Table'!$Y443-42.834*'BMP P Tracking Table'!$X443)+SQRT((3630*'BMP P Tracking Table'!$V443+20.691*'BMP P Tracking Table'!$AA443-216.711*'BMP P Tracking Table'!$Z443-83.853*'BMP P Tracking Table'!$Y443-42.834*'BMP P Tracking Table'!$X443)^2-(4*(149.919*'BMP P Tracking Table'!$X443+236.676*'BMP P Tracking Table'!$Y443+726*'BMP P Tracking Table'!$Z443+996.798*'BMP P Tracking Table'!$AA443)*-'BMP P Tracking Table'!$AC443)))/(2*(149.919*'BMP P Tracking Table'!$X443+236.676*'BMP P Tracking Table'!$Y443+726*'BMP P Tracking Table'!$Z443+996.798*'BMP P Tracking Table'!$AA443))))),"")</f>
        <v/>
      </c>
      <c r="AG443" s="104" t="str">
        <f>IFERROR((VLOOKUP(CONCATENATE('BMP P Tracking Table'!$U443," ",'BMP P Tracking Table'!$AD443),'Performance Curves'!$C$1:$L$46,_xlfn.SINGLE(MATCH('BMP P Tracking Table'!$AF443,'Performance Curves'!$D$1:$L$1,1))+2,FALSE)-VLOOKUP(CONCATENATE('BMP P Tracking Table'!$U443," ",'BMP P Tracking Table'!$AD443),'Performance Curves'!$C$1:$L$46,_xlfn.SINGLE(MATCH('BMP P Tracking Table'!$AF443,'Performance Curves'!$D$1:$L$1,1))+1,FALSE)),"")</f>
        <v/>
      </c>
      <c r="AH443" s="104" t="str">
        <f>IFERROR(('BMP P Tracking Table'!$AF443-INDEX('Performance Curves'!$D$1:$L$1,1,MATCH('BMP P Tracking Table'!$AF443,'Performance Curves'!$D$1:$L$1,1)))/(INDEX('Performance Curves'!$D$1:$L$1,1,MATCH('BMP P Tracking Table'!$AF443,'Performance Curves'!$D$1:$L$1,1)+1)-INDEX('Performance Curves'!$D$1:$L$1,1,MATCH('BMP P Tracking Table'!$AF443,'Performance Curves'!$D$1:$L$1,1))),"")</f>
        <v/>
      </c>
      <c r="AI443" s="103" t="str">
        <f>IFERROR(IF('BMP P Tracking Table'!$AF443=2,VLOOKUP(CONCATENATE('BMP P Tracking Table'!$U443," ",'BMP P Tracking Table'!$AD443),'Performance Curves'!$C$1:$L$46,_xlfn.SINGLE(MATCH('BMP P Tracking Table'!$AF443,'Performance Curves'!$D$1:$L$1,1))+1,FALSE),'BMP P Tracking Table'!$AG443*'BMP P Tracking Table'!$AH443+VLOOKUP(CONCATENATE('BMP P Tracking Table'!$U443," ",'BMP P Tracking Table'!$AD443),'Performance Curves'!$C$1:$L$46,_xlfn.SINGLE(MATCH('BMP P Tracking Table'!$AF443,'Performance Curves'!$D$1:$L$1,1))+1,FALSE)),"")</f>
        <v/>
      </c>
      <c r="AJ443" s="104" t="str">
        <f>IFERROR('BMP P Tracking Table'!$AI443*'BMP P Tracking Table'!$AE443,"")</f>
        <v/>
      </c>
      <c r="AK443" s="65"/>
      <c r="AL443" s="98"/>
      <c r="AM443" s="98"/>
      <c r="AN443" s="64">
        <v>1</v>
      </c>
      <c r="AO443" s="102" t="str">
        <f t="shared" si="41"/>
        <v/>
      </c>
      <c r="AP443" s="98"/>
      <c r="AQ443" s="98"/>
      <c r="AR443" s="98"/>
      <c r="AS443" s="98"/>
      <c r="AT443" s="98"/>
      <c r="AU443" s="98"/>
      <c r="AV443" s="98"/>
      <c r="AW443" s="65"/>
      <c r="AX443" s="99"/>
      <c r="AY443" s="99"/>
      <c r="AZ443" s="104" t="str">
        <f>IF('BMP P Tracking Table'!$AL443="Yes",IF('BMP P Tracking Table'!$AM443="No",'BMP P Tracking Table'!$V443*VLOOKUP('BMP P Tracking Table'!$R443,'Loading Rates'!$B$1:$L$24,4,FALSE)+IF('BMP P Tracking Table'!$W443="By HSG",'BMP P Tracking Table'!$X443*VLOOKUP('BMP P Tracking Table'!$R443,'Loading Rates'!$B$1:$L$24,6,FALSE)+'BMP P Tracking Table'!$Y443*VLOOKUP('BMP P Tracking Table'!$R443,'Loading Rates'!$B$1:$L$24,7,FALSE)+'BMP P Tracking Table'!$Z443*VLOOKUP('BMP P Tracking Table'!$R443,'Loading Rates'!$B$1:$L$24,8,FALSE)+'BMP P Tracking Table'!$AA443*VLOOKUP('BMP P Tracking Table'!$R443,'Loading Rates'!$B$1:$L$24,9,FALSE),'BMP P Tracking Table'!$AB443*VLOOKUP('BMP P Tracking Table'!$R443,'Loading Rates'!$B$1:$L$24,10,FALSE)),'BMP P Tracking Table'!$AP443*VLOOKUP('BMP P Tracking Table'!$R443,'Loading Rates'!$B$1:$L$24,4,FALSE)+IF('BMP P Tracking Table'!$AQ443="By HSG",'BMP P Tracking Table'!$AR443*VLOOKUP('BMP P Tracking Table'!$R443,'Loading Rates'!$B$1:$L$24,6,FALSE)+'BMP P Tracking Table'!$AS443*VLOOKUP('BMP P Tracking Table'!$R443,'Loading Rates'!$B$1:$L$24,7,FALSE)+'BMP P Tracking Table'!$AT443*VLOOKUP('BMP P Tracking Table'!$R443,'Loading Rates'!$B$1:$L$24,8,FALSE)+'BMP P Tracking Table'!$AU443*VLOOKUP('BMP P Tracking Table'!$R443,'Loading Rates'!$B$1:$L$24,9,FALSE),'BMP P Tracking Table'!$AV443*VLOOKUP('BMP P Tracking Table'!$R443,'Loading Rates'!$B$1:$L$24,10,FALSE))),"")</f>
        <v/>
      </c>
      <c r="BA443" s="104" t="str">
        <f>IFERROR(IF('BMP P Tracking Table'!$AM443="Yes",MIN(2,IF('BMP P Tracking Table'!$AQ443="Total Pervious",(-(3630*'BMP P Tracking Table'!$AP443+20.691*'BMP P Tracking Table'!$AV443)+SQRT((3630*'BMP P Tracking Table'!$AP443+20.691*'BMP P Tracking Table'!$AV443)^2-(4*(996.798*'BMP P Tracking Table'!$AV443)*-'BMP P Tracking Table'!$AX443)))/(2*(996.798*'BMP P Tracking Table'!$AV443)),IF(SUM('BMP P Tracking Table'!$AR443:$AU443)=0,'BMP P Tracking Table'!$AV443/(-3630*'BMP P Tracking Table'!$AP443),(-(3630*'BMP P Tracking Table'!$AP443+20.691*'BMP P Tracking Table'!$AU443-216.711*'BMP P Tracking Table'!$AT443-83.853*'BMP P Tracking Table'!$AS443-42.834*'BMP P Tracking Table'!$AR443)+SQRT((3630*'BMP P Tracking Table'!$AP443+20.691*'BMP P Tracking Table'!$AU443-216.711*'BMP P Tracking Table'!$AT443-83.853*'BMP P Tracking Table'!$AS443-42.834*'BMP P Tracking Table'!$AR443)^2-(4*(149.919*'BMP P Tracking Table'!$AR443+236.676*'BMP P Tracking Table'!$AS443+726*'BMP P Tracking Table'!$AT443+996.798*'BMP P Tracking Table'!$AU443)*-'BMP P Tracking Table'!$AX443)))/(2*(149.919*'BMP P Tracking Table'!$AR443+236.676*'BMP P Tracking Table'!$AS443+726*'BMP P Tracking Table'!$AT443+996.798*'BMP P Tracking Table'!$AU443))))),MIN(2,IF('BMP P Tracking Table'!$AQ443="Total Pervious",(-(3630*'BMP P Tracking Table'!$V443+20.691*'BMP P Tracking Table'!$AB443)+SQRT((3630*'BMP P Tracking Table'!$V443+20.691*'BMP P Tracking Table'!$AB443)^2-(4*(996.798*'BMP P Tracking Table'!$AB443)*-'BMP P Tracking Table'!$AX443)))/(2*(996.798*'BMP P Tracking Table'!$AB443)),IF(SUM('BMP P Tracking Table'!$X443:$AA443)=0,'BMP P Tracking Table'!$AX443/(-3630*'BMP P Tracking Table'!$V443),(-(3630*'BMP P Tracking Table'!$V443+20.691*'BMP P Tracking Table'!$AA443-216.711*'BMP P Tracking Table'!$Z443-83.853*'BMP P Tracking Table'!$Y443-42.834*'BMP P Tracking Table'!$X443)+SQRT((3630*'BMP P Tracking Table'!$V443+20.691*'BMP P Tracking Table'!$AA443-216.711*'BMP P Tracking Table'!$Z443-83.853*'BMP P Tracking Table'!$Y443-42.834*'BMP P Tracking Table'!$X443)^2-(4*(149.919*'BMP P Tracking Table'!$X443+236.676*'BMP P Tracking Table'!$Y443+726*'BMP P Tracking Table'!$Z443+996.798*'BMP P Tracking Table'!$AA443)*-'BMP P Tracking Table'!$AX443)))/(2*(149.919*'BMP P Tracking Table'!$X443+236.676*'BMP P Tracking Table'!$Y443+726*'BMP P Tracking Table'!$Z443+996.798*'BMP P Tracking Table'!$AA443)))))),"")</f>
        <v/>
      </c>
      <c r="BB443" s="102" t="str">
        <f>IFERROR((VLOOKUP(CONCATENATE('BMP P Tracking Table'!$AW443," ",'BMP P Tracking Table'!$AY443),'Performance Curves'!$C$1:$L$46,_xlfn.SINGLE(MATCH('BMP P Tracking Table'!$BA443,'Performance Curves'!$D$1:$L$1,1))+2,FALSE)-VLOOKUP(CONCATENATE('BMP P Tracking Table'!$AW443," ",'BMP P Tracking Table'!$AY443),'Performance Curves'!$C$1:$L$46,_xlfn.SINGLE(MATCH('BMP P Tracking Table'!$BA443,'Performance Curves'!$D$1:$L$1,1))+1,FALSE)),"")</f>
        <v/>
      </c>
      <c r="BC443" s="102" t="str">
        <f>IFERROR(('BMP P Tracking Table'!$BA443-INDEX('Performance Curves'!$D$1:$L$1,1,MATCH('BMP P Tracking Table'!$BA443,'Performance Curves'!$D$1:$L$1,1)))/(INDEX('Performance Curves'!$D$1:$L$1,1,MATCH('BMP P Tracking Table'!$BA443,'Performance Curves'!$D$1:$L$1,1)+1)-INDEX('Performance Curves'!$D$1:$L$1,1,MATCH('BMP P Tracking Table'!$BA443,'Performance Curves'!$D$1:$L$1,1))),"")</f>
        <v/>
      </c>
      <c r="BD443" s="103" t="str" cm="1">
        <f t="array" ref="BD443">IFERROR(IF('BMP P Tracking Table'!$BA443=2,VLOOKUP(CONCATENATE('BMP P Tracking Table'!$AW443," ",'BMP P Tracking Table'!$AY443),'Performance Curves'!$C$1:$L$44,_xlfn.SINGLE(MATCH('BMP P Tracking Table'!$BA443,'Performance Curves'!$D$1:$L$1,1))+1,FALSE),'BMP P Tracking Table'!$BB443*'BMP P Tracking Table'!$BC443+VLOOKUP(CONCATENATE('BMP P Tracking Table'!$AW443," ",'BMP P Tracking Table'!$AY443),'Performance Curves'!$C$1:$L$44,_xlfn.SINGLE(MATCH('BMP P Tracking Table'!$BA443,'Performance Curves'!$D$1:$L$1,1))+1,FALSE)),"")</f>
        <v/>
      </c>
      <c r="BE443" s="104" t="str">
        <f>IFERROR('BMP P Tracking Table'!$BD443*'BMP P Tracking Table'!$AZ443,"")</f>
        <v/>
      </c>
      <c r="BF443" s="92"/>
      <c r="BG443" s="37">
        <f t="shared" si="42"/>
        <v>0</v>
      </c>
    </row>
    <row r="444" spans="2:59" s="36" customFormat="1">
      <c r="B444" s="65"/>
      <c r="C444" s="65"/>
      <c r="D444" s="65"/>
      <c r="E444" s="65"/>
      <c r="F444" s="94"/>
      <c r="G444" s="94"/>
      <c r="H444" s="65"/>
      <c r="I444" s="65"/>
      <c r="J444" s="65"/>
      <c r="K444" s="95"/>
      <c r="L444" s="65"/>
      <c r="M444" s="65"/>
      <c r="N444" s="65"/>
      <c r="O444" s="65"/>
      <c r="P444" s="65"/>
      <c r="Q444" s="65"/>
      <c r="R444" s="65" t="str">
        <f>IFERROR(VLOOKUP('BMP P Tracking Table'!$Q444,Dropdowns!$C$2:$E$15,3,FALSE),"")</f>
        <v/>
      </c>
      <c r="S444" s="65" t="str">
        <f>IFERROR(VLOOKUP('BMP P Tracking Table'!$R444,Dropdowns!$Q$3:$R$23,2,FALSE),"")</f>
        <v/>
      </c>
      <c r="T444" s="65"/>
      <c r="U444" s="65"/>
      <c r="V444" s="65"/>
      <c r="W444" s="65"/>
      <c r="X444" s="65"/>
      <c r="Y444" s="65"/>
      <c r="Z444" s="65"/>
      <c r="AA444" s="65"/>
      <c r="AB444" s="65"/>
      <c r="AC444" s="97"/>
      <c r="AD444" s="65"/>
      <c r="AE444" s="104" t="str">
        <f>IFERROR('BMP P Tracking Table'!$V444*VLOOKUP('BMP P Tracking Table'!$R444,'Loading Rates'!$B$1:$L$24,4,FALSE)+IF('BMP P Tracking Table'!$W444="By HSG",'BMP P Tracking Table'!$X444*VLOOKUP('BMP P Tracking Table'!$R444,'Loading Rates'!$B$1:$L$24,6,FALSE)+'BMP P Tracking Table'!$Y444*VLOOKUP('BMP P Tracking Table'!$R444,'Loading Rates'!$B$1:$L$24,7,FALSE)+'BMP P Tracking Table'!$Z444*VLOOKUP('BMP P Tracking Table'!$R444,'Loading Rates'!$B$1:$L$24,8,FALSE)+'BMP P Tracking Table'!$AA444*VLOOKUP('BMP P Tracking Table'!$R444,'Loading Rates'!$B$1:$L$24,9,FALSE),'BMP P Tracking Table'!$AB444*VLOOKUP('BMP P Tracking Table'!$R444,'Loading Rates'!$B$1:$L$24,10,FALSE)),"")</f>
        <v/>
      </c>
      <c r="AF444" s="104" t="str">
        <f>IFERROR(MIN(2,IF('BMP P Tracking Table'!$W444="Total Pervious",(-(3630*'BMP P Tracking Table'!$V444+20.691*'BMP P Tracking Table'!$AB444)+SQRT((3630*'BMP P Tracking Table'!$V444+20.691*'BMP P Tracking Table'!$AB444)^2-(4*(996.798*'BMP P Tracking Table'!$AB444)*-'BMP P Tracking Table'!$AC444)))/(2*(996.798*'BMP P Tracking Table'!$AB444)),IF(SUM('BMP P Tracking Table'!$X444:$AA444)=0,'BMP P Tracking Table'!$AC444/(-3630*'BMP P Tracking Table'!$V444),(-(3630*'BMP P Tracking Table'!$V444+20.691*'BMP P Tracking Table'!$AA444-216.711*'BMP P Tracking Table'!$Z444-83.853*'BMP P Tracking Table'!$Y444-42.834*'BMP P Tracking Table'!$X444)+SQRT((3630*'BMP P Tracking Table'!$V444+20.691*'BMP P Tracking Table'!$AA444-216.711*'BMP P Tracking Table'!$Z444-83.853*'BMP P Tracking Table'!$Y444-42.834*'BMP P Tracking Table'!$X444)^2-(4*(149.919*'BMP P Tracking Table'!$X444+236.676*'BMP P Tracking Table'!$Y444+726*'BMP P Tracking Table'!$Z444+996.798*'BMP P Tracking Table'!$AA444)*-'BMP P Tracking Table'!$AC444)))/(2*(149.919*'BMP P Tracking Table'!$X444+236.676*'BMP P Tracking Table'!$Y444+726*'BMP P Tracking Table'!$Z444+996.798*'BMP P Tracking Table'!$AA444))))),"")</f>
        <v/>
      </c>
      <c r="AG444" s="104" t="str">
        <f>IFERROR((VLOOKUP(CONCATENATE('BMP P Tracking Table'!$U444," ",'BMP P Tracking Table'!$AD444),'Performance Curves'!$C$1:$L$46,_xlfn.SINGLE(MATCH('BMP P Tracking Table'!$AF444,'Performance Curves'!$D$1:$L$1,1))+2,FALSE)-VLOOKUP(CONCATENATE('BMP P Tracking Table'!$U444," ",'BMP P Tracking Table'!$AD444),'Performance Curves'!$C$1:$L$46,_xlfn.SINGLE(MATCH('BMP P Tracking Table'!$AF444,'Performance Curves'!$D$1:$L$1,1))+1,FALSE)),"")</f>
        <v/>
      </c>
      <c r="AH444" s="104" t="str">
        <f>IFERROR(('BMP P Tracking Table'!$AF444-INDEX('Performance Curves'!$D$1:$L$1,1,MATCH('BMP P Tracking Table'!$AF444,'Performance Curves'!$D$1:$L$1,1)))/(INDEX('Performance Curves'!$D$1:$L$1,1,MATCH('BMP P Tracking Table'!$AF444,'Performance Curves'!$D$1:$L$1,1)+1)-INDEX('Performance Curves'!$D$1:$L$1,1,MATCH('BMP P Tracking Table'!$AF444,'Performance Curves'!$D$1:$L$1,1))),"")</f>
        <v/>
      </c>
      <c r="AI444" s="103" t="str">
        <f>IFERROR(IF('BMP P Tracking Table'!$AF444=2,VLOOKUP(CONCATENATE('BMP P Tracking Table'!$U444," ",'BMP P Tracking Table'!$AD444),'Performance Curves'!$C$1:$L$46,_xlfn.SINGLE(MATCH('BMP P Tracking Table'!$AF444,'Performance Curves'!$D$1:$L$1,1))+1,FALSE),'BMP P Tracking Table'!$AG444*'BMP P Tracking Table'!$AH444+VLOOKUP(CONCATENATE('BMP P Tracking Table'!$U444," ",'BMP P Tracking Table'!$AD444),'Performance Curves'!$C$1:$L$46,_xlfn.SINGLE(MATCH('BMP P Tracking Table'!$AF444,'Performance Curves'!$D$1:$L$1,1))+1,FALSE)),"")</f>
        <v/>
      </c>
      <c r="AJ444" s="104" t="str">
        <f>IFERROR('BMP P Tracking Table'!$AI444*'BMP P Tracking Table'!$AE444,"")</f>
        <v/>
      </c>
      <c r="AK444" s="65"/>
      <c r="AL444" s="98"/>
      <c r="AM444" s="98"/>
      <c r="AN444" s="64">
        <v>1</v>
      </c>
      <c r="AO444" s="102" t="str">
        <f t="shared" si="41"/>
        <v/>
      </c>
      <c r="AP444" s="98"/>
      <c r="AQ444" s="98"/>
      <c r="AR444" s="98"/>
      <c r="AS444" s="98"/>
      <c r="AT444" s="98"/>
      <c r="AU444" s="98"/>
      <c r="AV444" s="98"/>
      <c r="AW444" s="65"/>
      <c r="AX444" s="99"/>
      <c r="AY444" s="99"/>
      <c r="AZ444" s="104" t="str">
        <f>IF('BMP P Tracking Table'!$AL444="Yes",IF('BMP P Tracking Table'!$AM444="No",'BMP P Tracking Table'!$V444*VLOOKUP('BMP P Tracking Table'!$R444,'Loading Rates'!$B$1:$L$24,4,FALSE)+IF('BMP P Tracking Table'!$W444="By HSG",'BMP P Tracking Table'!$X444*VLOOKUP('BMP P Tracking Table'!$R444,'Loading Rates'!$B$1:$L$24,6,FALSE)+'BMP P Tracking Table'!$Y444*VLOOKUP('BMP P Tracking Table'!$R444,'Loading Rates'!$B$1:$L$24,7,FALSE)+'BMP P Tracking Table'!$Z444*VLOOKUP('BMP P Tracking Table'!$R444,'Loading Rates'!$B$1:$L$24,8,FALSE)+'BMP P Tracking Table'!$AA444*VLOOKUP('BMP P Tracking Table'!$R444,'Loading Rates'!$B$1:$L$24,9,FALSE),'BMP P Tracking Table'!$AB444*VLOOKUP('BMP P Tracking Table'!$R444,'Loading Rates'!$B$1:$L$24,10,FALSE)),'BMP P Tracking Table'!$AP444*VLOOKUP('BMP P Tracking Table'!$R444,'Loading Rates'!$B$1:$L$24,4,FALSE)+IF('BMP P Tracking Table'!$AQ444="By HSG",'BMP P Tracking Table'!$AR444*VLOOKUP('BMP P Tracking Table'!$R444,'Loading Rates'!$B$1:$L$24,6,FALSE)+'BMP P Tracking Table'!$AS444*VLOOKUP('BMP P Tracking Table'!$R444,'Loading Rates'!$B$1:$L$24,7,FALSE)+'BMP P Tracking Table'!$AT444*VLOOKUP('BMP P Tracking Table'!$R444,'Loading Rates'!$B$1:$L$24,8,FALSE)+'BMP P Tracking Table'!$AU444*VLOOKUP('BMP P Tracking Table'!$R444,'Loading Rates'!$B$1:$L$24,9,FALSE),'BMP P Tracking Table'!$AV444*VLOOKUP('BMP P Tracking Table'!$R444,'Loading Rates'!$B$1:$L$24,10,FALSE))),"")</f>
        <v/>
      </c>
      <c r="BA444" s="104" t="str">
        <f>IFERROR(IF('BMP P Tracking Table'!$AM444="Yes",MIN(2,IF('BMP P Tracking Table'!$AQ444="Total Pervious",(-(3630*'BMP P Tracking Table'!$AP444+20.691*'BMP P Tracking Table'!$AV444)+SQRT((3630*'BMP P Tracking Table'!$AP444+20.691*'BMP P Tracking Table'!$AV444)^2-(4*(996.798*'BMP P Tracking Table'!$AV444)*-'BMP P Tracking Table'!$AX444)))/(2*(996.798*'BMP P Tracking Table'!$AV444)),IF(SUM('BMP P Tracking Table'!$AR444:$AU444)=0,'BMP P Tracking Table'!$AV444/(-3630*'BMP P Tracking Table'!$AP444),(-(3630*'BMP P Tracking Table'!$AP444+20.691*'BMP P Tracking Table'!$AU444-216.711*'BMP P Tracking Table'!$AT444-83.853*'BMP P Tracking Table'!$AS444-42.834*'BMP P Tracking Table'!$AR444)+SQRT((3630*'BMP P Tracking Table'!$AP444+20.691*'BMP P Tracking Table'!$AU444-216.711*'BMP P Tracking Table'!$AT444-83.853*'BMP P Tracking Table'!$AS444-42.834*'BMP P Tracking Table'!$AR444)^2-(4*(149.919*'BMP P Tracking Table'!$AR444+236.676*'BMP P Tracking Table'!$AS444+726*'BMP P Tracking Table'!$AT444+996.798*'BMP P Tracking Table'!$AU444)*-'BMP P Tracking Table'!$AX444)))/(2*(149.919*'BMP P Tracking Table'!$AR444+236.676*'BMP P Tracking Table'!$AS444+726*'BMP P Tracking Table'!$AT444+996.798*'BMP P Tracking Table'!$AU444))))),MIN(2,IF('BMP P Tracking Table'!$AQ444="Total Pervious",(-(3630*'BMP P Tracking Table'!$V444+20.691*'BMP P Tracking Table'!$AB444)+SQRT((3630*'BMP P Tracking Table'!$V444+20.691*'BMP P Tracking Table'!$AB444)^2-(4*(996.798*'BMP P Tracking Table'!$AB444)*-'BMP P Tracking Table'!$AX444)))/(2*(996.798*'BMP P Tracking Table'!$AB444)),IF(SUM('BMP P Tracking Table'!$X444:$AA444)=0,'BMP P Tracking Table'!$AX444/(-3630*'BMP P Tracking Table'!$V444),(-(3630*'BMP P Tracking Table'!$V444+20.691*'BMP P Tracking Table'!$AA444-216.711*'BMP P Tracking Table'!$Z444-83.853*'BMP P Tracking Table'!$Y444-42.834*'BMP P Tracking Table'!$X444)+SQRT((3630*'BMP P Tracking Table'!$V444+20.691*'BMP P Tracking Table'!$AA444-216.711*'BMP P Tracking Table'!$Z444-83.853*'BMP P Tracking Table'!$Y444-42.834*'BMP P Tracking Table'!$X444)^2-(4*(149.919*'BMP P Tracking Table'!$X444+236.676*'BMP P Tracking Table'!$Y444+726*'BMP P Tracking Table'!$Z444+996.798*'BMP P Tracking Table'!$AA444)*-'BMP P Tracking Table'!$AX444)))/(2*(149.919*'BMP P Tracking Table'!$X444+236.676*'BMP P Tracking Table'!$Y444+726*'BMP P Tracking Table'!$Z444+996.798*'BMP P Tracking Table'!$AA444)))))),"")</f>
        <v/>
      </c>
      <c r="BB444" s="102" t="str">
        <f>IFERROR((VLOOKUP(CONCATENATE('BMP P Tracking Table'!$AW444," ",'BMP P Tracking Table'!$AY444),'Performance Curves'!$C$1:$L$46,_xlfn.SINGLE(MATCH('BMP P Tracking Table'!$BA444,'Performance Curves'!$D$1:$L$1,1))+2,FALSE)-VLOOKUP(CONCATENATE('BMP P Tracking Table'!$AW444," ",'BMP P Tracking Table'!$AY444),'Performance Curves'!$C$1:$L$46,_xlfn.SINGLE(MATCH('BMP P Tracking Table'!$BA444,'Performance Curves'!$D$1:$L$1,1))+1,FALSE)),"")</f>
        <v/>
      </c>
      <c r="BC444" s="102" t="str">
        <f>IFERROR(('BMP P Tracking Table'!$BA444-INDEX('Performance Curves'!$D$1:$L$1,1,MATCH('BMP P Tracking Table'!$BA444,'Performance Curves'!$D$1:$L$1,1)))/(INDEX('Performance Curves'!$D$1:$L$1,1,MATCH('BMP P Tracking Table'!$BA444,'Performance Curves'!$D$1:$L$1,1)+1)-INDEX('Performance Curves'!$D$1:$L$1,1,MATCH('BMP P Tracking Table'!$BA444,'Performance Curves'!$D$1:$L$1,1))),"")</f>
        <v/>
      </c>
      <c r="BD444" s="103" t="str" cm="1">
        <f t="array" ref="BD444">IFERROR(IF('BMP P Tracking Table'!$BA444=2,VLOOKUP(CONCATENATE('BMP P Tracking Table'!$AW444," ",'BMP P Tracking Table'!$AY444),'Performance Curves'!$C$1:$L$44,_xlfn.SINGLE(MATCH('BMP P Tracking Table'!$BA444,'Performance Curves'!$D$1:$L$1,1))+1,FALSE),'BMP P Tracking Table'!$BB444*'BMP P Tracking Table'!$BC444+VLOOKUP(CONCATENATE('BMP P Tracking Table'!$AW444," ",'BMP P Tracking Table'!$AY444),'Performance Curves'!$C$1:$L$44,_xlfn.SINGLE(MATCH('BMP P Tracking Table'!$BA444,'Performance Curves'!$D$1:$L$1,1))+1,FALSE)),"")</f>
        <v/>
      </c>
      <c r="BE444" s="104" t="str">
        <f>IFERROR('BMP P Tracking Table'!$BD444*'BMP P Tracking Table'!$AZ444,"")</f>
        <v/>
      </c>
      <c r="BF444" s="98"/>
      <c r="BG444" s="37">
        <f t="shared" si="42"/>
        <v>0</v>
      </c>
    </row>
    <row r="445" spans="2:59" s="36" customFormat="1">
      <c r="B445" s="65"/>
      <c r="C445" s="65"/>
      <c r="D445" s="65"/>
      <c r="E445" s="65"/>
      <c r="F445" s="94"/>
      <c r="G445" s="94"/>
      <c r="H445" s="65"/>
      <c r="I445" s="65"/>
      <c r="J445" s="65"/>
      <c r="K445" s="95"/>
      <c r="L445" s="65"/>
      <c r="M445" s="65"/>
      <c r="N445" s="65"/>
      <c r="O445" s="65"/>
      <c r="P445" s="65"/>
      <c r="Q445" s="65"/>
      <c r="R445" s="65" t="str">
        <f>IFERROR(VLOOKUP('BMP P Tracking Table'!$Q445,Dropdowns!$C$2:$E$15,3,FALSE),"")</f>
        <v/>
      </c>
      <c r="S445" s="65" t="str">
        <f>IFERROR(VLOOKUP('BMP P Tracking Table'!$R445,Dropdowns!$Q$3:$R$23,2,FALSE),"")</f>
        <v/>
      </c>
      <c r="T445" s="65"/>
      <c r="U445" s="65"/>
      <c r="V445" s="65"/>
      <c r="W445" s="65"/>
      <c r="X445" s="65"/>
      <c r="Y445" s="65"/>
      <c r="Z445" s="65"/>
      <c r="AA445" s="65"/>
      <c r="AB445" s="65"/>
      <c r="AC445" s="97"/>
      <c r="AD445" s="65"/>
      <c r="AE445" s="104" t="str">
        <f>IFERROR('BMP P Tracking Table'!$V445*VLOOKUP('BMP P Tracking Table'!$R445,'Loading Rates'!$B$1:$L$24,4,FALSE)+IF('BMP P Tracking Table'!$W445="By HSG",'BMP P Tracking Table'!$X445*VLOOKUP('BMP P Tracking Table'!$R445,'Loading Rates'!$B$1:$L$24,6,FALSE)+'BMP P Tracking Table'!$Y445*VLOOKUP('BMP P Tracking Table'!$R445,'Loading Rates'!$B$1:$L$24,7,FALSE)+'BMP P Tracking Table'!$Z445*VLOOKUP('BMP P Tracking Table'!$R445,'Loading Rates'!$B$1:$L$24,8,FALSE)+'BMP P Tracking Table'!$AA445*VLOOKUP('BMP P Tracking Table'!$R445,'Loading Rates'!$B$1:$L$24,9,FALSE),'BMP P Tracking Table'!$AB445*VLOOKUP('BMP P Tracking Table'!$R445,'Loading Rates'!$B$1:$L$24,10,FALSE)),"")</f>
        <v/>
      </c>
      <c r="AF445" s="104" t="str">
        <f>IFERROR(MIN(2,IF('BMP P Tracking Table'!$W445="Total Pervious",(-(3630*'BMP P Tracking Table'!$V445+20.691*'BMP P Tracking Table'!$AB445)+SQRT((3630*'BMP P Tracking Table'!$V445+20.691*'BMP P Tracking Table'!$AB445)^2-(4*(996.798*'BMP P Tracking Table'!$AB445)*-'BMP P Tracking Table'!$AC445)))/(2*(996.798*'BMP P Tracking Table'!$AB445)),IF(SUM('BMP P Tracking Table'!$X445:$AA445)=0,'BMP P Tracking Table'!$AC445/(-3630*'BMP P Tracking Table'!$V445),(-(3630*'BMP P Tracking Table'!$V445+20.691*'BMP P Tracking Table'!$AA445-216.711*'BMP P Tracking Table'!$Z445-83.853*'BMP P Tracking Table'!$Y445-42.834*'BMP P Tracking Table'!$X445)+SQRT((3630*'BMP P Tracking Table'!$V445+20.691*'BMP P Tracking Table'!$AA445-216.711*'BMP P Tracking Table'!$Z445-83.853*'BMP P Tracking Table'!$Y445-42.834*'BMP P Tracking Table'!$X445)^2-(4*(149.919*'BMP P Tracking Table'!$X445+236.676*'BMP P Tracking Table'!$Y445+726*'BMP P Tracking Table'!$Z445+996.798*'BMP P Tracking Table'!$AA445)*-'BMP P Tracking Table'!$AC445)))/(2*(149.919*'BMP P Tracking Table'!$X445+236.676*'BMP P Tracking Table'!$Y445+726*'BMP P Tracking Table'!$Z445+996.798*'BMP P Tracking Table'!$AA445))))),"")</f>
        <v/>
      </c>
      <c r="AG445" s="104" t="str">
        <f>IFERROR((VLOOKUP(CONCATENATE('BMP P Tracking Table'!$U445," ",'BMP P Tracking Table'!$AD445),'Performance Curves'!$C$1:$L$46,_xlfn.SINGLE(MATCH('BMP P Tracking Table'!$AF445,'Performance Curves'!$D$1:$L$1,1))+2,FALSE)-VLOOKUP(CONCATENATE('BMP P Tracking Table'!$U445," ",'BMP P Tracking Table'!$AD445),'Performance Curves'!$C$1:$L$46,_xlfn.SINGLE(MATCH('BMP P Tracking Table'!$AF445,'Performance Curves'!$D$1:$L$1,1))+1,FALSE)),"")</f>
        <v/>
      </c>
      <c r="AH445" s="104" t="str">
        <f>IFERROR(('BMP P Tracking Table'!$AF445-INDEX('Performance Curves'!$D$1:$L$1,1,MATCH('BMP P Tracking Table'!$AF445,'Performance Curves'!$D$1:$L$1,1)))/(INDEX('Performance Curves'!$D$1:$L$1,1,MATCH('BMP P Tracking Table'!$AF445,'Performance Curves'!$D$1:$L$1,1)+1)-INDEX('Performance Curves'!$D$1:$L$1,1,MATCH('BMP P Tracking Table'!$AF445,'Performance Curves'!$D$1:$L$1,1))),"")</f>
        <v/>
      </c>
      <c r="AI445" s="103" t="str">
        <f>IFERROR(IF('BMP P Tracking Table'!$AF445=2,VLOOKUP(CONCATENATE('BMP P Tracking Table'!$U445," ",'BMP P Tracking Table'!$AD445),'Performance Curves'!$C$1:$L$46,_xlfn.SINGLE(MATCH('BMP P Tracking Table'!$AF445,'Performance Curves'!$D$1:$L$1,1))+1,FALSE),'BMP P Tracking Table'!$AG445*'BMP P Tracking Table'!$AH445+VLOOKUP(CONCATENATE('BMP P Tracking Table'!$U445," ",'BMP P Tracking Table'!$AD445),'Performance Curves'!$C$1:$L$46,_xlfn.SINGLE(MATCH('BMP P Tracking Table'!$AF445,'Performance Curves'!$D$1:$L$1,1))+1,FALSE)),"")</f>
        <v/>
      </c>
      <c r="AJ445" s="104" t="str">
        <f>IFERROR('BMP P Tracking Table'!$AI445*'BMP P Tracking Table'!$AE445,"")</f>
        <v/>
      </c>
      <c r="AK445" s="65"/>
      <c r="AL445" s="98"/>
      <c r="AM445" s="98"/>
      <c r="AN445" s="64">
        <v>1</v>
      </c>
      <c r="AO445" s="102" t="str">
        <f t="shared" si="41"/>
        <v/>
      </c>
      <c r="AP445" s="98"/>
      <c r="AQ445" s="98"/>
      <c r="AR445" s="98"/>
      <c r="AS445" s="98"/>
      <c r="AT445" s="98"/>
      <c r="AU445" s="98"/>
      <c r="AV445" s="98"/>
      <c r="AW445" s="65"/>
      <c r="AX445" s="99"/>
      <c r="AY445" s="99"/>
      <c r="AZ445" s="104" t="str">
        <f>IF('BMP P Tracking Table'!$AL445="Yes",IF('BMP P Tracking Table'!$AM445="No",'BMP P Tracking Table'!$V445*VLOOKUP('BMP P Tracking Table'!$R445,'Loading Rates'!$B$1:$L$24,4,FALSE)+IF('BMP P Tracking Table'!$W445="By HSG",'BMP P Tracking Table'!$X445*VLOOKUP('BMP P Tracking Table'!$R445,'Loading Rates'!$B$1:$L$24,6,FALSE)+'BMP P Tracking Table'!$Y445*VLOOKUP('BMP P Tracking Table'!$R445,'Loading Rates'!$B$1:$L$24,7,FALSE)+'BMP P Tracking Table'!$Z445*VLOOKUP('BMP P Tracking Table'!$R445,'Loading Rates'!$B$1:$L$24,8,FALSE)+'BMP P Tracking Table'!$AA445*VLOOKUP('BMP P Tracking Table'!$R445,'Loading Rates'!$B$1:$L$24,9,FALSE),'BMP P Tracking Table'!$AB445*VLOOKUP('BMP P Tracking Table'!$R445,'Loading Rates'!$B$1:$L$24,10,FALSE)),'BMP P Tracking Table'!$AP445*VLOOKUP('BMP P Tracking Table'!$R445,'Loading Rates'!$B$1:$L$24,4,FALSE)+IF('BMP P Tracking Table'!$AQ445="By HSG",'BMP P Tracking Table'!$AR445*VLOOKUP('BMP P Tracking Table'!$R445,'Loading Rates'!$B$1:$L$24,6,FALSE)+'BMP P Tracking Table'!$AS445*VLOOKUP('BMP P Tracking Table'!$R445,'Loading Rates'!$B$1:$L$24,7,FALSE)+'BMP P Tracking Table'!$AT445*VLOOKUP('BMP P Tracking Table'!$R445,'Loading Rates'!$B$1:$L$24,8,FALSE)+'BMP P Tracking Table'!$AU445*VLOOKUP('BMP P Tracking Table'!$R445,'Loading Rates'!$B$1:$L$24,9,FALSE),'BMP P Tracking Table'!$AV445*VLOOKUP('BMP P Tracking Table'!$R445,'Loading Rates'!$B$1:$L$24,10,FALSE))),"")</f>
        <v/>
      </c>
      <c r="BA445" s="104" t="str">
        <f>IFERROR(IF('BMP P Tracking Table'!$AM445="Yes",MIN(2,IF('BMP P Tracking Table'!$AQ445="Total Pervious",(-(3630*'BMP P Tracking Table'!$AP445+20.691*'BMP P Tracking Table'!$AV445)+SQRT((3630*'BMP P Tracking Table'!$AP445+20.691*'BMP P Tracking Table'!$AV445)^2-(4*(996.798*'BMP P Tracking Table'!$AV445)*-'BMP P Tracking Table'!$AX445)))/(2*(996.798*'BMP P Tracking Table'!$AV445)),IF(SUM('BMP P Tracking Table'!$AR445:$AU445)=0,'BMP P Tracking Table'!$AV445/(-3630*'BMP P Tracking Table'!$AP445),(-(3630*'BMP P Tracking Table'!$AP445+20.691*'BMP P Tracking Table'!$AU445-216.711*'BMP P Tracking Table'!$AT445-83.853*'BMP P Tracking Table'!$AS445-42.834*'BMP P Tracking Table'!$AR445)+SQRT((3630*'BMP P Tracking Table'!$AP445+20.691*'BMP P Tracking Table'!$AU445-216.711*'BMP P Tracking Table'!$AT445-83.853*'BMP P Tracking Table'!$AS445-42.834*'BMP P Tracking Table'!$AR445)^2-(4*(149.919*'BMP P Tracking Table'!$AR445+236.676*'BMP P Tracking Table'!$AS445+726*'BMP P Tracking Table'!$AT445+996.798*'BMP P Tracking Table'!$AU445)*-'BMP P Tracking Table'!$AX445)))/(2*(149.919*'BMP P Tracking Table'!$AR445+236.676*'BMP P Tracking Table'!$AS445+726*'BMP P Tracking Table'!$AT445+996.798*'BMP P Tracking Table'!$AU445))))),MIN(2,IF('BMP P Tracking Table'!$AQ445="Total Pervious",(-(3630*'BMP P Tracking Table'!$V445+20.691*'BMP P Tracking Table'!$AB445)+SQRT((3630*'BMP P Tracking Table'!$V445+20.691*'BMP P Tracking Table'!$AB445)^2-(4*(996.798*'BMP P Tracking Table'!$AB445)*-'BMP P Tracking Table'!$AX445)))/(2*(996.798*'BMP P Tracking Table'!$AB445)),IF(SUM('BMP P Tracking Table'!$X445:$AA445)=0,'BMP P Tracking Table'!$AX445/(-3630*'BMP P Tracking Table'!$V445),(-(3630*'BMP P Tracking Table'!$V445+20.691*'BMP P Tracking Table'!$AA445-216.711*'BMP P Tracking Table'!$Z445-83.853*'BMP P Tracking Table'!$Y445-42.834*'BMP P Tracking Table'!$X445)+SQRT((3630*'BMP P Tracking Table'!$V445+20.691*'BMP P Tracking Table'!$AA445-216.711*'BMP P Tracking Table'!$Z445-83.853*'BMP P Tracking Table'!$Y445-42.834*'BMP P Tracking Table'!$X445)^2-(4*(149.919*'BMP P Tracking Table'!$X445+236.676*'BMP P Tracking Table'!$Y445+726*'BMP P Tracking Table'!$Z445+996.798*'BMP P Tracking Table'!$AA445)*-'BMP P Tracking Table'!$AX445)))/(2*(149.919*'BMP P Tracking Table'!$X445+236.676*'BMP P Tracking Table'!$Y445+726*'BMP P Tracking Table'!$Z445+996.798*'BMP P Tracking Table'!$AA445)))))),"")</f>
        <v/>
      </c>
      <c r="BB445" s="102" t="str">
        <f>IFERROR((VLOOKUP(CONCATENATE('BMP P Tracking Table'!$AW445," ",'BMP P Tracking Table'!$AY445),'Performance Curves'!$C$1:$L$46,_xlfn.SINGLE(MATCH('BMP P Tracking Table'!$BA445,'Performance Curves'!$D$1:$L$1,1))+2,FALSE)-VLOOKUP(CONCATENATE('BMP P Tracking Table'!$AW445," ",'BMP P Tracking Table'!$AY445),'Performance Curves'!$C$1:$L$46,_xlfn.SINGLE(MATCH('BMP P Tracking Table'!$BA445,'Performance Curves'!$D$1:$L$1,1))+1,FALSE)),"")</f>
        <v/>
      </c>
      <c r="BC445" s="102" t="str">
        <f>IFERROR(('BMP P Tracking Table'!$BA445-INDEX('Performance Curves'!$D$1:$L$1,1,MATCH('BMP P Tracking Table'!$BA445,'Performance Curves'!$D$1:$L$1,1)))/(INDEX('Performance Curves'!$D$1:$L$1,1,MATCH('BMP P Tracking Table'!$BA445,'Performance Curves'!$D$1:$L$1,1)+1)-INDEX('Performance Curves'!$D$1:$L$1,1,MATCH('BMP P Tracking Table'!$BA445,'Performance Curves'!$D$1:$L$1,1))),"")</f>
        <v/>
      </c>
      <c r="BD445" s="103" t="str" cm="1">
        <f t="array" ref="BD445">IFERROR(IF('BMP P Tracking Table'!$BA445=2,VLOOKUP(CONCATENATE('BMP P Tracking Table'!$AW445," ",'BMP P Tracking Table'!$AY445),'Performance Curves'!$C$1:$L$44,_xlfn.SINGLE(MATCH('BMP P Tracking Table'!$BA445,'Performance Curves'!$D$1:$L$1,1))+1,FALSE),'BMP P Tracking Table'!$BB445*'BMP P Tracking Table'!$BC445+VLOOKUP(CONCATENATE('BMP P Tracking Table'!$AW445," ",'BMP P Tracking Table'!$AY445),'Performance Curves'!$C$1:$L$44,_xlfn.SINGLE(MATCH('BMP P Tracking Table'!$BA445,'Performance Curves'!$D$1:$L$1,1))+1,FALSE)),"")</f>
        <v/>
      </c>
      <c r="BE445" s="104" t="str">
        <f>IFERROR('BMP P Tracking Table'!$BD445*'BMP P Tracking Table'!$AZ445,"")</f>
        <v/>
      </c>
      <c r="BF445" s="98"/>
      <c r="BG445" s="37">
        <f t="shared" si="42"/>
        <v>0</v>
      </c>
    </row>
    <row r="446" spans="2:59" s="36" customFormat="1">
      <c r="B446" s="65"/>
      <c r="C446" s="65"/>
      <c r="D446" s="65"/>
      <c r="E446" s="65"/>
      <c r="F446" s="94"/>
      <c r="G446" s="94"/>
      <c r="H446" s="65"/>
      <c r="I446" s="65"/>
      <c r="J446" s="65"/>
      <c r="K446" s="95"/>
      <c r="L446" s="65"/>
      <c r="M446" s="65"/>
      <c r="N446" s="65"/>
      <c r="O446" s="65"/>
      <c r="P446" s="65"/>
      <c r="Q446" s="65"/>
      <c r="R446" s="65" t="str">
        <f>IFERROR(VLOOKUP('BMP P Tracking Table'!$Q446,Dropdowns!$C$2:$E$15,3,FALSE),"")</f>
        <v/>
      </c>
      <c r="S446" s="65" t="str">
        <f>IFERROR(VLOOKUP('BMP P Tracking Table'!$R446,Dropdowns!$Q$3:$R$23,2,FALSE),"")</f>
        <v/>
      </c>
      <c r="T446" s="65"/>
      <c r="U446" s="65"/>
      <c r="V446" s="65"/>
      <c r="W446" s="65"/>
      <c r="X446" s="65"/>
      <c r="Y446" s="65"/>
      <c r="Z446" s="65"/>
      <c r="AA446" s="65"/>
      <c r="AB446" s="65"/>
      <c r="AC446" s="97"/>
      <c r="AD446" s="65"/>
      <c r="AE446" s="104" t="str">
        <f>IFERROR('BMP P Tracking Table'!$V446*VLOOKUP('BMP P Tracking Table'!$R446,'Loading Rates'!$B$1:$L$24,4,FALSE)+IF('BMP P Tracking Table'!$W446="By HSG",'BMP P Tracking Table'!$X446*VLOOKUP('BMP P Tracking Table'!$R446,'Loading Rates'!$B$1:$L$24,6,FALSE)+'BMP P Tracking Table'!$Y446*VLOOKUP('BMP P Tracking Table'!$R446,'Loading Rates'!$B$1:$L$24,7,FALSE)+'BMP P Tracking Table'!$Z446*VLOOKUP('BMP P Tracking Table'!$R446,'Loading Rates'!$B$1:$L$24,8,FALSE)+'BMP P Tracking Table'!$AA446*VLOOKUP('BMP P Tracking Table'!$R446,'Loading Rates'!$B$1:$L$24,9,FALSE),'BMP P Tracking Table'!$AB446*VLOOKUP('BMP P Tracking Table'!$R446,'Loading Rates'!$B$1:$L$24,10,FALSE)),"")</f>
        <v/>
      </c>
      <c r="AF446" s="104" t="str">
        <f>IFERROR(MIN(2,IF('BMP P Tracking Table'!$W446="Total Pervious",(-(3630*'BMP P Tracking Table'!$V446+20.691*'BMP P Tracking Table'!$AB446)+SQRT((3630*'BMP P Tracking Table'!$V446+20.691*'BMP P Tracking Table'!$AB446)^2-(4*(996.798*'BMP P Tracking Table'!$AB446)*-'BMP P Tracking Table'!$AC446)))/(2*(996.798*'BMP P Tracking Table'!$AB446)),IF(SUM('BMP P Tracking Table'!$X446:$AA446)=0,'BMP P Tracking Table'!$AC446/(-3630*'BMP P Tracking Table'!$V446),(-(3630*'BMP P Tracking Table'!$V446+20.691*'BMP P Tracking Table'!$AA446-216.711*'BMP P Tracking Table'!$Z446-83.853*'BMP P Tracking Table'!$Y446-42.834*'BMP P Tracking Table'!$X446)+SQRT((3630*'BMP P Tracking Table'!$V446+20.691*'BMP P Tracking Table'!$AA446-216.711*'BMP P Tracking Table'!$Z446-83.853*'BMP P Tracking Table'!$Y446-42.834*'BMP P Tracking Table'!$X446)^2-(4*(149.919*'BMP P Tracking Table'!$X446+236.676*'BMP P Tracking Table'!$Y446+726*'BMP P Tracking Table'!$Z446+996.798*'BMP P Tracking Table'!$AA446)*-'BMP P Tracking Table'!$AC446)))/(2*(149.919*'BMP P Tracking Table'!$X446+236.676*'BMP P Tracking Table'!$Y446+726*'BMP P Tracking Table'!$Z446+996.798*'BMP P Tracking Table'!$AA446))))),"")</f>
        <v/>
      </c>
      <c r="AG446" s="104" t="str">
        <f>IFERROR((VLOOKUP(CONCATENATE('BMP P Tracking Table'!$U446," ",'BMP P Tracking Table'!$AD446),'Performance Curves'!$C$1:$L$46,_xlfn.SINGLE(MATCH('BMP P Tracking Table'!$AF446,'Performance Curves'!$D$1:$L$1,1))+2,FALSE)-VLOOKUP(CONCATENATE('BMP P Tracking Table'!$U446," ",'BMP P Tracking Table'!$AD446),'Performance Curves'!$C$1:$L$46,_xlfn.SINGLE(MATCH('BMP P Tracking Table'!$AF446,'Performance Curves'!$D$1:$L$1,1))+1,FALSE)),"")</f>
        <v/>
      </c>
      <c r="AH446" s="104" t="str">
        <f>IFERROR(('BMP P Tracking Table'!$AF446-INDEX('Performance Curves'!$D$1:$L$1,1,MATCH('BMP P Tracking Table'!$AF446,'Performance Curves'!$D$1:$L$1,1)))/(INDEX('Performance Curves'!$D$1:$L$1,1,MATCH('BMP P Tracking Table'!$AF446,'Performance Curves'!$D$1:$L$1,1)+1)-INDEX('Performance Curves'!$D$1:$L$1,1,MATCH('BMP P Tracking Table'!$AF446,'Performance Curves'!$D$1:$L$1,1))),"")</f>
        <v/>
      </c>
      <c r="AI446" s="103" t="str">
        <f>IFERROR(IF('BMP P Tracking Table'!$AF446=2,VLOOKUP(CONCATENATE('BMP P Tracking Table'!$U446," ",'BMP P Tracking Table'!$AD446),'Performance Curves'!$C$1:$L$46,_xlfn.SINGLE(MATCH('BMP P Tracking Table'!$AF446,'Performance Curves'!$D$1:$L$1,1))+1,FALSE),'BMP P Tracking Table'!$AG446*'BMP P Tracking Table'!$AH446+VLOOKUP(CONCATENATE('BMP P Tracking Table'!$U446," ",'BMP P Tracking Table'!$AD446),'Performance Curves'!$C$1:$L$46,_xlfn.SINGLE(MATCH('BMP P Tracking Table'!$AF446,'Performance Curves'!$D$1:$L$1,1))+1,FALSE)),"")</f>
        <v/>
      </c>
      <c r="AJ446" s="104" t="str">
        <f>IFERROR('BMP P Tracking Table'!$AI446*'BMP P Tracking Table'!$AE446,"")</f>
        <v/>
      </c>
      <c r="AK446" s="65"/>
      <c r="AL446" s="98"/>
      <c r="AM446" s="98"/>
      <c r="AN446" s="64">
        <v>1</v>
      </c>
      <c r="AO446" s="102" t="str">
        <f t="shared" si="41"/>
        <v/>
      </c>
      <c r="AP446" s="98"/>
      <c r="AQ446" s="98"/>
      <c r="AR446" s="98"/>
      <c r="AS446" s="98"/>
      <c r="AT446" s="98"/>
      <c r="AU446" s="98"/>
      <c r="AV446" s="98"/>
      <c r="AW446" s="65"/>
      <c r="AX446" s="99"/>
      <c r="AY446" s="99"/>
      <c r="AZ446" s="104" t="str">
        <f>IF('BMP P Tracking Table'!$AL446="Yes",IF('BMP P Tracking Table'!$AM446="No",'BMP P Tracking Table'!$V446*VLOOKUP('BMP P Tracking Table'!$R446,'Loading Rates'!$B$1:$L$24,4,FALSE)+IF('BMP P Tracking Table'!$W446="By HSG",'BMP P Tracking Table'!$X446*VLOOKUP('BMP P Tracking Table'!$R446,'Loading Rates'!$B$1:$L$24,6,FALSE)+'BMP P Tracking Table'!$Y446*VLOOKUP('BMP P Tracking Table'!$R446,'Loading Rates'!$B$1:$L$24,7,FALSE)+'BMP P Tracking Table'!$Z446*VLOOKUP('BMP P Tracking Table'!$R446,'Loading Rates'!$B$1:$L$24,8,FALSE)+'BMP P Tracking Table'!$AA446*VLOOKUP('BMP P Tracking Table'!$R446,'Loading Rates'!$B$1:$L$24,9,FALSE),'BMP P Tracking Table'!$AB446*VLOOKUP('BMP P Tracking Table'!$R446,'Loading Rates'!$B$1:$L$24,10,FALSE)),'BMP P Tracking Table'!$AP446*VLOOKUP('BMP P Tracking Table'!$R446,'Loading Rates'!$B$1:$L$24,4,FALSE)+IF('BMP P Tracking Table'!$AQ446="By HSG",'BMP P Tracking Table'!$AR446*VLOOKUP('BMP P Tracking Table'!$R446,'Loading Rates'!$B$1:$L$24,6,FALSE)+'BMP P Tracking Table'!$AS446*VLOOKUP('BMP P Tracking Table'!$R446,'Loading Rates'!$B$1:$L$24,7,FALSE)+'BMP P Tracking Table'!$AT446*VLOOKUP('BMP P Tracking Table'!$R446,'Loading Rates'!$B$1:$L$24,8,FALSE)+'BMP P Tracking Table'!$AU446*VLOOKUP('BMP P Tracking Table'!$R446,'Loading Rates'!$B$1:$L$24,9,FALSE),'BMP P Tracking Table'!$AV446*VLOOKUP('BMP P Tracking Table'!$R446,'Loading Rates'!$B$1:$L$24,10,FALSE))),"")</f>
        <v/>
      </c>
      <c r="BA446" s="104" t="str">
        <f>IFERROR(IF('BMP P Tracking Table'!$AM446="Yes",MIN(2,IF('BMP P Tracking Table'!$AQ446="Total Pervious",(-(3630*'BMP P Tracking Table'!$AP446+20.691*'BMP P Tracking Table'!$AV446)+SQRT((3630*'BMP P Tracking Table'!$AP446+20.691*'BMP P Tracking Table'!$AV446)^2-(4*(996.798*'BMP P Tracking Table'!$AV446)*-'BMP P Tracking Table'!$AX446)))/(2*(996.798*'BMP P Tracking Table'!$AV446)),IF(SUM('BMP P Tracking Table'!$AR446:$AU446)=0,'BMP P Tracking Table'!$AV446/(-3630*'BMP P Tracking Table'!$AP446),(-(3630*'BMP P Tracking Table'!$AP446+20.691*'BMP P Tracking Table'!$AU446-216.711*'BMP P Tracking Table'!$AT446-83.853*'BMP P Tracking Table'!$AS446-42.834*'BMP P Tracking Table'!$AR446)+SQRT((3630*'BMP P Tracking Table'!$AP446+20.691*'BMP P Tracking Table'!$AU446-216.711*'BMP P Tracking Table'!$AT446-83.853*'BMP P Tracking Table'!$AS446-42.834*'BMP P Tracking Table'!$AR446)^2-(4*(149.919*'BMP P Tracking Table'!$AR446+236.676*'BMP P Tracking Table'!$AS446+726*'BMP P Tracking Table'!$AT446+996.798*'BMP P Tracking Table'!$AU446)*-'BMP P Tracking Table'!$AX446)))/(2*(149.919*'BMP P Tracking Table'!$AR446+236.676*'BMP P Tracking Table'!$AS446+726*'BMP P Tracking Table'!$AT446+996.798*'BMP P Tracking Table'!$AU446))))),MIN(2,IF('BMP P Tracking Table'!$AQ446="Total Pervious",(-(3630*'BMP P Tracking Table'!$V446+20.691*'BMP P Tracking Table'!$AB446)+SQRT((3630*'BMP P Tracking Table'!$V446+20.691*'BMP P Tracking Table'!$AB446)^2-(4*(996.798*'BMP P Tracking Table'!$AB446)*-'BMP P Tracking Table'!$AX446)))/(2*(996.798*'BMP P Tracking Table'!$AB446)),IF(SUM('BMP P Tracking Table'!$X446:$AA446)=0,'BMP P Tracking Table'!$AX446/(-3630*'BMP P Tracking Table'!$V446),(-(3630*'BMP P Tracking Table'!$V446+20.691*'BMP P Tracking Table'!$AA446-216.711*'BMP P Tracking Table'!$Z446-83.853*'BMP P Tracking Table'!$Y446-42.834*'BMP P Tracking Table'!$X446)+SQRT((3630*'BMP P Tracking Table'!$V446+20.691*'BMP P Tracking Table'!$AA446-216.711*'BMP P Tracking Table'!$Z446-83.853*'BMP P Tracking Table'!$Y446-42.834*'BMP P Tracking Table'!$X446)^2-(4*(149.919*'BMP P Tracking Table'!$X446+236.676*'BMP P Tracking Table'!$Y446+726*'BMP P Tracking Table'!$Z446+996.798*'BMP P Tracking Table'!$AA446)*-'BMP P Tracking Table'!$AX446)))/(2*(149.919*'BMP P Tracking Table'!$X446+236.676*'BMP P Tracking Table'!$Y446+726*'BMP P Tracking Table'!$Z446+996.798*'BMP P Tracking Table'!$AA446)))))),"")</f>
        <v/>
      </c>
      <c r="BB446" s="102" t="str">
        <f>IFERROR((VLOOKUP(CONCATENATE('BMP P Tracking Table'!$AW446," ",'BMP P Tracking Table'!$AY446),'Performance Curves'!$C$1:$L$46,_xlfn.SINGLE(MATCH('BMP P Tracking Table'!$BA446,'Performance Curves'!$D$1:$L$1,1))+2,FALSE)-VLOOKUP(CONCATENATE('BMP P Tracking Table'!$AW446," ",'BMP P Tracking Table'!$AY446),'Performance Curves'!$C$1:$L$46,_xlfn.SINGLE(MATCH('BMP P Tracking Table'!$BA446,'Performance Curves'!$D$1:$L$1,1))+1,FALSE)),"")</f>
        <v/>
      </c>
      <c r="BC446" s="102" t="str">
        <f>IFERROR(('BMP P Tracking Table'!$BA446-INDEX('Performance Curves'!$D$1:$L$1,1,MATCH('BMP P Tracking Table'!$BA446,'Performance Curves'!$D$1:$L$1,1)))/(INDEX('Performance Curves'!$D$1:$L$1,1,MATCH('BMP P Tracking Table'!$BA446,'Performance Curves'!$D$1:$L$1,1)+1)-INDEX('Performance Curves'!$D$1:$L$1,1,MATCH('BMP P Tracking Table'!$BA446,'Performance Curves'!$D$1:$L$1,1))),"")</f>
        <v/>
      </c>
      <c r="BD446" s="103" t="str" cm="1">
        <f t="array" ref="BD446">IFERROR(IF('BMP P Tracking Table'!$BA446=2,VLOOKUP(CONCATENATE('BMP P Tracking Table'!$AW446," ",'BMP P Tracking Table'!$AY446),'Performance Curves'!$C$1:$L$44,_xlfn.SINGLE(MATCH('BMP P Tracking Table'!$BA446,'Performance Curves'!$D$1:$L$1,1))+1,FALSE),'BMP P Tracking Table'!$BB446*'BMP P Tracking Table'!$BC446+VLOOKUP(CONCATENATE('BMP P Tracking Table'!$AW446," ",'BMP P Tracking Table'!$AY446),'Performance Curves'!$C$1:$L$44,_xlfn.SINGLE(MATCH('BMP P Tracking Table'!$BA446,'Performance Curves'!$D$1:$L$1,1))+1,FALSE)),"")</f>
        <v/>
      </c>
      <c r="BE446" s="104" t="str">
        <f>IFERROR('BMP P Tracking Table'!$BD446*'BMP P Tracking Table'!$AZ446,"")</f>
        <v/>
      </c>
      <c r="BF446" s="98"/>
      <c r="BG446" s="37">
        <f t="shared" si="42"/>
        <v>0</v>
      </c>
    </row>
    <row r="447" spans="2:59" s="36" customFormat="1">
      <c r="B447" s="65"/>
      <c r="C447" s="65"/>
      <c r="D447" s="65"/>
      <c r="E447" s="65"/>
      <c r="F447" s="94"/>
      <c r="G447" s="94"/>
      <c r="H447" s="65"/>
      <c r="I447" s="65"/>
      <c r="J447" s="65"/>
      <c r="K447" s="95"/>
      <c r="L447" s="65"/>
      <c r="M447" s="65"/>
      <c r="N447" s="65"/>
      <c r="O447" s="65"/>
      <c r="P447" s="65"/>
      <c r="Q447" s="65"/>
      <c r="R447" s="65" t="str">
        <f>IFERROR(VLOOKUP('BMP P Tracking Table'!$Q447,Dropdowns!$C$2:$E$15,3,FALSE),"")</f>
        <v/>
      </c>
      <c r="S447" s="65" t="str">
        <f>IFERROR(VLOOKUP('BMP P Tracking Table'!$R447,Dropdowns!$Q$3:$R$23,2,FALSE),"")</f>
        <v/>
      </c>
      <c r="T447" s="65"/>
      <c r="U447" s="65"/>
      <c r="V447" s="65"/>
      <c r="W447" s="65"/>
      <c r="X447" s="65"/>
      <c r="Y447" s="65"/>
      <c r="Z447" s="65"/>
      <c r="AA447" s="65"/>
      <c r="AB447" s="65"/>
      <c r="AC447" s="97"/>
      <c r="AD447" s="65"/>
      <c r="AE447" s="104" t="str">
        <f>IFERROR('BMP P Tracking Table'!$V447*VLOOKUP('BMP P Tracking Table'!$R447,'Loading Rates'!$B$1:$L$24,4,FALSE)+IF('BMP P Tracking Table'!$W447="By HSG",'BMP P Tracking Table'!$X447*VLOOKUP('BMP P Tracking Table'!$R447,'Loading Rates'!$B$1:$L$24,6,FALSE)+'BMP P Tracking Table'!$Y447*VLOOKUP('BMP P Tracking Table'!$R447,'Loading Rates'!$B$1:$L$24,7,FALSE)+'BMP P Tracking Table'!$Z447*VLOOKUP('BMP P Tracking Table'!$R447,'Loading Rates'!$B$1:$L$24,8,FALSE)+'BMP P Tracking Table'!$AA447*VLOOKUP('BMP P Tracking Table'!$R447,'Loading Rates'!$B$1:$L$24,9,FALSE),'BMP P Tracking Table'!$AB447*VLOOKUP('BMP P Tracking Table'!$R447,'Loading Rates'!$B$1:$L$24,10,FALSE)),"")</f>
        <v/>
      </c>
      <c r="AF447" s="104" t="str">
        <f>IFERROR(MIN(2,IF('BMP P Tracking Table'!$W447="Total Pervious",(-(3630*'BMP P Tracking Table'!$V447+20.691*'BMP P Tracking Table'!$AB447)+SQRT((3630*'BMP P Tracking Table'!$V447+20.691*'BMP P Tracking Table'!$AB447)^2-(4*(996.798*'BMP P Tracking Table'!$AB447)*-'BMP P Tracking Table'!$AC447)))/(2*(996.798*'BMP P Tracking Table'!$AB447)),IF(SUM('BMP P Tracking Table'!$X447:$AA447)=0,'BMP P Tracking Table'!$AC447/(-3630*'BMP P Tracking Table'!$V447),(-(3630*'BMP P Tracking Table'!$V447+20.691*'BMP P Tracking Table'!$AA447-216.711*'BMP P Tracking Table'!$Z447-83.853*'BMP P Tracking Table'!$Y447-42.834*'BMP P Tracking Table'!$X447)+SQRT((3630*'BMP P Tracking Table'!$V447+20.691*'BMP P Tracking Table'!$AA447-216.711*'BMP P Tracking Table'!$Z447-83.853*'BMP P Tracking Table'!$Y447-42.834*'BMP P Tracking Table'!$X447)^2-(4*(149.919*'BMP P Tracking Table'!$X447+236.676*'BMP P Tracking Table'!$Y447+726*'BMP P Tracking Table'!$Z447+996.798*'BMP P Tracking Table'!$AA447)*-'BMP P Tracking Table'!$AC447)))/(2*(149.919*'BMP P Tracking Table'!$X447+236.676*'BMP P Tracking Table'!$Y447+726*'BMP P Tracking Table'!$Z447+996.798*'BMP P Tracking Table'!$AA447))))),"")</f>
        <v/>
      </c>
      <c r="AG447" s="104" t="str">
        <f>IFERROR((VLOOKUP(CONCATENATE('BMP P Tracking Table'!$U447," ",'BMP P Tracking Table'!$AD447),'Performance Curves'!$C$1:$L$46,_xlfn.SINGLE(MATCH('BMP P Tracking Table'!$AF447,'Performance Curves'!$D$1:$L$1,1))+2,FALSE)-VLOOKUP(CONCATENATE('BMP P Tracking Table'!$U447," ",'BMP P Tracking Table'!$AD447),'Performance Curves'!$C$1:$L$46,_xlfn.SINGLE(MATCH('BMP P Tracking Table'!$AF447,'Performance Curves'!$D$1:$L$1,1))+1,FALSE)),"")</f>
        <v/>
      </c>
      <c r="AH447" s="104" t="str">
        <f>IFERROR(('BMP P Tracking Table'!$AF447-INDEX('Performance Curves'!$D$1:$L$1,1,MATCH('BMP P Tracking Table'!$AF447,'Performance Curves'!$D$1:$L$1,1)))/(INDEX('Performance Curves'!$D$1:$L$1,1,MATCH('BMP P Tracking Table'!$AF447,'Performance Curves'!$D$1:$L$1,1)+1)-INDEX('Performance Curves'!$D$1:$L$1,1,MATCH('BMP P Tracking Table'!$AF447,'Performance Curves'!$D$1:$L$1,1))),"")</f>
        <v/>
      </c>
      <c r="AI447" s="103" t="str">
        <f>IFERROR(IF('BMP P Tracking Table'!$AF447=2,VLOOKUP(CONCATENATE('BMP P Tracking Table'!$U447," ",'BMP P Tracking Table'!$AD447),'Performance Curves'!$C$1:$L$46,_xlfn.SINGLE(MATCH('BMP P Tracking Table'!$AF447,'Performance Curves'!$D$1:$L$1,1))+1,FALSE),'BMP P Tracking Table'!$AG447*'BMP P Tracking Table'!$AH447+VLOOKUP(CONCATENATE('BMP P Tracking Table'!$U447," ",'BMP P Tracking Table'!$AD447),'Performance Curves'!$C$1:$L$46,_xlfn.SINGLE(MATCH('BMP P Tracking Table'!$AF447,'Performance Curves'!$D$1:$L$1,1))+1,FALSE)),"")</f>
        <v/>
      </c>
      <c r="AJ447" s="104" t="str">
        <f>IFERROR('BMP P Tracking Table'!$AI447*'BMP P Tracking Table'!$AE447,"")</f>
        <v/>
      </c>
      <c r="AK447" s="65"/>
      <c r="AL447" s="98"/>
      <c r="AM447" s="98"/>
      <c r="AN447" s="64">
        <v>1</v>
      </c>
      <c r="AO447" s="102" t="str">
        <f t="shared" si="41"/>
        <v/>
      </c>
      <c r="AP447" s="98"/>
      <c r="AQ447" s="98"/>
      <c r="AR447" s="98"/>
      <c r="AS447" s="98"/>
      <c r="AT447" s="98"/>
      <c r="AU447" s="98"/>
      <c r="AV447" s="98"/>
      <c r="AW447" s="65"/>
      <c r="AX447" s="99"/>
      <c r="AY447" s="99"/>
      <c r="AZ447" s="104" t="str">
        <f>IF('BMP P Tracking Table'!$AL447="Yes",IF('BMP P Tracking Table'!$AM447="No",'BMP P Tracking Table'!$V447*VLOOKUP('BMP P Tracking Table'!$R447,'Loading Rates'!$B$1:$L$24,4,FALSE)+IF('BMP P Tracking Table'!$W447="By HSG",'BMP P Tracking Table'!$X447*VLOOKUP('BMP P Tracking Table'!$R447,'Loading Rates'!$B$1:$L$24,6,FALSE)+'BMP P Tracking Table'!$Y447*VLOOKUP('BMP P Tracking Table'!$R447,'Loading Rates'!$B$1:$L$24,7,FALSE)+'BMP P Tracking Table'!$Z447*VLOOKUP('BMP P Tracking Table'!$R447,'Loading Rates'!$B$1:$L$24,8,FALSE)+'BMP P Tracking Table'!$AA447*VLOOKUP('BMP P Tracking Table'!$R447,'Loading Rates'!$B$1:$L$24,9,FALSE),'BMP P Tracking Table'!$AB447*VLOOKUP('BMP P Tracking Table'!$R447,'Loading Rates'!$B$1:$L$24,10,FALSE)),'BMP P Tracking Table'!$AP447*VLOOKUP('BMP P Tracking Table'!$R447,'Loading Rates'!$B$1:$L$24,4,FALSE)+IF('BMP P Tracking Table'!$AQ447="By HSG",'BMP P Tracking Table'!$AR447*VLOOKUP('BMP P Tracking Table'!$R447,'Loading Rates'!$B$1:$L$24,6,FALSE)+'BMP P Tracking Table'!$AS447*VLOOKUP('BMP P Tracking Table'!$R447,'Loading Rates'!$B$1:$L$24,7,FALSE)+'BMP P Tracking Table'!$AT447*VLOOKUP('BMP P Tracking Table'!$R447,'Loading Rates'!$B$1:$L$24,8,FALSE)+'BMP P Tracking Table'!$AU447*VLOOKUP('BMP P Tracking Table'!$R447,'Loading Rates'!$B$1:$L$24,9,FALSE),'BMP P Tracking Table'!$AV447*VLOOKUP('BMP P Tracking Table'!$R447,'Loading Rates'!$B$1:$L$24,10,FALSE))),"")</f>
        <v/>
      </c>
      <c r="BA447" s="104" t="str">
        <f>IFERROR(IF('BMP P Tracking Table'!$AM447="Yes",MIN(2,IF('BMP P Tracking Table'!$AQ447="Total Pervious",(-(3630*'BMP P Tracking Table'!$AP447+20.691*'BMP P Tracking Table'!$AV447)+SQRT((3630*'BMP P Tracking Table'!$AP447+20.691*'BMP P Tracking Table'!$AV447)^2-(4*(996.798*'BMP P Tracking Table'!$AV447)*-'BMP P Tracking Table'!$AX447)))/(2*(996.798*'BMP P Tracking Table'!$AV447)),IF(SUM('BMP P Tracking Table'!$AR447:$AU447)=0,'BMP P Tracking Table'!$AV447/(-3630*'BMP P Tracking Table'!$AP447),(-(3630*'BMP P Tracking Table'!$AP447+20.691*'BMP P Tracking Table'!$AU447-216.711*'BMP P Tracking Table'!$AT447-83.853*'BMP P Tracking Table'!$AS447-42.834*'BMP P Tracking Table'!$AR447)+SQRT((3630*'BMP P Tracking Table'!$AP447+20.691*'BMP P Tracking Table'!$AU447-216.711*'BMP P Tracking Table'!$AT447-83.853*'BMP P Tracking Table'!$AS447-42.834*'BMP P Tracking Table'!$AR447)^2-(4*(149.919*'BMP P Tracking Table'!$AR447+236.676*'BMP P Tracking Table'!$AS447+726*'BMP P Tracking Table'!$AT447+996.798*'BMP P Tracking Table'!$AU447)*-'BMP P Tracking Table'!$AX447)))/(2*(149.919*'BMP P Tracking Table'!$AR447+236.676*'BMP P Tracking Table'!$AS447+726*'BMP P Tracking Table'!$AT447+996.798*'BMP P Tracking Table'!$AU447))))),MIN(2,IF('BMP P Tracking Table'!$AQ447="Total Pervious",(-(3630*'BMP P Tracking Table'!$V447+20.691*'BMP P Tracking Table'!$AB447)+SQRT((3630*'BMP P Tracking Table'!$V447+20.691*'BMP P Tracking Table'!$AB447)^2-(4*(996.798*'BMP P Tracking Table'!$AB447)*-'BMP P Tracking Table'!$AX447)))/(2*(996.798*'BMP P Tracking Table'!$AB447)),IF(SUM('BMP P Tracking Table'!$X447:$AA447)=0,'BMP P Tracking Table'!$AX447/(-3630*'BMP P Tracking Table'!$V447),(-(3630*'BMP P Tracking Table'!$V447+20.691*'BMP P Tracking Table'!$AA447-216.711*'BMP P Tracking Table'!$Z447-83.853*'BMP P Tracking Table'!$Y447-42.834*'BMP P Tracking Table'!$X447)+SQRT((3630*'BMP P Tracking Table'!$V447+20.691*'BMP P Tracking Table'!$AA447-216.711*'BMP P Tracking Table'!$Z447-83.853*'BMP P Tracking Table'!$Y447-42.834*'BMP P Tracking Table'!$X447)^2-(4*(149.919*'BMP P Tracking Table'!$X447+236.676*'BMP P Tracking Table'!$Y447+726*'BMP P Tracking Table'!$Z447+996.798*'BMP P Tracking Table'!$AA447)*-'BMP P Tracking Table'!$AX447)))/(2*(149.919*'BMP P Tracking Table'!$X447+236.676*'BMP P Tracking Table'!$Y447+726*'BMP P Tracking Table'!$Z447+996.798*'BMP P Tracking Table'!$AA447)))))),"")</f>
        <v/>
      </c>
      <c r="BB447" s="102" t="str">
        <f>IFERROR((VLOOKUP(CONCATENATE('BMP P Tracking Table'!$AW447," ",'BMP P Tracking Table'!$AY447),'Performance Curves'!$C$1:$L$46,_xlfn.SINGLE(MATCH('BMP P Tracking Table'!$BA447,'Performance Curves'!$D$1:$L$1,1))+2,FALSE)-VLOOKUP(CONCATENATE('BMP P Tracking Table'!$AW447," ",'BMP P Tracking Table'!$AY447),'Performance Curves'!$C$1:$L$46,_xlfn.SINGLE(MATCH('BMP P Tracking Table'!$BA447,'Performance Curves'!$D$1:$L$1,1))+1,FALSE)),"")</f>
        <v/>
      </c>
      <c r="BC447" s="102" t="str">
        <f>IFERROR(('BMP P Tracking Table'!$BA447-INDEX('Performance Curves'!$D$1:$L$1,1,MATCH('BMP P Tracking Table'!$BA447,'Performance Curves'!$D$1:$L$1,1)))/(INDEX('Performance Curves'!$D$1:$L$1,1,MATCH('BMP P Tracking Table'!$BA447,'Performance Curves'!$D$1:$L$1,1)+1)-INDEX('Performance Curves'!$D$1:$L$1,1,MATCH('BMP P Tracking Table'!$BA447,'Performance Curves'!$D$1:$L$1,1))),"")</f>
        <v/>
      </c>
      <c r="BD447" s="103" t="str" cm="1">
        <f t="array" ref="BD447">IFERROR(IF('BMP P Tracking Table'!$BA447=2,VLOOKUP(CONCATENATE('BMP P Tracking Table'!$AW447," ",'BMP P Tracking Table'!$AY447),'Performance Curves'!$C$1:$L$44,_xlfn.SINGLE(MATCH('BMP P Tracking Table'!$BA447,'Performance Curves'!$D$1:$L$1,1))+1,FALSE),'BMP P Tracking Table'!$BB447*'BMP P Tracking Table'!$BC447+VLOOKUP(CONCATENATE('BMP P Tracking Table'!$AW447," ",'BMP P Tracking Table'!$AY447),'Performance Curves'!$C$1:$L$44,_xlfn.SINGLE(MATCH('BMP P Tracking Table'!$BA447,'Performance Curves'!$D$1:$L$1,1))+1,FALSE)),"")</f>
        <v/>
      </c>
      <c r="BE447" s="104" t="str">
        <f>IFERROR('BMP P Tracking Table'!$BD447*'BMP P Tracking Table'!$AZ447,"")</f>
        <v/>
      </c>
      <c r="BF447" s="98"/>
      <c r="BG447" s="37">
        <f t="shared" si="42"/>
        <v>0</v>
      </c>
    </row>
    <row r="448" spans="2:59" s="36" customFormat="1">
      <c r="B448" s="65"/>
      <c r="C448" s="65"/>
      <c r="D448" s="65"/>
      <c r="E448" s="65"/>
      <c r="F448" s="94"/>
      <c r="G448" s="94"/>
      <c r="H448" s="65"/>
      <c r="I448" s="65"/>
      <c r="J448" s="65"/>
      <c r="K448" s="95"/>
      <c r="L448" s="65"/>
      <c r="M448" s="65"/>
      <c r="N448" s="65"/>
      <c r="O448" s="65"/>
      <c r="P448" s="65"/>
      <c r="Q448" s="65"/>
      <c r="R448" s="65" t="str">
        <f>IFERROR(VLOOKUP('BMP P Tracking Table'!$Q448,Dropdowns!$C$2:$E$15,3,FALSE),"")</f>
        <v/>
      </c>
      <c r="S448" s="65" t="str">
        <f>IFERROR(VLOOKUP('BMP P Tracking Table'!$R448,Dropdowns!$Q$3:$R$23,2,FALSE),"")</f>
        <v/>
      </c>
      <c r="T448" s="65"/>
      <c r="U448" s="65"/>
      <c r="V448" s="65"/>
      <c r="W448" s="65"/>
      <c r="X448" s="65"/>
      <c r="Y448" s="65"/>
      <c r="Z448" s="65"/>
      <c r="AA448" s="65"/>
      <c r="AB448" s="65"/>
      <c r="AC448" s="97"/>
      <c r="AD448" s="65"/>
      <c r="AE448" s="104" t="str">
        <f>IFERROR('BMP P Tracking Table'!$V448*VLOOKUP('BMP P Tracking Table'!$R448,'Loading Rates'!$B$1:$L$24,4,FALSE)+IF('BMP P Tracking Table'!$W448="By HSG",'BMP P Tracking Table'!$X448*VLOOKUP('BMP P Tracking Table'!$R448,'Loading Rates'!$B$1:$L$24,6,FALSE)+'BMP P Tracking Table'!$Y448*VLOOKUP('BMP P Tracking Table'!$R448,'Loading Rates'!$B$1:$L$24,7,FALSE)+'BMP P Tracking Table'!$Z448*VLOOKUP('BMP P Tracking Table'!$R448,'Loading Rates'!$B$1:$L$24,8,FALSE)+'BMP P Tracking Table'!$AA448*VLOOKUP('BMP P Tracking Table'!$R448,'Loading Rates'!$B$1:$L$24,9,FALSE),'BMP P Tracking Table'!$AB448*VLOOKUP('BMP P Tracking Table'!$R448,'Loading Rates'!$B$1:$L$24,10,FALSE)),"")</f>
        <v/>
      </c>
      <c r="AF448" s="104" t="str">
        <f>IFERROR(MIN(2,IF('BMP P Tracking Table'!$W448="Total Pervious",(-(3630*'BMP P Tracking Table'!$V448+20.691*'BMP P Tracking Table'!$AB448)+SQRT((3630*'BMP P Tracking Table'!$V448+20.691*'BMP P Tracking Table'!$AB448)^2-(4*(996.798*'BMP P Tracking Table'!$AB448)*-'BMP P Tracking Table'!$AC448)))/(2*(996.798*'BMP P Tracking Table'!$AB448)),IF(SUM('BMP P Tracking Table'!$X448:$AA448)=0,'BMP P Tracking Table'!$AC448/(-3630*'BMP P Tracking Table'!$V448),(-(3630*'BMP P Tracking Table'!$V448+20.691*'BMP P Tracking Table'!$AA448-216.711*'BMP P Tracking Table'!$Z448-83.853*'BMP P Tracking Table'!$Y448-42.834*'BMP P Tracking Table'!$X448)+SQRT((3630*'BMP P Tracking Table'!$V448+20.691*'BMP P Tracking Table'!$AA448-216.711*'BMP P Tracking Table'!$Z448-83.853*'BMP P Tracking Table'!$Y448-42.834*'BMP P Tracking Table'!$X448)^2-(4*(149.919*'BMP P Tracking Table'!$X448+236.676*'BMP P Tracking Table'!$Y448+726*'BMP P Tracking Table'!$Z448+996.798*'BMP P Tracking Table'!$AA448)*-'BMP P Tracking Table'!$AC448)))/(2*(149.919*'BMP P Tracking Table'!$X448+236.676*'BMP P Tracking Table'!$Y448+726*'BMP P Tracking Table'!$Z448+996.798*'BMP P Tracking Table'!$AA448))))),"")</f>
        <v/>
      </c>
      <c r="AG448" s="104" t="str">
        <f>IFERROR((VLOOKUP(CONCATENATE('BMP P Tracking Table'!$U448," ",'BMP P Tracking Table'!$AD448),'Performance Curves'!$C$1:$L$46,_xlfn.SINGLE(MATCH('BMP P Tracking Table'!$AF448,'Performance Curves'!$D$1:$L$1,1))+2,FALSE)-VLOOKUP(CONCATENATE('BMP P Tracking Table'!$U448," ",'BMP P Tracking Table'!$AD448),'Performance Curves'!$C$1:$L$46,_xlfn.SINGLE(MATCH('BMP P Tracking Table'!$AF448,'Performance Curves'!$D$1:$L$1,1))+1,FALSE)),"")</f>
        <v/>
      </c>
      <c r="AH448" s="104" t="str">
        <f>IFERROR(('BMP P Tracking Table'!$AF448-INDEX('Performance Curves'!$D$1:$L$1,1,MATCH('BMP P Tracking Table'!$AF448,'Performance Curves'!$D$1:$L$1,1)))/(INDEX('Performance Curves'!$D$1:$L$1,1,MATCH('BMP P Tracking Table'!$AF448,'Performance Curves'!$D$1:$L$1,1)+1)-INDEX('Performance Curves'!$D$1:$L$1,1,MATCH('BMP P Tracking Table'!$AF448,'Performance Curves'!$D$1:$L$1,1))),"")</f>
        <v/>
      </c>
      <c r="AI448" s="103" t="str">
        <f>IFERROR(IF('BMP P Tracking Table'!$AF448=2,VLOOKUP(CONCATENATE('BMP P Tracking Table'!$U448," ",'BMP P Tracking Table'!$AD448),'Performance Curves'!$C$1:$L$46,_xlfn.SINGLE(MATCH('BMP P Tracking Table'!$AF448,'Performance Curves'!$D$1:$L$1,1))+1,FALSE),'BMP P Tracking Table'!$AG448*'BMP P Tracking Table'!$AH448+VLOOKUP(CONCATENATE('BMP P Tracking Table'!$U448," ",'BMP P Tracking Table'!$AD448),'Performance Curves'!$C$1:$L$46,_xlfn.SINGLE(MATCH('BMP P Tracking Table'!$AF448,'Performance Curves'!$D$1:$L$1,1))+1,FALSE)),"")</f>
        <v/>
      </c>
      <c r="AJ448" s="104" t="str">
        <f>IFERROR('BMP P Tracking Table'!$AI448*'BMP P Tracking Table'!$AE448,"")</f>
        <v/>
      </c>
      <c r="AK448" s="65"/>
      <c r="AL448" s="98"/>
      <c r="AM448" s="98"/>
      <c r="AN448" s="64">
        <v>1</v>
      </c>
      <c r="AO448" s="102" t="str">
        <f t="shared" si="41"/>
        <v/>
      </c>
      <c r="AP448" s="98"/>
      <c r="AQ448" s="98"/>
      <c r="AR448" s="98"/>
      <c r="AS448" s="98"/>
      <c r="AT448" s="98"/>
      <c r="AU448" s="98"/>
      <c r="AV448" s="98"/>
      <c r="AW448" s="65"/>
      <c r="AX448" s="99"/>
      <c r="AY448" s="99"/>
      <c r="AZ448" s="104" t="str">
        <f>IF('BMP P Tracking Table'!$AL448="Yes",IF('BMP P Tracking Table'!$AM448="No",'BMP P Tracking Table'!$V448*VLOOKUP('BMP P Tracking Table'!$R448,'Loading Rates'!$B$1:$L$24,4,FALSE)+IF('BMP P Tracking Table'!$W448="By HSG",'BMP P Tracking Table'!$X448*VLOOKUP('BMP P Tracking Table'!$R448,'Loading Rates'!$B$1:$L$24,6,FALSE)+'BMP P Tracking Table'!$Y448*VLOOKUP('BMP P Tracking Table'!$R448,'Loading Rates'!$B$1:$L$24,7,FALSE)+'BMP P Tracking Table'!$Z448*VLOOKUP('BMP P Tracking Table'!$R448,'Loading Rates'!$B$1:$L$24,8,FALSE)+'BMP P Tracking Table'!$AA448*VLOOKUP('BMP P Tracking Table'!$R448,'Loading Rates'!$B$1:$L$24,9,FALSE),'BMP P Tracking Table'!$AB448*VLOOKUP('BMP P Tracking Table'!$R448,'Loading Rates'!$B$1:$L$24,10,FALSE)),'BMP P Tracking Table'!$AP448*VLOOKUP('BMP P Tracking Table'!$R448,'Loading Rates'!$B$1:$L$24,4,FALSE)+IF('BMP P Tracking Table'!$AQ448="By HSG",'BMP P Tracking Table'!$AR448*VLOOKUP('BMP P Tracking Table'!$R448,'Loading Rates'!$B$1:$L$24,6,FALSE)+'BMP P Tracking Table'!$AS448*VLOOKUP('BMP P Tracking Table'!$R448,'Loading Rates'!$B$1:$L$24,7,FALSE)+'BMP P Tracking Table'!$AT448*VLOOKUP('BMP P Tracking Table'!$R448,'Loading Rates'!$B$1:$L$24,8,FALSE)+'BMP P Tracking Table'!$AU448*VLOOKUP('BMP P Tracking Table'!$R448,'Loading Rates'!$B$1:$L$24,9,FALSE),'BMP P Tracking Table'!$AV448*VLOOKUP('BMP P Tracking Table'!$R448,'Loading Rates'!$B$1:$L$24,10,FALSE))),"")</f>
        <v/>
      </c>
      <c r="BA448" s="104" t="str">
        <f>IFERROR(IF('BMP P Tracking Table'!$AM448="Yes",MIN(2,IF('BMP P Tracking Table'!$AQ448="Total Pervious",(-(3630*'BMP P Tracking Table'!$AP448+20.691*'BMP P Tracking Table'!$AV448)+SQRT((3630*'BMP P Tracking Table'!$AP448+20.691*'BMP P Tracking Table'!$AV448)^2-(4*(996.798*'BMP P Tracking Table'!$AV448)*-'BMP P Tracking Table'!$AX448)))/(2*(996.798*'BMP P Tracking Table'!$AV448)),IF(SUM('BMP P Tracking Table'!$AR448:$AU448)=0,'BMP P Tracking Table'!$AV448/(-3630*'BMP P Tracking Table'!$AP448),(-(3630*'BMP P Tracking Table'!$AP448+20.691*'BMP P Tracking Table'!$AU448-216.711*'BMP P Tracking Table'!$AT448-83.853*'BMP P Tracking Table'!$AS448-42.834*'BMP P Tracking Table'!$AR448)+SQRT((3630*'BMP P Tracking Table'!$AP448+20.691*'BMP P Tracking Table'!$AU448-216.711*'BMP P Tracking Table'!$AT448-83.853*'BMP P Tracking Table'!$AS448-42.834*'BMP P Tracking Table'!$AR448)^2-(4*(149.919*'BMP P Tracking Table'!$AR448+236.676*'BMP P Tracking Table'!$AS448+726*'BMP P Tracking Table'!$AT448+996.798*'BMP P Tracking Table'!$AU448)*-'BMP P Tracking Table'!$AX448)))/(2*(149.919*'BMP P Tracking Table'!$AR448+236.676*'BMP P Tracking Table'!$AS448+726*'BMP P Tracking Table'!$AT448+996.798*'BMP P Tracking Table'!$AU448))))),MIN(2,IF('BMP P Tracking Table'!$AQ448="Total Pervious",(-(3630*'BMP P Tracking Table'!$V448+20.691*'BMP P Tracking Table'!$AB448)+SQRT((3630*'BMP P Tracking Table'!$V448+20.691*'BMP P Tracking Table'!$AB448)^2-(4*(996.798*'BMP P Tracking Table'!$AB448)*-'BMP P Tracking Table'!$AX448)))/(2*(996.798*'BMP P Tracking Table'!$AB448)),IF(SUM('BMP P Tracking Table'!$X448:$AA448)=0,'BMP P Tracking Table'!$AX448/(-3630*'BMP P Tracking Table'!$V448),(-(3630*'BMP P Tracking Table'!$V448+20.691*'BMP P Tracking Table'!$AA448-216.711*'BMP P Tracking Table'!$Z448-83.853*'BMP P Tracking Table'!$Y448-42.834*'BMP P Tracking Table'!$X448)+SQRT((3630*'BMP P Tracking Table'!$V448+20.691*'BMP P Tracking Table'!$AA448-216.711*'BMP P Tracking Table'!$Z448-83.853*'BMP P Tracking Table'!$Y448-42.834*'BMP P Tracking Table'!$X448)^2-(4*(149.919*'BMP P Tracking Table'!$X448+236.676*'BMP P Tracking Table'!$Y448+726*'BMP P Tracking Table'!$Z448+996.798*'BMP P Tracking Table'!$AA448)*-'BMP P Tracking Table'!$AX448)))/(2*(149.919*'BMP P Tracking Table'!$X448+236.676*'BMP P Tracking Table'!$Y448+726*'BMP P Tracking Table'!$Z448+996.798*'BMP P Tracking Table'!$AA448)))))),"")</f>
        <v/>
      </c>
      <c r="BB448" s="102" t="str">
        <f>IFERROR((VLOOKUP(CONCATENATE('BMP P Tracking Table'!$AW448," ",'BMP P Tracking Table'!$AY448),'Performance Curves'!$C$1:$L$46,_xlfn.SINGLE(MATCH('BMP P Tracking Table'!$BA448,'Performance Curves'!$D$1:$L$1,1))+2,FALSE)-VLOOKUP(CONCATENATE('BMP P Tracking Table'!$AW448," ",'BMP P Tracking Table'!$AY448),'Performance Curves'!$C$1:$L$46,_xlfn.SINGLE(MATCH('BMP P Tracking Table'!$BA448,'Performance Curves'!$D$1:$L$1,1))+1,FALSE)),"")</f>
        <v/>
      </c>
      <c r="BC448" s="102" t="str">
        <f>IFERROR(('BMP P Tracking Table'!$BA448-INDEX('Performance Curves'!$D$1:$L$1,1,MATCH('BMP P Tracking Table'!$BA448,'Performance Curves'!$D$1:$L$1,1)))/(INDEX('Performance Curves'!$D$1:$L$1,1,MATCH('BMP P Tracking Table'!$BA448,'Performance Curves'!$D$1:$L$1,1)+1)-INDEX('Performance Curves'!$D$1:$L$1,1,MATCH('BMP P Tracking Table'!$BA448,'Performance Curves'!$D$1:$L$1,1))),"")</f>
        <v/>
      </c>
      <c r="BD448" s="103" t="str" cm="1">
        <f t="array" ref="BD448">IFERROR(IF('BMP P Tracking Table'!$BA448=2,VLOOKUP(CONCATENATE('BMP P Tracking Table'!$AW448," ",'BMP P Tracking Table'!$AY448),'Performance Curves'!$C$1:$L$44,_xlfn.SINGLE(MATCH('BMP P Tracking Table'!$BA448,'Performance Curves'!$D$1:$L$1,1))+1,FALSE),'BMP P Tracking Table'!$BB448*'BMP P Tracking Table'!$BC448+VLOOKUP(CONCATENATE('BMP P Tracking Table'!$AW448," ",'BMP P Tracking Table'!$AY448),'Performance Curves'!$C$1:$L$44,_xlfn.SINGLE(MATCH('BMP P Tracking Table'!$BA448,'Performance Curves'!$D$1:$L$1,1))+1,FALSE)),"")</f>
        <v/>
      </c>
      <c r="BE448" s="104" t="str">
        <f>IFERROR('BMP P Tracking Table'!$BD448*'BMP P Tracking Table'!$AZ448,"")</f>
        <v/>
      </c>
      <c r="BF448" s="98"/>
      <c r="BG448" s="37">
        <f t="shared" si="42"/>
        <v>0</v>
      </c>
    </row>
    <row r="449" spans="2:67" s="36" customFormat="1">
      <c r="B449" s="65"/>
      <c r="C449" s="65"/>
      <c r="D449" s="65"/>
      <c r="E449" s="65"/>
      <c r="F449" s="94"/>
      <c r="G449" s="94"/>
      <c r="H449" s="65"/>
      <c r="I449" s="65"/>
      <c r="J449" s="65"/>
      <c r="K449" s="95"/>
      <c r="L449" s="65"/>
      <c r="M449" s="65"/>
      <c r="N449" s="65"/>
      <c r="O449" s="65"/>
      <c r="P449" s="65"/>
      <c r="Q449" s="65"/>
      <c r="R449" s="65" t="str">
        <f>IFERROR(VLOOKUP('BMP P Tracking Table'!$Q449,Dropdowns!$C$2:$E$15,3,FALSE),"")</f>
        <v/>
      </c>
      <c r="S449" s="65" t="str">
        <f>IFERROR(VLOOKUP('BMP P Tracking Table'!$R449,Dropdowns!$Q$3:$R$23,2,FALSE),"")</f>
        <v/>
      </c>
      <c r="T449" s="65"/>
      <c r="U449" s="65"/>
      <c r="V449" s="65"/>
      <c r="W449" s="65"/>
      <c r="X449" s="65"/>
      <c r="Y449" s="65"/>
      <c r="Z449" s="65"/>
      <c r="AA449" s="65"/>
      <c r="AB449" s="65"/>
      <c r="AC449" s="97"/>
      <c r="AD449" s="65"/>
      <c r="AE449" s="104" t="str">
        <f>IFERROR('BMP P Tracking Table'!$V449*VLOOKUP('BMP P Tracking Table'!$R449,'Loading Rates'!$B$1:$L$24,4,FALSE)+IF('BMP P Tracking Table'!$W449="By HSG",'BMP P Tracking Table'!$X449*VLOOKUP('BMP P Tracking Table'!$R449,'Loading Rates'!$B$1:$L$24,6,FALSE)+'BMP P Tracking Table'!$Y449*VLOOKUP('BMP P Tracking Table'!$R449,'Loading Rates'!$B$1:$L$24,7,FALSE)+'BMP P Tracking Table'!$Z449*VLOOKUP('BMP P Tracking Table'!$R449,'Loading Rates'!$B$1:$L$24,8,FALSE)+'BMP P Tracking Table'!$AA449*VLOOKUP('BMP P Tracking Table'!$R449,'Loading Rates'!$B$1:$L$24,9,FALSE),'BMP P Tracking Table'!$AB449*VLOOKUP('BMP P Tracking Table'!$R449,'Loading Rates'!$B$1:$L$24,10,FALSE)),"")</f>
        <v/>
      </c>
      <c r="AF449" s="104" t="str">
        <f>IFERROR(MIN(2,IF('BMP P Tracking Table'!$W449="Total Pervious",(-(3630*'BMP P Tracking Table'!$V449+20.691*'BMP P Tracking Table'!$AB449)+SQRT((3630*'BMP P Tracking Table'!$V449+20.691*'BMP P Tracking Table'!$AB449)^2-(4*(996.798*'BMP P Tracking Table'!$AB449)*-'BMP P Tracking Table'!$AC449)))/(2*(996.798*'BMP P Tracking Table'!$AB449)),IF(SUM('BMP P Tracking Table'!$X449:$AA449)=0,'BMP P Tracking Table'!$AC449/(-3630*'BMP P Tracking Table'!$V449),(-(3630*'BMP P Tracking Table'!$V449+20.691*'BMP P Tracking Table'!$AA449-216.711*'BMP P Tracking Table'!$Z449-83.853*'BMP P Tracking Table'!$Y449-42.834*'BMP P Tracking Table'!$X449)+SQRT((3630*'BMP P Tracking Table'!$V449+20.691*'BMP P Tracking Table'!$AA449-216.711*'BMP P Tracking Table'!$Z449-83.853*'BMP P Tracking Table'!$Y449-42.834*'BMP P Tracking Table'!$X449)^2-(4*(149.919*'BMP P Tracking Table'!$X449+236.676*'BMP P Tracking Table'!$Y449+726*'BMP P Tracking Table'!$Z449+996.798*'BMP P Tracking Table'!$AA449)*-'BMP P Tracking Table'!$AC449)))/(2*(149.919*'BMP P Tracking Table'!$X449+236.676*'BMP P Tracking Table'!$Y449+726*'BMP P Tracking Table'!$Z449+996.798*'BMP P Tracking Table'!$AA449))))),"")</f>
        <v/>
      </c>
      <c r="AG449" s="104" t="str">
        <f>IFERROR((VLOOKUP(CONCATENATE('BMP P Tracking Table'!$U449," ",'BMP P Tracking Table'!$AD449),'Performance Curves'!$C$1:$L$46,_xlfn.SINGLE(MATCH('BMP P Tracking Table'!$AF449,'Performance Curves'!$D$1:$L$1,1))+2,FALSE)-VLOOKUP(CONCATENATE('BMP P Tracking Table'!$U449," ",'BMP P Tracking Table'!$AD449),'Performance Curves'!$C$1:$L$46,_xlfn.SINGLE(MATCH('BMP P Tracking Table'!$AF449,'Performance Curves'!$D$1:$L$1,1))+1,FALSE)),"")</f>
        <v/>
      </c>
      <c r="AH449" s="104" t="str">
        <f>IFERROR(('BMP P Tracking Table'!$AF449-INDEX('Performance Curves'!$D$1:$L$1,1,MATCH('BMP P Tracking Table'!$AF449,'Performance Curves'!$D$1:$L$1,1)))/(INDEX('Performance Curves'!$D$1:$L$1,1,MATCH('BMP P Tracking Table'!$AF449,'Performance Curves'!$D$1:$L$1,1)+1)-INDEX('Performance Curves'!$D$1:$L$1,1,MATCH('BMP P Tracking Table'!$AF449,'Performance Curves'!$D$1:$L$1,1))),"")</f>
        <v/>
      </c>
      <c r="AI449" s="103" t="str">
        <f>IFERROR(IF('BMP P Tracking Table'!$AF449=2,VLOOKUP(CONCATENATE('BMP P Tracking Table'!$U449," ",'BMP P Tracking Table'!$AD449),'Performance Curves'!$C$1:$L$46,_xlfn.SINGLE(MATCH('BMP P Tracking Table'!$AF449,'Performance Curves'!$D$1:$L$1,1))+1,FALSE),'BMP P Tracking Table'!$AG449*'BMP P Tracking Table'!$AH449+VLOOKUP(CONCATENATE('BMP P Tracking Table'!$U449," ",'BMP P Tracking Table'!$AD449),'Performance Curves'!$C$1:$L$46,_xlfn.SINGLE(MATCH('BMP P Tracking Table'!$AF449,'Performance Curves'!$D$1:$L$1,1))+1,FALSE)),"")</f>
        <v/>
      </c>
      <c r="AJ449" s="104" t="str">
        <f>IFERROR('BMP P Tracking Table'!$AI449*'BMP P Tracking Table'!$AE449,"")</f>
        <v/>
      </c>
      <c r="AK449" s="65"/>
      <c r="AL449" s="98"/>
      <c r="AM449" s="98"/>
      <c r="AN449" s="64">
        <v>1</v>
      </c>
      <c r="AO449" s="102" t="str">
        <f t="shared" si="41"/>
        <v/>
      </c>
      <c r="AP449" s="98"/>
      <c r="AQ449" s="98"/>
      <c r="AR449" s="98"/>
      <c r="AS449" s="98"/>
      <c r="AT449" s="98"/>
      <c r="AU449" s="98"/>
      <c r="AV449" s="98"/>
      <c r="AW449" s="65"/>
      <c r="AX449" s="99"/>
      <c r="AY449" s="99"/>
      <c r="AZ449" s="104" t="str">
        <f>IF('BMP P Tracking Table'!$AL449="Yes",IF('BMP P Tracking Table'!$AM449="No",'BMP P Tracking Table'!$V449*VLOOKUP('BMP P Tracking Table'!$R449,'Loading Rates'!$B$1:$L$24,4,FALSE)+IF('BMP P Tracking Table'!$W449="By HSG",'BMP P Tracking Table'!$X449*VLOOKUP('BMP P Tracking Table'!$R449,'Loading Rates'!$B$1:$L$24,6,FALSE)+'BMP P Tracking Table'!$Y449*VLOOKUP('BMP P Tracking Table'!$R449,'Loading Rates'!$B$1:$L$24,7,FALSE)+'BMP P Tracking Table'!$Z449*VLOOKUP('BMP P Tracking Table'!$R449,'Loading Rates'!$B$1:$L$24,8,FALSE)+'BMP P Tracking Table'!$AA449*VLOOKUP('BMP P Tracking Table'!$R449,'Loading Rates'!$B$1:$L$24,9,FALSE),'BMP P Tracking Table'!$AB449*VLOOKUP('BMP P Tracking Table'!$R449,'Loading Rates'!$B$1:$L$24,10,FALSE)),'BMP P Tracking Table'!$AP449*VLOOKUP('BMP P Tracking Table'!$R449,'Loading Rates'!$B$1:$L$24,4,FALSE)+IF('BMP P Tracking Table'!$AQ449="By HSG",'BMP P Tracking Table'!$AR449*VLOOKUP('BMP P Tracking Table'!$R449,'Loading Rates'!$B$1:$L$24,6,FALSE)+'BMP P Tracking Table'!$AS449*VLOOKUP('BMP P Tracking Table'!$R449,'Loading Rates'!$B$1:$L$24,7,FALSE)+'BMP P Tracking Table'!$AT449*VLOOKUP('BMP P Tracking Table'!$R449,'Loading Rates'!$B$1:$L$24,8,FALSE)+'BMP P Tracking Table'!$AU449*VLOOKUP('BMP P Tracking Table'!$R449,'Loading Rates'!$B$1:$L$24,9,FALSE),'BMP P Tracking Table'!$AV449*VLOOKUP('BMP P Tracking Table'!$R449,'Loading Rates'!$B$1:$L$24,10,FALSE))),"")</f>
        <v/>
      </c>
      <c r="BA449" s="104" t="str">
        <f>IFERROR(IF('BMP P Tracking Table'!$AM449="Yes",MIN(2,IF('BMP P Tracking Table'!$AQ449="Total Pervious",(-(3630*'BMP P Tracking Table'!$AP449+20.691*'BMP P Tracking Table'!$AV449)+SQRT((3630*'BMP P Tracking Table'!$AP449+20.691*'BMP P Tracking Table'!$AV449)^2-(4*(996.798*'BMP P Tracking Table'!$AV449)*-'BMP P Tracking Table'!$AX449)))/(2*(996.798*'BMP P Tracking Table'!$AV449)),IF(SUM('BMP P Tracking Table'!$AR449:$AU449)=0,'BMP P Tracking Table'!$AV449/(-3630*'BMP P Tracking Table'!$AP449),(-(3630*'BMP P Tracking Table'!$AP449+20.691*'BMP P Tracking Table'!$AU449-216.711*'BMP P Tracking Table'!$AT449-83.853*'BMP P Tracking Table'!$AS449-42.834*'BMP P Tracking Table'!$AR449)+SQRT((3630*'BMP P Tracking Table'!$AP449+20.691*'BMP P Tracking Table'!$AU449-216.711*'BMP P Tracking Table'!$AT449-83.853*'BMP P Tracking Table'!$AS449-42.834*'BMP P Tracking Table'!$AR449)^2-(4*(149.919*'BMP P Tracking Table'!$AR449+236.676*'BMP P Tracking Table'!$AS449+726*'BMP P Tracking Table'!$AT449+996.798*'BMP P Tracking Table'!$AU449)*-'BMP P Tracking Table'!$AX449)))/(2*(149.919*'BMP P Tracking Table'!$AR449+236.676*'BMP P Tracking Table'!$AS449+726*'BMP P Tracking Table'!$AT449+996.798*'BMP P Tracking Table'!$AU449))))),MIN(2,IF('BMP P Tracking Table'!$AQ449="Total Pervious",(-(3630*'BMP P Tracking Table'!$V449+20.691*'BMP P Tracking Table'!$AB449)+SQRT((3630*'BMP P Tracking Table'!$V449+20.691*'BMP P Tracking Table'!$AB449)^2-(4*(996.798*'BMP P Tracking Table'!$AB449)*-'BMP P Tracking Table'!$AX449)))/(2*(996.798*'BMP P Tracking Table'!$AB449)),IF(SUM('BMP P Tracking Table'!$X449:$AA449)=0,'BMP P Tracking Table'!$AX449/(-3630*'BMP P Tracking Table'!$V449),(-(3630*'BMP P Tracking Table'!$V449+20.691*'BMP P Tracking Table'!$AA449-216.711*'BMP P Tracking Table'!$Z449-83.853*'BMP P Tracking Table'!$Y449-42.834*'BMP P Tracking Table'!$X449)+SQRT((3630*'BMP P Tracking Table'!$V449+20.691*'BMP P Tracking Table'!$AA449-216.711*'BMP P Tracking Table'!$Z449-83.853*'BMP P Tracking Table'!$Y449-42.834*'BMP P Tracking Table'!$X449)^2-(4*(149.919*'BMP P Tracking Table'!$X449+236.676*'BMP P Tracking Table'!$Y449+726*'BMP P Tracking Table'!$Z449+996.798*'BMP P Tracking Table'!$AA449)*-'BMP P Tracking Table'!$AX449)))/(2*(149.919*'BMP P Tracking Table'!$X449+236.676*'BMP P Tracking Table'!$Y449+726*'BMP P Tracking Table'!$Z449+996.798*'BMP P Tracking Table'!$AA449)))))),"")</f>
        <v/>
      </c>
      <c r="BB449" s="102" t="str">
        <f>IFERROR((VLOOKUP(CONCATENATE('BMP P Tracking Table'!$AW449," ",'BMP P Tracking Table'!$AY449),'Performance Curves'!$C$1:$L$46,_xlfn.SINGLE(MATCH('BMP P Tracking Table'!$BA449,'Performance Curves'!$D$1:$L$1,1))+2,FALSE)-VLOOKUP(CONCATENATE('BMP P Tracking Table'!$AW449," ",'BMP P Tracking Table'!$AY449),'Performance Curves'!$C$1:$L$46,_xlfn.SINGLE(MATCH('BMP P Tracking Table'!$BA449,'Performance Curves'!$D$1:$L$1,1))+1,FALSE)),"")</f>
        <v/>
      </c>
      <c r="BC449" s="102" t="str">
        <f>IFERROR(('BMP P Tracking Table'!$BA449-INDEX('Performance Curves'!$D$1:$L$1,1,MATCH('BMP P Tracking Table'!$BA449,'Performance Curves'!$D$1:$L$1,1)))/(INDEX('Performance Curves'!$D$1:$L$1,1,MATCH('BMP P Tracking Table'!$BA449,'Performance Curves'!$D$1:$L$1,1)+1)-INDEX('Performance Curves'!$D$1:$L$1,1,MATCH('BMP P Tracking Table'!$BA449,'Performance Curves'!$D$1:$L$1,1))),"")</f>
        <v/>
      </c>
      <c r="BD449" s="103" t="str" cm="1">
        <f t="array" ref="BD449">IFERROR(IF('BMP P Tracking Table'!$BA449=2,VLOOKUP(CONCATENATE('BMP P Tracking Table'!$AW449," ",'BMP P Tracking Table'!$AY449),'Performance Curves'!$C$1:$L$44,_xlfn.SINGLE(MATCH('BMP P Tracking Table'!$BA449,'Performance Curves'!$D$1:$L$1,1))+1,FALSE),'BMP P Tracking Table'!$BB449*'BMP P Tracking Table'!$BC449+VLOOKUP(CONCATENATE('BMP P Tracking Table'!$AW449," ",'BMP P Tracking Table'!$AY449),'Performance Curves'!$C$1:$L$44,_xlfn.SINGLE(MATCH('BMP P Tracking Table'!$BA449,'Performance Curves'!$D$1:$L$1,1))+1,FALSE)),"")</f>
        <v/>
      </c>
      <c r="BE449" s="104" t="str">
        <f>IFERROR('BMP P Tracking Table'!$BD449*'BMP P Tracking Table'!$AZ449,"")</f>
        <v/>
      </c>
      <c r="BF449" s="98"/>
      <c r="BG449" s="37">
        <f t="shared" si="42"/>
        <v>0</v>
      </c>
    </row>
    <row r="450" spans="2:67" s="36" customFormat="1">
      <c r="B450" s="65"/>
      <c r="C450" s="65"/>
      <c r="D450" s="65"/>
      <c r="E450" s="65"/>
      <c r="F450" s="94"/>
      <c r="G450" s="94"/>
      <c r="H450" s="65"/>
      <c r="I450" s="65"/>
      <c r="J450" s="65"/>
      <c r="K450" s="95"/>
      <c r="L450" s="65"/>
      <c r="M450" s="65"/>
      <c r="N450" s="65"/>
      <c r="O450" s="65"/>
      <c r="P450" s="65"/>
      <c r="Q450" s="65"/>
      <c r="R450" s="65" t="str">
        <f>IFERROR(VLOOKUP('BMP P Tracking Table'!$Q450,Dropdowns!$C$2:$E$15,3,FALSE),"")</f>
        <v/>
      </c>
      <c r="S450" s="65" t="str">
        <f>IFERROR(VLOOKUP('BMP P Tracking Table'!$R450,Dropdowns!$Q$3:$R$23,2,FALSE),"")</f>
        <v/>
      </c>
      <c r="T450" s="65"/>
      <c r="U450" s="65"/>
      <c r="V450" s="65"/>
      <c r="W450" s="65"/>
      <c r="X450" s="65"/>
      <c r="Y450" s="65"/>
      <c r="Z450" s="65"/>
      <c r="AA450" s="65"/>
      <c r="AB450" s="65"/>
      <c r="AC450" s="97"/>
      <c r="AD450" s="65"/>
      <c r="AE450" s="104" t="str">
        <f>IFERROR('BMP P Tracking Table'!$V450*VLOOKUP('BMP P Tracking Table'!$R450,'Loading Rates'!$B$1:$L$24,4,FALSE)+IF('BMP P Tracking Table'!$W450="By HSG",'BMP P Tracking Table'!$X450*VLOOKUP('BMP P Tracking Table'!$R450,'Loading Rates'!$B$1:$L$24,6,FALSE)+'BMP P Tracking Table'!$Y450*VLOOKUP('BMP P Tracking Table'!$R450,'Loading Rates'!$B$1:$L$24,7,FALSE)+'BMP P Tracking Table'!$Z450*VLOOKUP('BMP P Tracking Table'!$R450,'Loading Rates'!$B$1:$L$24,8,FALSE)+'BMP P Tracking Table'!$AA450*VLOOKUP('BMP P Tracking Table'!$R450,'Loading Rates'!$B$1:$L$24,9,FALSE),'BMP P Tracking Table'!$AB450*VLOOKUP('BMP P Tracking Table'!$R450,'Loading Rates'!$B$1:$L$24,10,FALSE)),"")</f>
        <v/>
      </c>
      <c r="AF450" s="104" t="str">
        <f>IFERROR(MIN(2,IF('BMP P Tracking Table'!$W450="Total Pervious",(-(3630*'BMP P Tracking Table'!$V450+20.691*'BMP P Tracking Table'!$AB450)+SQRT((3630*'BMP P Tracking Table'!$V450+20.691*'BMP P Tracking Table'!$AB450)^2-(4*(996.798*'BMP P Tracking Table'!$AB450)*-'BMP P Tracking Table'!$AC450)))/(2*(996.798*'BMP P Tracking Table'!$AB450)),IF(SUM('BMP P Tracking Table'!$X450:$AA450)=0,'BMP P Tracking Table'!$AC450/(-3630*'BMP P Tracking Table'!$V450),(-(3630*'BMP P Tracking Table'!$V450+20.691*'BMP P Tracking Table'!$AA450-216.711*'BMP P Tracking Table'!$Z450-83.853*'BMP P Tracking Table'!$Y450-42.834*'BMP P Tracking Table'!$X450)+SQRT((3630*'BMP P Tracking Table'!$V450+20.691*'BMP P Tracking Table'!$AA450-216.711*'BMP P Tracking Table'!$Z450-83.853*'BMP P Tracking Table'!$Y450-42.834*'BMP P Tracking Table'!$X450)^2-(4*(149.919*'BMP P Tracking Table'!$X450+236.676*'BMP P Tracking Table'!$Y450+726*'BMP P Tracking Table'!$Z450+996.798*'BMP P Tracking Table'!$AA450)*-'BMP P Tracking Table'!$AC450)))/(2*(149.919*'BMP P Tracking Table'!$X450+236.676*'BMP P Tracking Table'!$Y450+726*'BMP P Tracking Table'!$Z450+996.798*'BMP P Tracking Table'!$AA450))))),"")</f>
        <v/>
      </c>
      <c r="AG450" s="104" t="str">
        <f>IFERROR((VLOOKUP(CONCATENATE('BMP P Tracking Table'!$U450," ",'BMP P Tracking Table'!$AD450),'Performance Curves'!$C$1:$L$46,_xlfn.SINGLE(MATCH('BMP P Tracking Table'!$AF450,'Performance Curves'!$D$1:$L$1,1))+2,FALSE)-VLOOKUP(CONCATENATE('BMP P Tracking Table'!$U450," ",'BMP P Tracking Table'!$AD450),'Performance Curves'!$C$1:$L$46,_xlfn.SINGLE(MATCH('BMP P Tracking Table'!$AF450,'Performance Curves'!$D$1:$L$1,1))+1,FALSE)),"")</f>
        <v/>
      </c>
      <c r="AH450" s="104" t="str">
        <f>IFERROR(('BMP P Tracking Table'!$AF450-INDEX('Performance Curves'!$D$1:$L$1,1,MATCH('BMP P Tracking Table'!$AF450,'Performance Curves'!$D$1:$L$1,1)))/(INDEX('Performance Curves'!$D$1:$L$1,1,MATCH('BMP P Tracking Table'!$AF450,'Performance Curves'!$D$1:$L$1,1)+1)-INDEX('Performance Curves'!$D$1:$L$1,1,MATCH('BMP P Tracking Table'!$AF450,'Performance Curves'!$D$1:$L$1,1))),"")</f>
        <v/>
      </c>
      <c r="AI450" s="103" t="str">
        <f>IFERROR(IF('BMP P Tracking Table'!$AF450=2,VLOOKUP(CONCATENATE('BMP P Tracking Table'!$U450," ",'BMP P Tracking Table'!$AD450),'Performance Curves'!$C$1:$L$46,_xlfn.SINGLE(MATCH('BMP P Tracking Table'!$AF450,'Performance Curves'!$D$1:$L$1,1))+1,FALSE),'BMP P Tracking Table'!$AG450*'BMP P Tracking Table'!$AH450+VLOOKUP(CONCATENATE('BMP P Tracking Table'!$U450," ",'BMP P Tracking Table'!$AD450),'Performance Curves'!$C$1:$L$46,_xlfn.SINGLE(MATCH('BMP P Tracking Table'!$AF450,'Performance Curves'!$D$1:$L$1,1))+1,FALSE)),"")</f>
        <v/>
      </c>
      <c r="AJ450" s="104" t="str">
        <f>IFERROR('BMP P Tracking Table'!$AI450*'BMP P Tracking Table'!$AE450,"")</f>
        <v/>
      </c>
      <c r="AK450" s="65"/>
      <c r="AL450" s="98"/>
      <c r="AM450" s="98"/>
      <c r="AN450" s="64">
        <v>1</v>
      </c>
      <c r="AO450" s="102" t="str">
        <f t="shared" si="41"/>
        <v/>
      </c>
      <c r="AP450" s="98"/>
      <c r="AQ450" s="98"/>
      <c r="AR450" s="98"/>
      <c r="AS450" s="98"/>
      <c r="AT450" s="98"/>
      <c r="AU450" s="98"/>
      <c r="AV450" s="98"/>
      <c r="AW450" s="65"/>
      <c r="AX450" s="99"/>
      <c r="AY450" s="99"/>
      <c r="AZ450" s="104" t="str">
        <f>IF('BMP P Tracking Table'!$AL450="Yes",IF('BMP P Tracking Table'!$AM450="No",'BMP P Tracking Table'!$V450*VLOOKUP('BMP P Tracking Table'!$R450,'Loading Rates'!$B$1:$L$24,4,FALSE)+IF('BMP P Tracking Table'!$W450="By HSG",'BMP P Tracking Table'!$X450*VLOOKUP('BMP P Tracking Table'!$R450,'Loading Rates'!$B$1:$L$24,6,FALSE)+'BMP P Tracking Table'!$Y450*VLOOKUP('BMP P Tracking Table'!$R450,'Loading Rates'!$B$1:$L$24,7,FALSE)+'BMP P Tracking Table'!$Z450*VLOOKUP('BMP P Tracking Table'!$R450,'Loading Rates'!$B$1:$L$24,8,FALSE)+'BMP P Tracking Table'!$AA450*VLOOKUP('BMP P Tracking Table'!$R450,'Loading Rates'!$B$1:$L$24,9,FALSE),'BMP P Tracking Table'!$AB450*VLOOKUP('BMP P Tracking Table'!$R450,'Loading Rates'!$B$1:$L$24,10,FALSE)),'BMP P Tracking Table'!$AP450*VLOOKUP('BMP P Tracking Table'!$R450,'Loading Rates'!$B$1:$L$24,4,FALSE)+IF('BMP P Tracking Table'!$AQ450="By HSG",'BMP P Tracking Table'!$AR450*VLOOKUP('BMP P Tracking Table'!$R450,'Loading Rates'!$B$1:$L$24,6,FALSE)+'BMP P Tracking Table'!$AS450*VLOOKUP('BMP P Tracking Table'!$R450,'Loading Rates'!$B$1:$L$24,7,FALSE)+'BMP P Tracking Table'!$AT450*VLOOKUP('BMP P Tracking Table'!$R450,'Loading Rates'!$B$1:$L$24,8,FALSE)+'BMP P Tracking Table'!$AU450*VLOOKUP('BMP P Tracking Table'!$R450,'Loading Rates'!$B$1:$L$24,9,FALSE),'BMP P Tracking Table'!$AV450*VLOOKUP('BMP P Tracking Table'!$R450,'Loading Rates'!$B$1:$L$24,10,FALSE))),"")</f>
        <v/>
      </c>
      <c r="BA450" s="104" t="str">
        <f>IFERROR(IF('BMP P Tracking Table'!$AM450="Yes",MIN(2,IF('BMP P Tracking Table'!$AQ450="Total Pervious",(-(3630*'BMP P Tracking Table'!$AP450+20.691*'BMP P Tracking Table'!$AV450)+SQRT((3630*'BMP P Tracking Table'!$AP450+20.691*'BMP P Tracking Table'!$AV450)^2-(4*(996.798*'BMP P Tracking Table'!$AV450)*-'BMP P Tracking Table'!$AX450)))/(2*(996.798*'BMP P Tracking Table'!$AV450)),IF(SUM('BMP P Tracking Table'!$AR450:$AU450)=0,'BMP P Tracking Table'!$AV450/(-3630*'BMP P Tracking Table'!$AP450),(-(3630*'BMP P Tracking Table'!$AP450+20.691*'BMP P Tracking Table'!$AU450-216.711*'BMP P Tracking Table'!$AT450-83.853*'BMP P Tracking Table'!$AS450-42.834*'BMP P Tracking Table'!$AR450)+SQRT((3630*'BMP P Tracking Table'!$AP450+20.691*'BMP P Tracking Table'!$AU450-216.711*'BMP P Tracking Table'!$AT450-83.853*'BMP P Tracking Table'!$AS450-42.834*'BMP P Tracking Table'!$AR450)^2-(4*(149.919*'BMP P Tracking Table'!$AR450+236.676*'BMP P Tracking Table'!$AS450+726*'BMP P Tracking Table'!$AT450+996.798*'BMP P Tracking Table'!$AU450)*-'BMP P Tracking Table'!$AX450)))/(2*(149.919*'BMP P Tracking Table'!$AR450+236.676*'BMP P Tracking Table'!$AS450+726*'BMP P Tracking Table'!$AT450+996.798*'BMP P Tracking Table'!$AU450))))),MIN(2,IF('BMP P Tracking Table'!$AQ450="Total Pervious",(-(3630*'BMP P Tracking Table'!$V450+20.691*'BMP P Tracking Table'!$AB450)+SQRT((3630*'BMP P Tracking Table'!$V450+20.691*'BMP P Tracking Table'!$AB450)^2-(4*(996.798*'BMP P Tracking Table'!$AB450)*-'BMP P Tracking Table'!$AX450)))/(2*(996.798*'BMP P Tracking Table'!$AB450)),IF(SUM('BMP P Tracking Table'!$X450:$AA450)=0,'BMP P Tracking Table'!$AX450/(-3630*'BMP P Tracking Table'!$V450),(-(3630*'BMP P Tracking Table'!$V450+20.691*'BMP P Tracking Table'!$AA450-216.711*'BMP P Tracking Table'!$Z450-83.853*'BMP P Tracking Table'!$Y450-42.834*'BMP P Tracking Table'!$X450)+SQRT((3630*'BMP P Tracking Table'!$V450+20.691*'BMP P Tracking Table'!$AA450-216.711*'BMP P Tracking Table'!$Z450-83.853*'BMP P Tracking Table'!$Y450-42.834*'BMP P Tracking Table'!$X450)^2-(4*(149.919*'BMP P Tracking Table'!$X450+236.676*'BMP P Tracking Table'!$Y450+726*'BMP P Tracking Table'!$Z450+996.798*'BMP P Tracking Table'!$AA450)*-'BMP P Tracking Table'!$AX450)))/(2*(149.919*'BMP P Tracking Table'!$X450+236.676*'BMP P Tracking Table'!$Y450+726*'BMP P Tracking Table'!$Z450+996.798*'BMP P Tracking Table'!$AA450)))))),"")</f>
        <v/>
      </c>
      <c r="BB450" s="102" t="str">
        <f>IFERROR((VLOOKUP(CONCATENATE('BMP P Tracking Table'!$AW450," ",'BMP P Tracking Table'!$AY450),'Performance Curves'!$C$1:$L$46,_xlfn.SINGLE(MATCH('BMP P Tracking Table'!$BA450,'Performance Curves'!$D$1:$L$1,1))+2,FALSE)-VLOOKUP(CONCATENATE('BMP P Tracking Table'!$AW450," ",'BMP P Tracking Table'!$AY450),'Performance Curves'!$C$1:$L$46,_xlfn.SINGLE(MATCH('BMP P Tracking Table'!$BA450,'Performance Curves'!$D$1:$L$1,1))+1,FALSE)),"")</f>
        <v/>
      </c>
      <c r="BC450" s="102" t="str">
        <f>IFERROR(('BMP P Tracking Table'!$BA450-INDEX('Performance Curves'!$D$1:$L$1,1,MATCH('BMP P Tracking Table'!$BA450,'Performance Curves'!$D$1:$L$1,1)))/(INDEX('Performance Curves'!$D$1:$L$1,1,MATCH('BMP P Tracking Table'!$BA450,'Performance Curves'!$D$1:$L$1,1)+1)-INDEX('Performance Curves'!$D$1:$L$1,1,MATCH('BMP P Tracking Table'!$BA450,'Performance Curves'!$D$1:$L$1,1))),"")</f>
        <v/>
      </c>
      <c r="BD450" s="103" t="str" cm="1">
        <f t="array" ref="BD450">IFERROR(IF('BMP P Tracking Table'!$BA450=2,VLOOKUP(CONCATENATE('BMP P Tracking Table'!$AW450," ",'BMP P Tracking Table'!$AY450),'Performance Curves'!$C$1:$L$44,_xlfn.SINGLE(MATCH('BMP P Tracking Table'!$BA450,'Performance Curves'!$D$1:$L$1,1))+1,FALSE),'BMP P Tracking Table'!$BB450*'BMP P Tracking Table'!$BC450+VLOOKUP(CONCATENATE('BMP P Tracking Table'!$AW450," ",'BMP P Tracking Table'!$AY450),'Performance Curves'!$C$1:$L$44,_xlfn.SINGLE(MATCH('BMP P Tracking Table'!$BA450,'Performance Curves'!$D$1:$L$1,1))+1,FALSE)),"")</f>
        <v/>
      </c>
      <c r="BE450" s="104" t="str">
        <f>IFERROR('BMP P Tracking Table'!$BD450*'BMP P Tracking Table'!$AZ450,"")</f>
        <v/>
      </c>
      <c r="BF450" s="98"/>
      <c r="BG450" s="37">
        <f t="shared" si="42"/>
        <v>0</v>
      </c>
    </row>
    <row r="451" spans="2:67" s="36" customFormat="1">
      <c r="B451" s="65"/>
      <c r="C451" s="65"/>
      <c r="D451" s="65"/>
      <c r="E451" s="65"/>
      <c r="F451" s="94"/>
      <c r="G451" s="94"/>
      <c r="H451" s="65"/>
      <c r="I451" s="65"/>
      <c r="J451" s="65"/>
      <c r="K451" s="95"/>
      <c r="L451" s="65"/>
      <c r="M451" s="65"/>
      <c r="N451" s="65"/>
      <c r="O451" s="65"/>
      <c r="P451" s="65"/>
      <c r="Q451" s="65"/>
      <c r="R451" s="65" t="str">
        <f>IFERROR(VLOOKUP('BMP P Tracking Table'!$Q451,Dropdowns!$C$2:$E$15,3,FALSE),"")</f>
        <v/>
      </c>
      <c r="S451" s="65" t="str">
        <f>IFERROR(VLOOKUP('BMP P Tracking Table'!$R451,Dropdowns!$Q$3:$R$23,2,FALSE),"")</f>
        <v/>
      </c>
      <c r="T451" s="65"/>
      <c r="U451" s="65"/>
      <c r="V451" s="65"/>
      <c r="W451" s="65"/>
      <c r="X451" s="65"/>
      <c r="Y451" s="65"/>
      <c r="Z451" s="65"/>
      <c r="AA451" s="65"/>
      <c r="AB451" s="65"/>
      <c r="AC451" s="97"/>
      <c r="AD451" s="65"/>
      <c r="AE451" s="104" t="str">
        <f>IFERROR('BMP P Tracking Table'!$V451*VLOOKUP('BMP P Tracking Table'!$R451,'Loading Rates'!$B$1:$L$24,4,FALSE)+IF('BMP P Tracking Table'!$W451="By HSG",'BMP P Tracking Table'!$X451*VLOOKUP('BMP P Tracking Table'!$R451,'Loading Rates'!$B$1:$L$24,6,FALSE)+'BMP P Tracking Table'!$Y451*VLOOKUP('BMP P Tracking Table'!$R451,'Loading Rates'!$B$1:$L$24,7,FALSE)+'BMP P Tracking Table'!$Z451*VLOOKUP('BMP P Tracking Table'!$R451,'Loading Rates'!$B$1:$L$24,8,FALSE)+'BMP P Tracking Table'!$AA451*VLOOKUP('BMP P Tracking Table'!$R451,'Loading Rates'!$B$1:$L$24,9,FALSE),'BMP P Tracking Table'!$AB451*VLOOKUP('BMP P Tracking Table'!$R451,'Loading Rates'!$B$1:$L$24,10,FALSE)),"")</f>
        <v/>
      </c>
      <c r="AF451" s="104" t="str">
        <f>IFERROR(MIN(2,IF('BMP P Tracking Table'!$W451="Total Pervious",(-(3630*'BMP P Tracking Table'!$V451+20.691*'BMP P Tracking Table'!$AB451)+SQRT((3630*'BMP P Tracking Table'!$V451+20.691*'BMP P Tracking Table'!$AB451)^2-(4*(996.798*'BMP P Tracking Table'!$AB451)*-'BMP P Tracking Table'!$AC451)))/(2*(996.798*'BMP P Tracking Table'!$AB451)),IF(SUM('BMP P Tracking Table'!$X451:$AA451)=0,'BMP P Tracking Table'!$AC451/(-3630*'BMP P Tracking Table'!$V451),(-(3630*'BMP P Tracking Table'!$V451+20.691*'BMP P Tracking Table'!$AA451-216.711*'BMP P Tracking Table'!$Z451-83.853*'BMP P Tracking Table'!$Y451-42.834*'BMP P Tracking Table'!$X451)+SQRT((3630*'BMP P Tracking Table'!$V451+20.691*'BMP P Tracking Table'!$AA451-216.711*'BMP P Tracking Table'!$Z451-83.853*'BMP P Tracking Table'!$Y451-42.834*'BMP P Tracking Table'!$X451)^2-(4*(149.919*'BMP P Tracking Table'!$X451+236.676*'BMP P Tracking Table'!$Y451+726*'BMP P Tracking Table'!$Z451+996.798*'BMP P Tracking Table'!$AA451)*-'BMP P Tracking Table'!$AC451)))/(2*(149.919*'BMP P Tracking Table'!$X451+236.676*'BMP P Tracking Table'!$Y451+726*'BMP P Tracking Table'!$Z451+996.798*'BMP P Tracking Table'!$AA451))))),"")</f>
        <v/>
      </c>
      <c r="AG451" s="104" t="str">
        <f>IFERROR((VLOOKUP(CONCATENATE('BMP P Tracking Table'!$U451," ",'BMP P Tracking Table'!$AD451),'Performance Curves'!$C$1:$L$46,_xlfn.SINGLE(MATCH('BMP P Tracking Table'!$AF451,'Performance Curves'!$D$1:$L$1,1))+2,FALSE)-VLOOKUP(CONCATENATE('BMP P Tracking Table'!$U451," ",'BMP P Tracking Table'!$AD451),'Performance Curves'!$C$1:$L$46,_xlfn.SINGLE(MATCH('BMP P Tracking Table'!$AF451,'Performance Curves'!$D$1:$L$1,1))+1,FALSE)),"")</f>
        <v/>
      </c>
      <c r="AH451" s="104" t="str">
        <f>IFERROR(('BMP P Tracking Table'!$AF451-INDEX('Performance Curves'!$D$1:$L$1,1,MATCH('BMP P Tracking Table'!$AF451,'Performance Curves'!$D$1:$L$1,1)))/(INDEX('Performance Curves'!$D$1:$L$1,1,MATCH('BMP P Tracking Table'!$AF451,'Performance Curves'!$D$1:$L$1,1)+1)-INDEX('Performance Curves'!$D$1:$L$1,1,MATCH('BMP P Tracking Table'!$AF451,'Performance Curves'!$D$1:$L$1,1))),"")</f>
        <v/>
      </c>
      <c r="AI451" s="103" t="str">
        <f>IFERROR(IF('BMP P Tracking Table'!$AF451=2,VLOOKUP(CONCATENATE('BMP P Tracking Table'!$U451," ",'BMP P Tracking Table'!$AD451),'Performance Curves'!$C$1:$L$46,_xlfn.SINGLE(MATCH('BMP P Tracking Table'!$AF451,'Performance Curves'!$D$1:$L$1,1))+1,FALSE),'BMP P Tracking Table'!$AG451*'BMP P Tracking Table'!$AH451+VLOOKUP(CONCATENATE('BMP P Tracking Table'!$U451," ",'BMP P Tracking Table'!$AD451),'Performance Curves'!$C$1:$L$46,_xlfn.SINGLE(MATCH('BMP P Tracking Table'!$AF451,'Performance Curves'!$D$1:$L$1,1))+1,FALSE)),"")</f>
        <v/>
      </c>
      <c r="AJ451" s="104" t="str">
        <f>IFERROR('BMP P Tracking Table'!$AI451*'BMP P Tracking Table'!$AE451,"")</f>
        <v/>
      </c>
      <c r="AK451" s="65"/>
      <c r="AL451" s="98"/>
      <c r="AM451" s="98"/>
      <c r="AN451" s="64">
        <v>1</v>
      </c>
      <c r="AO451" s="102" t="str">
        <f t="shared" si="41"/>
        <v/>
      </c>
      <c r="AP451" s="98"/>
      <c r="AQ451" s="98"/>
      <c r="AR451" s="98"/>
      <c r="AS451" s="98"/>
      <c r="AT451" s="98"/>
      <c r="AU451" s="98"/>
      <c r="AV451" s="98"/>
      <c r="AW451" s="65"/>
      <c r="AX451" s="99"/>
      <c r="AY451" s="99"/>
      <c r="AZ451" s="104" t="str">
        <f>IF('BMP P Tracking Table'!$AL451="Yes",IF('BMP P Tracking Table'!$AM451="No",'BMP P Tracking Table'!$V451*VLOOKUP('BMP P Tracking Table'!$R451,'Loading Rates'!$B$1:$L$24,4,FALSE)+IF('BMP P Tracking Table'!$W451="By HSG",'BMP P Tracking Table'!$X451*VLOOKUP('BMP P Tracking Table'!$R451,'Loading Rates'!$B$1:$L$24,6,FALSE)+'BMP P Tracking Table'!$Y451*VLOOKUP('BMP P Tracking Table'!$R451,'Loading Rates'!$B$1:$L$24,7,FALSE)+'BMP P Tracking Table'!$Z451*VLOOKUP('BMP P Tracking Table'!$R451,'Loading Rates'!$B$1:$L$24,8,FALSE)+'BMP P Tracking Table'!$AA451*VLOOKUP('BMP P Tracking Table'!$R451,'Loading Rates'!$B$1:$L$24,9,FALSE),'BMP P Tracking Table'!$AB451*VLOOKUP('BMP P Tracking Table'!$R451,'Loading Rates'!$B$1:$L$24,10,FALSE)),'BMP P Tracking Table'!$AP451*VLOOKUP('BMP P Tracking Table'!$R451,'Loading Rates'!$B$1:$L$24,4,FALSE)+IF('BMP P Tracking Table'!$AQ451="By HSG",'BMP P Tracking Table'!$AR451*VLOOKUP('BMP P Tracking Table'!$R451,'Loading Rates'!$B$1:$L$24,6,FALSE)+'BMP P Tracking Table'!$AS451*VLOOKUP('BMP P Tracking Table'!$R451,'Loading Rates'!$B$1:$L$24,7,FALSE)+'BMP P Tracking Table'!$AT451*VLOOKUP('BMP P Tracking Table'!$R451,'Loading Rates'!$B$1:$L$24,8,FALSE)+'BMP P Tracking Table'!$AU451*VLOOKUP('BMP P Tracking Table'!$R451,'Loading Rates'!$B$1:$L$24,9,FALSE),'BMP P Tracking Table'!$AV451*VLOOKUP('BMP P Tracking Table'!$R451,'Loading Rates'!$B$1:$L$24,10,FALSE))),"")</f>
        <v/>
      </c>
      <c r="BA451" s="104" t="str">
        <f>IFERROR(IF('BMP P Tracking Table'!$AM451="Yes",MIN(2,IF('BMP P Tracking Table'!$AQ451="Total Pervious",(-(3630*'BMP P Tracking Table'!$AP451+20.691*'BMP P Tracking Table'!$AV451)+SQRT((3630*'BMP P Tracking Table'!$AP451+20.691*'BMP P Tracking Table'!$AV451)^2-(4*(996.798*'BMP P Tracking Table'!$AV451)*-'BMP P Tracking Table'!$AX451)))/(2*(996.798*'BMP P Tracking Table'!$AV451)),IF(SUM('BMP P Tracking Table'!$AR451:$AU451)=0,'BMP P Tracking Table'!$AV451/(-3630*'BMP P Tracking Table'!$AP451),(-(3630*'BMP P Tracking Table'!$AP451+20.691*'BMP P Tracking Table'!$AU451-216.711*'BMP P Tracking Table'!$AT451-83.853*'BMP P Tracking Table'!$AS451-42.834*'BMP P Tracking Table'!$AR451)+SQRT((3630*'BMP P Tracking Table'!$AP451+20.691*'BMP P Tracking Table'!$AU451-216.711*'BMP P Tracking Table'!$AT451-83.853*'BMP P Tracking Table'!$AS451-42.834*'BMP P Tracking Table'!$AR451)^2-(4*(149.919*'BMP P Tracking Table'!$AR451+236.676*'BMP P Tracking Table'!$AS451+726*'BMP P Tracking Table'!$AT451+996.798*'BMP P Tracking Table'!$AU451)*-'BMP P Tracking Table'!$AX451)))/(2*(149.919*'BMP P Tracking Table'!$AR451+236.676*'BMP P Tracking Table'!$AS451+726*'BMP P Tracking Table'!$AT451+996.798*'BMP P Tracking Table'!$AU451))))),MIN(2,IF('BMP P Tracking Table'!$AQ451="Total Pervious",(-(3630*'BMP P Tracking Table'!$V451+20.691*'BMP P Tracking Table'!$AB451)+SQRT((3630*'BMP P Tracking Table'!$V451+20.691*'BMP P Tracking Table'!$AB451)^2-(4*(996.798*'BMP P Tracking Table'!$AB451)*-'BMP P Tracking Table'!$AX451)))/(2*(996.798*'BMP P Tracking Table'!$AB451)),IF(SUM('BMP P Tracking Table'!$X451:$AA451)=0,'BMP P Tracking Table'!$AX451/(-3630*'BMP P Tracking Table'!$V451),(-(3630*'BMP P Tracking Table'!$V451+20.691*'BMP P Tracking Table'!$AA451-216.711*'BMP P Tracking Table'!$Z451-83.853*'BMP P Tracking Table'!$Y451-42.834*'BMP P Tracking Table'!$X451)+SQRT((3630*'BMP P Tracking Table'!$V451+20.691*'BMP P Tracking Table'!$AA451-216.711*'BMP P Tracking Table'!$Z451-83.853*'BMP P Tracking Table'!$Y451-42.834*'BMP P Tracking Table'!$X451)^2-(4*(149.919*'BMP P Tracking Table'!$X451+236.676*'BMP P Tracking Table'!$Y451+726*'BMP P Tracking Table'!$Z451+996.798*'BMP P Tracking Table'!$AA451)*-'BMP P Tracking Table'!$AX451)))/(2*(149.919*'BMP P Tracking Table'!$X451+236.676*'BMP P Tracking Table'!$Y451+726*'BMP P Tracking Table'!$Z451+996.798*'BMP P Tracking Table'!$AA451)))))),"")</f>
        <v/>
      </c>
      <c r="BB451" s="102" t="str">
        <f>IFERROR((VLOOKUP(CONCATENATE('BMP P Tracking Table'!$AW451," ",'BMP P Tracking Table'!$AY451),'Performance Curves'!$C$1:$L$46,_xlfn.SINGLE(MATCH('BMP P Tracking Table'!$BA451,'Performance Curves'!$D$1:$L$1,1))+2,FALSE)-VLOOKUP(CONCATENATE('BMP P Tracking Table'!$AW451," ",'BMP P Tracking Table'!$AY451),'Performance Curves'!$C$1:$L$46,_xlfn.SINGLE(MATCH('BMP P Tracking Table'!$BA451,'Performance Curves'!$D$1:$L$1,1))+1,FALSE)),"")</f>
        <v/>
      </c>
      <c r="BC451" s="102" t="str">
        <f>IFERROR(('BMP P Tracking Table'!$BA451-INDEX('Performance Curves'!$D$1:$L$1,1,MATCH('BMP P Tracking Table'!$BA451,'Performance Curves'!$D$1:$L$1,1)))/(INDEX('Performance Curves'!$D$1:$L$1,1,MATCH('BMP P Tracking Table'!$BA451,'Performance Curves'!$D$1:$L$1,1)+1)-INDEX('Performance Curves'!$D$1:$L$1,1,MATCH('BMP P Tracking Table'!$BA451,'Performance Curves'!$D$1:$L$1,1))),"")</f>
        <v/>
      </c>
      <c r="BD451" s="103" t="str" cm="1">
        <f t="array" ref="BD451">IFERROR(IF('BMP P Tracking Table'!$BA451=2,VLOOKUP(CONCATENATE('BMP P Tracking Table'!$AW451," ",'BMP P Tracking Table'!$AY451),'Performance Curves'!$C$1:$L$44,_xlfn.SINGLE(MATCH('BMP P Tracking Table'!$BA451,'Performance Curves'!$D$1:$L$1,1))+1,FALSE),'BMP P Tracking Table'!$BB451*'BMP P Tracking Table'!$BC451+VLOOKUP(CONCATENATE('BMP P Tracking Table'!$AW451," ",'BMP P Tracking Table'!$AY451),'Performance Curves'!$C$1:$L$44,_xlfn.SINGLE(MATCH('BMP P Tracking Table'!$BA451,'Performance Curves'!$D$1:$L$1,1))+1,FALSE)),"")</f>
        <v/>
      </c>
      <c r="BE451" s="104" t="str">
        <f>IFERROR('BMP P Tracking Table'!$BD451*'BMP P Tracking Table'!$AZ451,"")</f>
        <v/>
      </c>
      <c r="BF451" s="98"/>
      <c r="BG451" s="37">
        <f t="shared" si="42"/>
        <v>0</v>
      </c>
    </row>
    <row r="452" spans="2:67" s="36" customFormat="1">
      <c r="B452" s="65"/>
      <c r="C452" s="65"/>
      <c r="D452" s="65"/>
      <c r="E452" s="65"/>
      <c r="F452" s="94"/>
      <c r="G452" s="94"/>
      <c r="H452" s="65"/>
      <c r="I452" s="65"/>
      <c r="J452" s="65"/>
      <c r="K452" s="95"/>
      <c r="L452" s="65"/>
      <c r="M452" s="65"/>
      <c r="N452" s="65"/>
      <c r="O452" s="65"/>
      <c r="P452" s="65"/>
      <c r="Q452" s="65"/>
      <c r="R452" s="65" t="str">
        <f>IFERROR(VLOOKUP('BMP P Tracking Table'!$Q452,Dropdowns!$C$2:$E$15,3,FALSE),"")</f>
        <v/>
      </c>
      <c r="S452" s="65" t="str">
        <f>IFERROR(VLOOKUP('BMP P Tracking Table'!$R452,Dropdowns!$Q$3:$R$23,2,FALSE),"")</f>
        <v/>
      </c>
      <c r="T452" s="65"/>
      <c r="U452" s="65"/>
      <c r="V452" s="65"/>
      <c r="W452" s="65"/>
      <c r="X452" s="65"/>
      <c r="Y452" s="65"/>
      <c r="Z452" s="65"/>
      <c r="AA452" s="65"/>
      <c r="AB452" s="65"/>
      <c r="AC452" s="97"/>
      <c r="AD452" s="65"/>
      <c r="AE452" s="104" t="str">
        <f>IFERROR('BMP P Tracking Table'!$V452*VLOOKUP('BMP P Tracking Table'!$R452,'Loading Rates'!$B$1:$L$24,4,FALSE)+IF('BMP P Tracking Table'!$W452="By HSG",'BMP P Tracking Table'!$X452*VLOOKUP('BMP P Tracking Table'!$R452,'Loading Rates'!$B$1:$L$24,6,FALSE)+'BMP P Tracking Table'!$Y452*VLOOKUP('BMP P Tracking Table'!$R452,'Loading Rates'!$B$1:$L$24,7,FALSE)+'BMP P Tracking Table'!$Z452*VLOOKUP('BMP P Tracking Table'!$R452,'Loading Rates'!$B$1:$L$24,8,FALSE)+'BMP P Tracking Table'!$AA452*VLOOKUP('BMP P Tracking Table'!$R452,'Loading Rates'!$B$1:$L$24,9,FALSE),'BMP P Tracking Table'!$AB452*VLOOKUP('BMP P Tracking Table'!$R452,'Loading Rates'!$B$1:$L$24,10,FALSE)),"")</f>
        <v/>
      </c>
      <c r="AF452" s="104" t="str">
        <f>IFERROR(MIN(2,IF('BMP P Tracking Table'!$W452="Total Pervious",(-(3630*'BMP P Tracking Table'!$V452+20.691*'BMP P Tracking Table'!$AB452)+SQRT((3630*'BMP P Tracking Table'!$V452+20.691*'BMP P Tracking Table'!$AB452)^2-(4*(996.798*'BMP P Tracking Table'!$AB452)*-'BMP P Tracking Table'!$AC452)))/(2*(996.798*'BMP P Tracking Table'!$AB452)),IF(SUM('BMP P Tracking Table'!$X452:$AA452)=0,'BMP P Tracking Table'!$AC452/(-3630*'BMP P Tracking Table'!$V452),(-(3630*'BMP P Tracking Table'!$V452+20.691*'BMP P Tracking Table'!$AA452-216.711*'BMP P Tracking Table'!$Z452-83.853*'BMP P Tracking Table'!$Y452-42.834*'BMP P Tracking Table'!$X452)+SQRT((3630*'BMP P Tracking Table'!$V452+20.691*'BMP P Tracking Table'!$AA452-216.711*'BMP P Tracking Table'!$Z452-83.853*'BMP P Tracking Table'!$Y452-42.834*'BMP P Tracking Table'!$X452)^2-(4*(149.919*'BMP P Tracking Table'!$X452+236.676*'BMP P Tracking Table'!$Y452+726*'BMP P Tracking Table'!$Z452+996.798*'BMP P Tracking Table'!$AA452)*-'BMP P Tracking Table'!$AC452)))/(2*(149.919*'BMP P Tracking Table'!$X452+236.676*'BMP P Tracking Table'!$Y452+726*'BMP P Tracking Table'!$Z452+996.798*'BMP P Tracking Table'!$AA452))))),"")</f>
        <v/>
      </c>
      <c r="AG452" s="104" t="str">
        <f>IFERROR((VLOOKUP(CONCATENATE('BMP P Tracking Table'!$U452," ",'BMP P Tracking Table'!$AD452),'Performance Curves'!$C$1:$L$46,_xlfn.SINGLE(MATCH('BMP P Tracking Table'!$AF452,'Performance Curves'!$D$1:$L$1,1))+2,FALSE)-VLOOKUP(CONCATENATE('BMP P Tracking Table'!$U452," ",'BMP P Tracking Table'!$AD452),'Performance Curves'!$C$1:$L$46,_xlfn.SINGLE(MATCH('BMP P Tracking Table'!$AF452,'Performance Curves'!$D$1:$L$1,1))+1,FALSE)),"")</f>
        <v/>
      </c>
      <c r="AH452" s="104" t="str">
        <f>IFERROR(('BMP P Tracking Table'!$AF452-INDEX('Performance Curves'!$D$1:$L$1,1,MATCH('BMP P Tracking Table'!$AF452,'Performance Curves'!$D$1:$L$1,1)))/(INDEX('Performance Curves'!$D$1:$L$1,1,MATCH('BMP P Tracking Table'!$AF452,'Performance Curves'!$D$1:$L$1,1)+1)-INDEX('Performance Curves'!$D$1:$L$1,1,MATCH('BMP P Tracking Table'!$AF452,'Performance Curves'!$D$1:$L$1,1))),"")</f>
        <v/>
      </c>
      <c r="AI452" s="103" t="str">
        <f>IFERROR(IF('BMP P Tracking Table'!$AF452=2,VLOOKUP(CONCATENATE('BMP P Tracking Table'!$U452," ",'BMP P Tracking Table'!$AD452),'Performance Curves'!$C$1:$L$46,_xlfn.SINGLE(MATCH('BMP P Tracking Table'!$AF452,'Performance Curves'!$D$1:$L$1,1))+1,FALSE),'BMP P Tracking Table'!$AG452*'BMP P Tracking Table'!$AH452+VLOOKUP(CONCATENATE('BMP P Tracking Table'!$U452," ",'BMP P Tracking Table'!$AD452),'Performance Curves'!$C$1:$L$46,_xlfn.SINGLE(MATCH('BMP P Tracking Table'!$AF452,'Performance Curves'!$D$1:$L$1,1))+1,FALSE)),"")</f>
        <v/>
      </c>
      <c r="AJ452" s="104" t="str">
        <f>IFERROR('BMP P Tracking Table'!$AI452*'BMP P Tracking Table'!$AE452,"")</f>
        <v/>
      </c>
      <c r="AK452" s="65"/>
      <c r="AL452" s="98"/>
      <c r="AM452" s="98"/>
      <c r="AN452" s="64">
        <v>1</v>
      </c>
      <c r="AO452" s="102" t="str">
        <f t="shared" si="41"/>
        <v/>
      </c>
      <c r="AP452" s="98"/>
      <c r="AQ452" s="98"/>
      <c r="AR452" s="98"/>
      <c r="AS452" s="98"/>
      <c r="AT452" s="98"/>
      <c r="AU452" s="98"/>
      <c r="AV452" s="98"/>
      <c r="AW452" s="65"/>
      <c r="AX452" s="99"/>
      <c r="AY452" s="99"/>
      <c r="AZ452" s="104" t="str">
        <f>IF('BMP P Tracking Table'!$AL452="Yes",IF('BMP P Tracking Table'!$AM452="No",'BMP P Tracking Table'!$V452*VLOOKUP('BMP P Tracking Table'!$R452,'Loading Rates'!$B$1:$L$24,4,FALSE)+IF('BMP P Tracking Table'!$W452="By HSG",'BMP P Tracking Table'!$X452*VLOOKUP('BMP P Tracking Table'!$R452,'Loading Rates'!$B$1:$L$24,6,FALSE)+'BMP P Tracking Table'!$Y452*VLOOKUP('BMP P Tracking Table'!$R452,'Loading Rates'!$B$1:$L$24,7,FALSE)+'BMP P Tracking Table'!$Z452*VLOOKUP('BMP P Tracking Table'!$R452,'Loading Rates'!$B$1:$L$24,8,FALSE)+'BMP P Tracking Table'!$AA452*VLOOKUP('BMP P Tracking Table'!$R452,'Loading Rates'!$B$1:$L$24,9,FALSE),'BMP P Tracking Table'!$AB452*VLOOKUP('BMP P Tracking Table'!$R452,'Loading Rates'!$B$1:$L$24,10,FALSE)),'BMP P Tracking Table'!$AP452*VLOOKUP('BMP P Tracking Table'!$R452,'Loading Rates'!$B$1:$L$24,4,FALSE)+IF('BMP P Tracking Table'!$AQ452="By HSG",'BMP P Tracking Table'!$AR452*VLOOKUP('BMP P Tracking Table'!$R452,'Loading Rates'!$B$1:$L$24,6,FALSE)+'BMP P Tracking Table'!$AS452*VLOOKUP('BMP P Tracking Table'!$R452,'Loading Rates'!$B$1:$L$24,7,FALSE)+'BMP P Tracking Table'!$AT452*VLOOKUP('BMP P Tracking Table'!$R452,'Loading Rates'!$B$1:$L$24,8,FALSE)+'BMP P Tracking Table'!$AU452*VLOOKUP('BMP P Tracking Table'!$R452,'Loading Rates'!$B$1:$L$24,9,FALSE),'BMP P Tracking Table'!$AV452*VLOOKUP('BMP P Tracking Table'!$R452,'Loading Rates'!$B$1:$L$24,10,FALSE))),"")</f>
        <v/>
      </c>
      <c r="BA452" s="104" t="str">
        <f>IFERROR(IF('BMP P Tracking Table'!$AM452="Yes",MIN(2,IF('BMP P Tracking Table'!$AQ452="Total Pervious",(-(3630*'BMP P Tracking Table'!$AP452+20.691*'BMP P Tracking Table'!$AV452)+SQRT((3630*'BMP P Tracking Table'!$AP452+20.691*'BMP P Tracking Table'!$AV452)^2-(4*(996.798*'BMP P Tracking Table'!$AV452)*-'BMP P Tracking Table'!$AX452)))/(2*(996.798*'BMP P Tracking Table'!$AV452)),IF(SUM('BMP P Tracking Table'!$AR452:$AU452)=0,'BMP P Tracking Table'!$AV452/(-3630*'BMP P Tracking Table'!$AP452),(-(3630*'BMP P Tracking Table'!$AP452+20.691*'BMP P Tracking Table'!$AU452-216.711*'BMP P Tracking Table'!$AT452-83.853*'BMP P Tracking Table'!$AS452-42.834*'BMP P Tracking Table'!$AR452)+SQRT((3630*'BMP P Tracking Table'!$AP452+20.691*'BMP P Tracking Table'!$AU452-216.711*'BMP P Tracking Table'!$AT452-83.853*'BMP P Tracking Table'!$AS452-42.834*'BMP P Tracking Table'!$AR452)^2-(4*(149.919*'BMP P Tracking Table'!$AR452+236.676*'BMP P Tracking Table'!$AS452+726*'BMP P Tracking Table'!$AT452+996.798*'BMP P Tracking Table'!$AU452)*-'BMP P Tracking Table'!$AX452)))/(2*(149.919*'BMP P Tracking Table'!$AR452+236.676*'BMP P Tracking Table'!$AS452+726*'BMP P Tracking Table'!$AT452+996.798*'BMP P Tracking Table'!$AU452))))),MIN(2,IF('BMP P Tracking Table'!$AQ452="Total Pervious",(-(3630*'BMP P Tracking Table'!$V452+20.691*'BMP P Tracking Table'!$AB452)+SQRT((3630*'BMP P Tracking Table'!$V452+20.691*'BMP P Tracking Table'!$AB452)^2-(4*(996.798*'BMP P Tracking Table'!$AB452)*-'BMP P Tracking Table'!$AX452)))/(2*(996.798*'BMP P Tracking Table'!$AB452)),IF(SUM('BMP P Tracking Table'!$X452:$AA452)=0,'BMP P Tracking Table'!$AX452/(-3630*'BMP P Tracking Table'!$V452),(-(3630*'BMP P Tracking Table'!$V452+20.691*'BMP P Tracking Table'!$AA452-216.711*'BMP P Tracking Table'!$Z452-83.853*'BMP P Tracking Table'!$Y452-42.834*'BMP P Tracking Table'!$X452)+SQRT((3630*'BMP P Tracking Table'!$V452+20.691*'BMP P Tracking Table'!$AA452-216.711*'BMP P Tracking Table'!$Z452-83.853*'BMP P Tracking Table'!$Y452-42.834*'BMP P Tracking Table'!$X452)^2-(4*(149.919*'BMP P Tracking Table'!$X452+236.676*'BMP P Tracking Table'!$Y452+726*'BMP P Tracking Table'!$Z452+996.798*'BMP P Tracking Table'!$AA452)*-'BMP P Tracking Table'!$AX452)))/(2*(149.919*'BMP P Tracking Table'!$X452+236.676*'BMP P Tracking Table'!$Y452+726*'BMP P Tracking Table'!$Z452+996.798*'BMP P Tracking Table'!$AA452)))))),"")</f>
        <v/>
      </c>
      <c r="BB452" s="102" t="str">
        <f>IFERROR((VLOOKUP(CONCATENATE('BMP P Tracking Table'!$AW452," ",'BMP P Tracking Table'!$AY452),'Performance Curves'!$C$1:$L$46,_xlfn.SINGLE(MATCH('BMP P Tracking Table'!$BA452,'Performance Curves'!$D$1:$L$1,1))+2,FALSE)-VLOOKUP(CONCATENATE('BMP P Tracking Table'!$AW452," ",'BMP P Tracking Table'!$AY452),'Performance Curves'!$C$1:$L$46,_xlfn.SINGLE(MATCH('BMP P Tracking Table'!$BA452,'Performance Curves'!$D$1:$L$1,1))+1,FALSE)),"")</f>
        <v/>
      </c>
      <c r="BC452" s="102" t="str">
        <f>IFERROR(('BMP P Tracking Table'!$BA452-INDEX('Performance Curves'!$D$1:$L$1,1,MATCH('BMP P Tracking Table'!$BA452,'Performance Curves'!$D$1:$L$1,1)))/(INDEX('Performance Curves'!$D$1:$L$1,1,MATCH('BMP P Tracking Table'!$BA452,'Performance Curves'!$D$1:$L$1,1)+1)-INDEX('Performance Curves'!$D$1:$L$1,1,MATCH('BMP P Tracking Table'!$BA452,'Performance Curves'!$D$1:$L$1,1))),"")</f>
        <v/>
      </c>
      <c r="BD452" s="103" t="str" cm="1">
        <f t="array" ref="BD452">IFERROR(IF('BMP P Tracking Table'!$BA452=2,VLOOKUP(CONCATENATE('BMP P Tracking Table'!$AW452," ",'BMP P Tracking Table'!$AY452),'Performance Curves'!$C$1:$L$44,_xlfn.SINGLE(MATCH('BMP P Tracking Table'!$BA452,'Performance Curves'!$D$1:$L$1,1))+1,FALSE),'BMP P Tracking Table'!$BB452*'BMP P Tracking Table'!$BC452+VLOOKUP(CONCATENATE('BMP P Tracking Table'!$AW452," ",'BMP P Tracking Table'!$AY452),'Performance Curves'!$C$1:$L$44,_xlfn.SINGLE(MATCH('BMP P Tracking Table'!$BA452,'Performance Curves'!$D$1:$L$1,1))+1,FALSE)),"")</f>
        <v/>
      </c>
      <c r="BE452" s="104" t="str">
        <f>IFERROR('BMP P Tracking Table'!$BD452*'BMP P Tracking Table'!$AZ452,"")</f>
        <v/>
      </c>
      <c r="BF452" s="98"/>
      <c r="BG452" s="37">
        <f t="shared" si="42"/>
        <v>0</v>
      </c>
    </row>
    <row r="453" spans="2:67" s="36" customFormat="1">
      <c r="B453" s="65"/>
      <c r="C453" s="65"/>
      <c r="D453" s="65"/>
      <c r="E453" s="65"/>
      <c r="F453" s="94"/>
      <c r="G453" s="94"/>
      <c r="H453" s="65"/>
      <c r="I453" s="65"/>
      <c r="J453" s="65"/>
      <c r="K453" s="95"/>
      <c r="L453" s="65"/>
      <c r="M453" s="65"/>
      <c r="N453" s="65"/>
      <c r="O453" s="65"/>
      <c r="P453" s="65"/>
      <c r="Q453" s="65"/>
      <c r="R453" s="65" t="str">
        <f>IFERROR(VLOOKUP('BMP P Tracking Table'!$Q453,Dropdowns!$C$2:$E$15,3,FALSE),"")</f>
        <v/>
      </c>
      <c r="S453" s="65" t="str">
        <f>IFERROR(VLOOKUP('BMP P Tracking Table'!$R453,Dropdowns!$Q$3:$R$23,2,FALSE),"")</f>
        <v/>
      </c>
      <c r="T453" s="65"/>
      <c r="U453" s="65"/>
      <c r="V453" s="65"/>
      <c r="W453" s="65"/>
      <c r="X453" s="65"/>
      <c r="Y453" s="65"/>
      <c r="Z453" s="65"/>
      <c r="AA453" s="65"/>
      <c r="AB453" s="65"/>
      <c r="AC453" s="97"/>
      <c r="AD453" s="65"/>
      <c r="AE453" s="104" t="str">
        <f>IFERROR('BMP P Tracking Table'!$V453*VLOOKUP('BMP P Tracking Table'!$R453,'Loading Rates'!$B$1:$L$24,4,FALSE)+IF('BMP P Tracking Table'!$W453="By HSG",'BMP P Tracking Table'!$X453*VLOOKUP('BMP P Tracking Table'!$R453,'Loading Rates'!$B$1:$L$24,6,FALSE)+'BMP P Tracking Table'!$Y453*VLOOKUP('BMP P Tracking Table'!$R453,'Loading Rates'!$B$1:$L$24,7,FALSE)+'BMP P Tracking Table'!$Z453*VLOOKUP('BMP P Tracking Table'!$R453,'Loading Rates'!$B$1:$L$24,8,FALSE)+'BMP P Tracking Table'!$AA453*VLOOKUP('BMP P Tracking Table'!$R453,'Loading Rates'!$B$1:$L$24,9,FALSE),'BMP P Tracking Table'!$AB453*VLOOKUP('BMP P Tracking Table'!$R453,'Loading Rates'!$B$1:$L$24,10,FALSE)),"")</f>
        <v/>
      </c>
      <c r="AF453" s="104" t="str">
        <f>IFERROR(MIN(2,IF('BMP P Tracking Table'!$W453="Total Pervious",(-(3630*'BMP P Tracking Table'!$V453+20.691*'BMP P Tracking Table'!$AB453)+SQRT((3630*'BMP P Tracking Table'!$V453+20.691*'BMP P Tracking Table'!$AB453)^2-(4*(996.798*'BMP P Tracking Table'!$AB453)*-'BMP P Tracking Table'!$AC453)))/(2*(996.798*'BMP P Tracking Table'!$AB453)),IF(SUM('BMP P Tracking Table'!$X453:$AA453)=0,'BMP P Tracking Table'!$AC453/(-3630*'BMP P Tracking Table'!$V453),(-(3630*'BMP P Tracking Table'!$V453+20.691*'BMP P Tracking Table'!$AA453-216.711*'BMP P Tracking Table'!$Z453-83.853*'BMP P Tracking Table'!$Y453-42.834*'BMP P Tracking Table'!$X453)+SQRT((3630*'BMP P Tracking Table'!$V453+20.691*'BMP P Tracking Table'!$AA453-216.711*'BMP P Tracking Table'!$Z453-83.853*'BMP P Tracking Table'!$Y453-42.834*'BMP P Tracking Table'!$X453)^2-(4*(149.919*'BMP P Tracking Table'!$X453+236.676*'BMP P Tracking Table'!$Y453+726*'BMP P Tracking Table'!$Z453+996.798*'BMP P Tracking Table'!$AA453)*-'BMP P Tracking Table'!$AC453)))/(2*(149.919*'BMP P Tracking Table'!$X453+236.676*'BMP P Tracking Table'!$Y453+726*'BMP P Tracking Table'!$Z453+996.798*'BMP P Tracking Table'!$AA453))))),"")</f>
        <v/>
      </c>
      <c r="AG453" s="104" t="str">
        <f>IFERROR((VLOOKUP(CONCATENATE('BMP P Tracking Table'!$U453," ",'BMP P Tracking Table'!$AD453),'Performance Curves'!$C$1:$L$46,_xlfn.SINGLE(MATCH('BMP P Tracking Table'!$AF453,'Performance Curves'!$D$1:$L$1,1))+2,FALSE)-VLOOKUP(CONCATENATE('BMP P Tracking Table'!$U453," ",'BMP P Tracking Table'!$AD453),'Performance Curves'!$C$1:$L$46,_xlfn.SINGLE(MATCH('BMP P Tracking Table'!$AF453,'Performance Curves'!$D$1:$L$1,1))+1,FALSE)),"")</f>
        <v/>
      </c>
      <c r="AH453" s="104" t="str">
        <f>IFERROR(('BMP P Tracking Table'!$AF453-INDEX('Performance Curves'!$D$1:$L$1,1,MATCH('BMP P Tracking Table'!$AF453,'Performance Curves'!$D$1:$L$1,1)))/(INDEX('Performance Curves'!$D$1:$L$1,1,MATCH('BMP P Tracking Table'!$AF453,'Performance Curves'!$D$1:$L$1,1)+1)-INDEX('Performance Curves'!$D$1:$L$1,1,MATCH('BMP P Tracking Table'!$AF453,'Performance Curves'!$D$1:$L$1,1))),"")</f>
        <v/>
      </c>
      <c r="AI453" s="103" t="str">
        <f>IFERROR(IF('BMP P Tracking Table'!$AF453=2,VLOOKUP(CONCATENATE('BMP P Tracking Table'!$U453," ",'BMP P Tracking Table'!$AD453),'Performance Curves'!$C$1:$L$46,_xlfn.SINGLE(MATCH('BMP P Tracking Table'!$AF453,'Performance Curves'!$D$1:$L$1,1))+1,FALSE),'BMP P Tracking Table'!$AG453*'BMP P Tracking Table'!$AH453+VLOOKUP(CONCATENATE('BMP P Tracking Table'!$U453," ",'BMP P Tracking Table'!$AD453),'Performance Curves'!$C$1:$L$46,_xlfn.SINGLE(MATCH('BMP P Tracking Table'!$AF453,'Performance Curves'!$D$1:$L$1,1))+1,FALSE)),"")</f>
        <v/>
      </c>
      <c r="AJ453" s="104" t="str">
        <f>IFERROR('BMP P Tracking Table'!$AI453*'BMP P Tracking Table'!$AE453,"")</f>
        <v/>
      </c>
      <c r="AK453" s="65"/>
      <c r="AL453" s="98"/>
      <c r="AM453" s="98"/>
      <c r="AN453" s="64">
        <v>1</v>
      </c>
      <c r="AO453" s="102" t="str">
        <f t="shared" si="41"/>
        <v/>
      </c>
      <c r="AP453" s="98"/>
      <c r="AQ453" s="98"/>
      <c r="AR453" s="98"/>
      <c r="AS453" s="98"/>
      <c r="AT453" s="98"/>
      <c r="AU453" s="98"/>
      <c r="AV453" s="98"/>
      <c r="AW453" s="65"/>
      <c r="AX453" s="99"/>
      <c r="AY453" s="99"/>
      <c r="AZ453" s="104" t="str">
        <f>IF('BMP P Tracking Table'!$AL453="Yes",IF('BMP P Tracking Table'!$AM453="No",'BMP P Tracking Table'!$V453*VLOOKUP('BMP P Tracking Table'!$R453,'Loading Rates'!$B$1:$L$24,4,FALSE)+IF('BMP P Tracking Table'!$W453="By HSG",'BMP P Tracking Table'!$X453*VLOOKUP('BMP P Tracking Table'!$R453,'Loading Rates'!$B$1:$L$24,6,FALSE)+'BMP P Tracking Table'!$Y453*VLOOKUP('BMP P Tracking Table'!$R453,'Loading Rates'!$B$1:$L$24,7,FALSE)+'BMP P Tracking Table'!$Z453*VLOOKUP('BMP P Tracking Table'!$R453,'Loading Rates'!$B$1:$L$24,8,FALSE)+'BMP P Tracking Table'!$AA453*VLOOKUP('BMP P Tracking Table'!$R453,'Loading Rates'!$B$1:$L$24,9,FALSE),'BMP P Tracking Table'!$AB453*VLOOKUP('BMP P Tracking Table'!$R453,'Loading Rates'!$B$1:$L$24,10,FALSE)),'BMP P Tracking Table'!$AP453*VLOOKUP('BMP P Tracking Table'!$R453,'Loading Rates'!$B$1:$L$24,4,FALSE)+IF('BMP P Tracking Table'!$AQ453="By HSG",'BMP P Tracking Table'!$AR453*VLOOKUP('BMP P Tracking Table'!$R453,'Loading Rates'!$B$1:$L$24,6,FALSE)+'BMP P Tracking Table'!$AS453*VLOOKUP('BMP P Tracking Table'!$R453,'Loading Rates'!$B$1:$L$24,7,FALSE)+'BMP P Tracking Table'!$AT453*VLOOKUP('BMP P Tracking Table'!$R453,'Loading Rates'!$B$1:$L$24,8,FALSE)+'BMP P Tracking Table'!$AU453*VLOOKUP('BMP P Tracking Table'!$R453,'Loading Rates'!$B$1:$L$24,9,FALSE),'BMP P Tracking Table'!$AV453*VLOOKUP('BMP P Tracking Table'!$R453,'Loading Rates'!$B$1:$L$24,10,FALSE))),"")</f>
        <v/>
      </c>
      <c r="BA453" s="104" t="str">
        <f>IFERROR(IF('BMP P Tracking Table'!$AM453="Yes",MIN(2,IF('BMP P Tracking Table'!$AQ453="Total Pervious",(-(3630*'BMP P Tracking Table'!$AP453+20.691*'BMP P Tracking Table'!$AV453)+SQRT((3630*'BMP P Tracking Table'!$AP453+20.691*'BMP P Tracking Table'!$AV453)^2-(4*(996.798*'BMP P Tracking Table'!$AV453)*-'BMP P Tracking Table'!$AX453)))/(2*(996.798*'BMP P Tracking Table'!$AV453)),IF(SUM('BMP P Tracking Table'!$AR453:$AU453)=0,'BMP P Tracking Table'!$AV453/(-3630*'BMP P Tracking Table'!$AP453),(-(3630*'BMP P Tracking Table'!$AP453+20.691*'BMP P Tracking Table'!$AU453-216.711*'BMP P Tracking Table'!$AT453-83.853*'BMP P Tracking Table'!$AS453-42.834*'BMP P Tracking Table'!$AR453)+SQRT((3630*'BMP P Tracking Table'!$AP453+20.691*'BMP P Tracking Table'!$AU453-216.711*'BMP P Tracking Table'!$AT453-83.853*'BMP P Tracking Table'!$AS453-42.834*'BMP P Tracking Table'!$AR453)^2-(4*(149.919*'BMP P Tracking Table'!$AR453+236.676*'BMP P Tracking Table'!$AS453+726*'BMP P Tracking Table'!$AT453+996.798*'BMP P Tracking Table'!$AU453)*-'BMP P Tracking Table'!$AX453)))/(2*(149.919*'BMP P Tracking Table'!$AR453+236.676*'BMP P Tracking Table'!$AS453+726*'BMP P Tracking Table'!$AT453+996.798*'BMP P Tracking Table'!$AU453))))),MIN(2,IF('BMP P Tracking Table'!$AQ453="Total Pervious",(-(3630*'BMP P Tracking Table'!$V453+20.691*'BMP P Tracking Table'!$AB453)+SQRT((3630*'BMP P Tracking Table'!$V453+20.691*'BMP P Tracking Table'!$AB453)^2-(4*(996.798*'BMP P Tracking Table'!$AB453)*-'BMP P Tracking Table'!$AX453)))/(2*(996.798*'BMP P Tracking Table'!$AB453)),IF(SUM('BMP P Tracking Table'!$X453:$AA453)=0,'BMP P Tracking Table'!$AX453/(-3630*'BMP P Tracking Table'!$V453),(-(3630*'BMP P Tracking Table'!$V453+20.691*'BMP P Tracking Table'!$AA453-216.711*'BMP P Tracking Table'!$Z453-83.853*'BMP P Tracking Table'!$Y453-42.834*'BMP P Tracking Table'!$X453)+SQRT((3630*'BMP P Tracking Table'!$V453+20.691*'BMP P Tracking Table'!$AA453-216.711*'BMP P Tracking Table'!$Z453-83.853*'BMP P Tracking Table'!$Y453-42.834*'BMP P Tracking Table'!$X453)^2-(4*(149.919*'BMP P Tracking Table'!$X453+236.676*'BMP P Tracking Table'!$Y453+726*'BMP P Tracking Table'!$Z453+996.798*'BMP P Tracking Table'!$AA453)*-'BMP P Tracking Table'!$AX453)))/(2*(149.919*'BMP P Tracking Table'!$X453+236.676*'BMP P Tracking Table'!$Y453+726*'BMP P Tracking Table'!$Z453+996.798*'BMP P Tracking Table'!$AA453)))))),"")</f>
        <v/>
      </c>
      <c r="BB453" s="102" t="str">
        <f>IFERROR((VLOOKUP(CONCATENATE('BMP P Tracking Table'!$AW453," ",'BMP P Tracking Table'!$AY453),'Performance Curves'!$C$1:$L$46,_xlfn.SINGLE(MATCH('BMP P Tracking Table'!$BA453,'Performance Curves'!$D$1:$L$1,1))+2,FALSE)-VLOOKUP(CONCATENATE('BMP P Tracking Table'!$AW453," ",'BMP P Tracking Table'!$AY453),'Performance Curves'!$C$1:$L$46,_xlfn.SINGLE(MATCH('BMP P Tracking Table'!$BA453,'Performance Curves'!$D$1:$L$1,1))+1,FALSE)),"")</f>
        <v/>
      </c>
      <c r="BC453" s="102" t="str">
        <f>IFERROR(('BMP P Tracking Table'!$BA453-INDEX('Performance Curves'!$D$1:$L$1,1,MATCH('BMP P Tracking Table'!$BA453,'Performance Curves'!$D$1:$L$1,1)))/(INDEX('Performance Curves'!$D$1:$L$1,1,MATCH('BMP P Tracking Table'!$BA453,'Performance Curves'!$D$1:$L$1,1)+1)-INDEX('Performance Curves'!$D$1:$L$1,1,MATCH('BMP P Tracking Table'!$BA453,'Performance Curves'!$D$1:$L$1,1))),"")</f>
        <v/>
      </c>
      <c r="BD453" s="103" t="str" cm="1">
        <f t="array" ref="BD453">IFERROR(IF('BMP P Tracking Table'!$BA453=2,VLOOKUP(CONCATENATE('BMP P Tracking Table'!$AW453," ",'BMP P Tracking Table'!$AY453),'Performance Curves'!$C$1:$L$44,_xlfn.SINGLE(MATCH('BMP P Tracking Table'!$BA453,'Performance Curves'!$D$1:$L$1,1))+1,FALSE),'BMP P Tracking Table'!$BB453*'BMP P Tracking Table'!$BC453+VLOOKUP(CONCATENATE('BMP P Tracking Table'!$AW453," ",'BMP P Tracking Table'!$AY453),'Performance Curves'!$C$1:$L$44,_xlfn.SINGLE(MATCH('BMP P Tracking Table'!$BA453,'Performance Curves'!$D$1:$L$1,1))+1,FALSE)),"")</f>
        <v/>
      </c>
      <c r="BE453" s="104" t="str">
        <f>IFERROR('BMP P Tracking Table'!$BD453*'BMP P Tracking Table'!$AZ453,"")</f>
        <v/>
      </c>
      <c r="BF453" s="98"/>
      <c r="BG453" s="37">
        <f t="shared" si="42"/>
        <v>0</v>
      </c>
    </row>
    <row r="454" spans="2:67" s="36" customFormat="1">
      <c r="B454" s="65"/>
      <c r="C454" s="65"/>
      <c r="D454" s="65"/>
      <c r="E454" s="65"/>
      <c r="F454" s="94"/>
      <c r="G454" s="94"/>
      <c r="H454" s="65"/>
      <c r="I454" s="65"/>
      <c r="J454" s="65"/>
      <c r="K454" s="95"/>
      <c r="L454" s="65"/>
      <c r="M454" s="65"/>
      <c r="N454" s="65"/>
      <c r="O454" s="65"/>
      <c r="P454" s="65"/>
      <c r="Q454" s="65"/>
      <c r="R454" s="65" t="str">
        <f>IFERROR(VLOOKUP('BMP P Tracking Table'!$Q454,Dropdowns!$C$2:$E$15,3,FALSE),"")</f>
        <v/>
      </c>
      <c r="S454" s="65" t="str">
        <f>IFERROR(VLOOKUP('BMP P Tracking Table'!$R454,Dropdowns!$Q$3:$R$23,2,FALSE),"")</f>
        <v/>
      </c>
      <c r="T454" s="65"/>
      <c r="U454" s="65"/>
      <c r="V454" s="65"/>
      <c r="W454" s="65"/>
      <c r="X454" s="65"/>
      <c r="Y454" s="65"/>
      <c r="Z454" s="65"/>
      <c r="AA454" s="65"/>
      <c r="AB454" s="65"/>
      <c r="AC454" s="97"/>
      <c r="AD454" s="65"/>
      <c r="AE454" s="104" t="str">
        <f>IFERROR('BMP P Tracking Table'!$V454*VLOOKUP('BMP P Tracking Table'!$R454,'Loading Rates'!$B$1:$L$24,4,FALSE)+IF('BMP P Tracking Table'!$W454="By HSG",'BMP P Tracking Table'!$X454*VLOOKUP('BMP P Tracking Table'!$R454,'Loading Rates'!$B$1:$L$24,6,FALSE)+'BMP P Tracking Table'!$Y454*VLOOKUP('BMP P Tracking Table'!$R454,'Loading Rates'!$B$1:$L$24,7,FALSE)+'BMP P Tracking Table'!$Z454*VLOOKUP('BMP P Tracking Table'!$R454,'Loading Rates'!$B$1:$L$24,8,FALSE)+'BMP P Tracking Table'!$AA454*VLOOKUP('BMP P Tracking Table'!$R454,'Loading Rates'!$B$1:$L$24,9,FALSE),'BMP P Tracking Table'!$AB454*VLOOKUP('BMP P Tracking Table'!$R454,'Loading Rates'!$B$1:$L$24,10,FALSE)),"")</f>
        <v/>
      </c>
      <c r="AF454" s="104" t="str">
        <f>IFERROR(MIN(2,IF('BMP P Tracking Table'!$W454="Total Pervious",(-(3630*'BMP P Tracking Table'!$V454+20.691*'BMP P Tracking Table'!$AB454)+SQRT((3630*'BMP P Tracking Table'!$V454+20.691*'BMP P Tracking Table'!$AB454)^2-(4*(996.798*'BMP P Tracking Table'!$AB454)*-'BMP P Tracking Table'!$AC454)))/(2*(996.798*'BMP P Tracking Table'!$AB454)),IF(SUM('BMP P Tracking Table'!$X454:$AA454)=0,'BMP P Tracking Table'!$AC454/(-3630*'BMP P Tracking Table'!$V454),(-(3630*'BMP P Tracking Table'!$V454+20.691*'BMP P Tracking Table'!$AA454-216.711*'BMP P Tracking Table'!$Z454-83.853*'BMP P Tracking Table'!$Y454-42.834*'BMP P Tracking Table'!$X454)+SQRT((3630*'BMP P Tracking Table'!$V454+20.691*'BMP P Tracking Table'!$AA454-216.711*'BMP P Tracking Table'!$Z454-83.853*'BMP P Tracking Table'!$Y454-42.834*'BMP P Tracking Table'!$X454)^2-(4*(149.919*'BMP P Tracking Table'!$X454+236.676*'BMP P Tracking Table'!$Y454+726*'BMP P Tracking Table'!$Z454+996.798*'BMP P Tracking Table'!$AA454)*-'BMP P Tracking Table'!$AC454)))/(2*(149.919*'BMP P Tracking Table'!$X454+236.676*'BMP P Tracking Table'!$Y454+726*'BMP P Tracking Table'!$Z454+996.798*'BMP P Tracking Table'!$AA454))))),"")</f>
        <v/>
      </c>
      <c r="AG454" s="104" t="str">
        <f>IFERROR((VLOOKUP(CONCATENATE('BMP P Tracking Table'!$U454," ",'BMP P Tracking Table'!$AD454),'Performance Curves'!$C$1:$L$46,_xlfn.SINGLE(MATCH('BMP P Tracking Table'!$AF454,'Performance Curves'!$D$1:$L$1,1))+2,FALSE)-VLOOKUP(CONCATENATE('BMP P Tracking Table'!$U454," ",'BMP P Tracking Table'!$AD454),'Performance Curves'!$C$1:$L$46,_xlfn.SINGLE(MATCH('BMP P Tracking Table'!$AF454,'Performance Curves'!$D$1:$L$1,1))+1,FALSE)),"")</f>
        <v/>
      </c>
      <c r="AH454" s="104" t="str">
        <f>IFERROR(('BMP P Tracking Table'!$AF454-INDEX('Performance Curves'!$D$1:$L$1,1,MATCH('BMP P Tracking Table'!$AF454,'Performance Curves'!$D$1:$L$1,1)))/(INDEX('Performance Curves'!$D$1:$L$1,1,MATCH('BMP P Tracking Table'!$AF454,'Performance Curves'!$D$1:$L$1,1)+1)-INDEX('Performance Curves'!$D$1:$L$1,1,MATCH('BMP P Tracking Table'!$AF454,'Performance Curves'!$D$1:$L$1,1))),"")</f>
        <v/>
      </c>
      <c r="AI454" s="103" t="str">
        <f>IFERROR(IF('BMP P Tracking Table'!$AF454=2,VLOOKUP(CONCATENATE('BMP P Tracking Table'!$U454," ",'BMP P Tracking Table'!$AD454),'Performance Curves'!$C$1:$L$46,_xlfn.SINGLE(MATCH('BMP P Tracking Table'!$AF454,'Performance Curves'!$D$1:$L$1,1))+1,FALSE),'BMP P Tracking Table'!$AG454*'BMP P Tracking Table'!$AH454+VLOOKUP(CONCATENATE('BMP P Tracking Table'!$U454," ",'BMP P Tracking Table'!$AD454),'Performance Curves'!$C$1:$L$46,_xlfn.SINGLE(MATCH('BMP P Tracking Table'!$AF454,'Performance Curves'!$D$1:$L$1,1))+1,FALSE)),"")</f>
        <v/>
      </c>
      <c r="AJ454" s="104" t="str">
        <f>IFERROR('BMP P Tracking Table'!$AI454*'BMP P Tracking Table'!$AE454,"")</f>
        <v/>
      </c>
      <c r="AK454" s="65"/>
      <c r="AL454" s="98"/>
      <c r="AM454" s="98"/>
      <c r="AN454" s="64">
        <v>1</v>
      </c>
      <c r="AO454" s="102" t="str">
        <f t="shared" si="41"/>
        <v/>
      </c>
      <c r="AP454" s="98"/>
      <c r="AQ454" s="98"/>
      <c r="AR454" s="98"/>
      <c r="AS454" s="98"/>
      <c r="AT454" s="98"/>
      <c r="AU454" s="98"/>
      <c r="AV454" s="98"/>
      <c r="AW454" s="65"/>
      <c r="AX454" s="99"/>
      <c r="AY454" s="99"/>
      <c r="AZ454" s="104" t="str">
        <f>IF('BMP P Tracking Table'!$AL454="Yes",IF('BMP P Tracking Table'!$AM454="No",'BMP P Tracking Table'!$V454*VLOOKUP('BMP P Tracking Table'!$R454,'Loading Rates'!$B$1:$L$24,4,FALSE)+IF('BMP P Tracking Table'!$W454="By HSG",'BMP P Tracking Table'!$X454*VLOOKUP('BMP P Tracking Table'!$R454,'Loading Rates'!$B$1:$L$24,6,FALSE)+'BMP P Tracking Table'!$Y454*VLOOKUP('BMP P Tracking Table'!$R454,'Loading Rates'!$B$1:$L$24,7,FALSE)+'BMP P Tracking Table'!$Z454*VLOOKUP('BMP P Tracking Table'!$R454,'Loading Rates'!$B$1:$L$24,8,FALSE)+'BMP P Tracking Table'!$AA454*VLOOKUP('BMP P Tracking Table'!$R454,'Loading Rates'!$B$1:$L$24,9,FALSE),'BMP P Tracking Table'!$AB454*VLOOKUP('BMP P Tracking Table'!$R454,'Loading Rates'!$B$1:$L$24,10,FALSE)),'BMP P Tracking Table'!$AP454*VLOOKUP('BMP P Tracking Table'!$R454,'Loading Rates'!$B$1:$L$24,4,FALSE)+IF('BMP P Tracking Table'!$AQ454="By HSG",'BMP P Tracking Table'!$AR454*VLOOKUP('BMP P Tracking Table'!$R454,'Loading Rates'!$B$1:$L$24,6,FALSE)+'BMP P Tracking Table'!$AS454*VLOOKUP('BMP P Tracking Table'!$R454,'Loading Rates'!$B$1:$L$24,7,FALSE)+'BMP P Tracking Table'!$AT454*VLOOKUP('BMP P Tracking Table'!$R454,'Loading Rates'!$B$1:$L$24,8,FALSE)+'BMP P Tracking Table'!$AU454*VLOOKUP('BMP P Tracking Table'!$R454,'Loading Rates'!$B$1:$L$24,9,FALSE),'BMP P Tracking Table'!$AV454*VLOOKUP('BMP P Tracking Table'!$R454,'Loading Rates'!$B$1:$L$24,10,FALSE))),"")</f>
        <v/>
      </c>
      <c r="BA454" s="104" t="str">
        <f>IFERROR(IF('BMP P Tracking Table'!$AM454="Yes",MIN(2,IF('BMP P Tracking Table'!$AQ454="Total Pervious",(-(3630*'BMP P Tracking Table'!$AP454+20.691*'BMP P Tracking Table'!$AV454)+SQRT((3630*'BMP P Tracking Table'!$AP454+20.691*'BMP P Tracking Table'!$AV454)^2-(4*(996.798*'BMP P Tracking Table'!$AV454)*-'BMP P Tracking Table'!$AX454)))/(2*(996.798*'BMP P Tracking Table'!$AV454)),IF(SUM('BMP P Tracking Table'!$AR454:$AU454)=0,'BMP P Tracking Table'!$AV454/(-3630*'BMP P Tracking Table'!$AP454),(-(3630*'BMP P Tracking Table'!$AP454+20.691*'BMP P Tracking Table'!$AU454-216.711*'BMP P Tracking Table'!$AT454-83.853*'BMP P Tracking Table'!$AS454-42.834*'BMP P Tracking Table'!$AR454)+SQRT((3630*'BMP P Tracking Table'!$AP454+20.691*'BMP P Tracking Table'!$AU454-216.711*'BMP P Tracking Table'!$AT454-83.853*'BMP P Tracking Table'!$AS454-42.834*'BMP P Tracking Table'!$AR454)^2-(4*(149.919*'BMP P Tracking Table'!$AR454+236.676*'BMP P Tracking Table'!$AS454+726*'BMP P Tracking Table'!$AT454+996.798*'BMP P Tracking Table'!$AU454)*-'BMP P Tracking Table'!$AX454)))/(2*(149.919*'BMP P Tracking Table'!$AR454+236.676*'BMP P Tracking Table'!$AS454+726*'BMP P Tracking Table'!$AT454+996.798*'BMP P Tracking Table'!$AU454))))),MIN(2,IF('BMP P Tracking Table'!$AQ454="Total Pervious",(-(3630*'BMP P Tracking Table'!$V454+20.691*'BMP P Tracking Table'!$AB454)+SQRT((3630*'BMP P Tracking Table'!$V454+20.691*'BMP P Tracking Table'!$AB454)^2-(4*(996.798*'BMP P Tracking Table'!$AB454)*-'BMP P Tracking Table'!$AX454)))/(2*(996.798*'BMP P Tracking Table'!$AB454)),IF(SUM('BMP P Tracking Table'!$X454:$AA454)=0,'BMP P Tracking Table'!$AX454/(-3630*'BMP P Tracking Table'!$V454),(-(3630*'BMP P Tracking Table'!$V454+20.691*'BMP P Tracking Table'!$AA454-216.711*'BMP P Tracking Table'!$Z454-83.853*'BMP P Tracking Table'!$Y454-42.834*'BMP P Tracking Table'!$X454)+SQRT((3630*'BMP P Tracking Table'!$V454+20.691*'BMP P Tracking Table'!$AA454-216.711*'BMP P Tracking Table'!$Z454-83.853*'BMP P Tracking Table'!$Y454-42.834*'BMP P Tracking Table'!$X454)^2-(4*(149.919*'BMP P Tracking Table'!$X454+236.676*'BMP P Tracking Table'!$Y454+726*'BMP P Tracking Table'!$Z454+996.798*'BMP P Tracking Table'!$AA454)*-'BMP P Tracking Table'!$AX454)))/(2*(149.919*'BMP P Tracking Table'!$X454+236.676*'BMP P Tracking Table'!$Y454+726*'BMP P Tracking Table'!$Z454+996.798*'BMP P Tracking Table'!$AA454)))))),"")</f>
        <v/>
      </c>
      <c r="BB454" s="102" t="str">
        <f>IFERROR((VLOOKUP(CONCATENATE('BMP P Tracking Table'!$AW454," ",'BMP P Tracking Table'!$AY454),'Performance Curves'!$C$1:$L$46,_xlfn.SINGLE(MATCH('BMP P Tracking Table'!$BA454,'Performance Curves'!$D$1:$L$1,1))+2,FALSE)-VLOOKUP(CONCATENATE('BMP P Tracking Table'!$AW454," ",'BMP P Tracking Table'!$AY454),'Performance Curves'!$C$1:$L$46,_xlfn.SINGLE(MATCH('BMP P Tracking Table'!$BA454,'Performance Curves'!$D$1:$L$1,1))+1,FALSE)),"")</f>
        <v/>
      </c>
      <c r="BC454" s="102" t="str">
        <f>IFERROR(('BMP P Tracking Table'!$BA454-INDEX('Performance Curves'!$D$1:$L$1,1,MATCH('BMP P Tracking Table'!$BA454,'Performance Curves'!$D$1:$L$1,1)))/(INDEX('Performance Curves'!$D$1:$L$1,1,MATCH('BMP P Tracking Table'!$BA454,'Performance Curves'!$D$1:$L$1,1)+1)-INDEX('Performance Curves'!$D$1:$L$1,1,MATCH('BMP P Tracking Table'!$BA454,'Performance Curves'!$D$1:$L$1,1))),"")</f>
        <v/>
      </c>
      <c r="BD454" s="103" t="str" cm="1">
        <f t="array" ref="BD454">IFERROR(IF('BMP P Tracking Table'!$BA454=2,VLOOKUP(CONCATENATE('BMP P Tracking Table'!$AW454," ",'BMP P Tracking Table'!$AY454),'Performance Curves'!$C$1:$L$44,_xlfn.SINGLE(MATCH('BMP P Tracking Table'!$BA454,'Performance Curves'!$D$1:$L$1,1))+1,FALSE),'BMP P Tracking Table'!$BB454*'BMP P Tracking Table'!$BC454+VLOOKUP(CONCATENATE('BMP P Tracking Table'!$AW454," ",'BMP P Tracking Table'!$AY454),'Performance Curves'!$C$1:$L$44,_xlfn.SINGLE(MATCH('BMP P Tracking Table'!$BA454,'Performance Curves'!$D$1:$L$1,1))+1,FALSE)),"")</f>
        <v/>
      </c>
      <c r="BE454" s="104" t="str">
        <f>IFERROR('BMP P Tracking Table'!$BD454*'BMP P Tracking Table'!$AZ454,"")</f>
        <v/>
      </c>
      <c r="BF454" s="98"/>
      <c r="BG454" s="37">
        <f t="shared" si="42"/>
        <v>0</v>
      </c>
    </row>
    <row r="455" spans="2:67" s="36" customFormat="1">
      <c r="B455" s="65"/>
      <c r="C455" s="65"/>
      <c r="D455" s="65"/>
      <c r="E455" s="65"/>
      <c r="F455" s="94"/>
      <c r="G455" s="94"/>
      <c r="H455" s="65"/>
      <c r="I455" s="65"/>
      <c r="J455" s="65"/>
      <c r="K455" s="95"/>
      <c r="L455" s="65"/>
      <c r="M455" s="65"/>
      <c r="N455" s="65"/>
      <c r="O455" s="65"/>
      <c r="P455" s="65"/>
      <c r="Q455" s="65"/>
      <c r="R455" s="65" t="str">
        <f>IFERROR(VLOOKUP('BMP P Tracking Table'!$Q455,Dropdowns!$C$2:$E$15,3,FALSE),"")</f>
        <v/>
      </c>
      <c r="S455" s="65" t="str">
        <f>IFERROR(VLOOKUP('BMP P Tracking Table'!$R455,Dropdowns!$Q$3:$R$23,2,FALSE),"")</f>
        <v/>
      </c>
      <c r="T455" s="65"/>
      <c r="U455" s="65"/>
      <c r="V455" s="65"/>
      <c r="W455" s="65"/>
      <c r="X455" s="65"/>
      <c r="Y455" s="65"/>
      <c r="Z455" s="65"/>
      <c r="AA455" s="65"/>
      <c r="AB455" s="65"/>
      <c r="AC455" s="97"/>
      <c r="AD455" s="65"/>
      <c r="AE455" s="104" t="str">
        <f>IFERROR('BMP P Tracking Table'!$V455*VLOOKUP('BMP P Tracking Table'!$R455,'Loading Rates'!$B$1:$L$24,4,FALSE)+IF('BMP P Tracking Table'!$W455="By HSG",'BMP P Tracking Table'!$X455*VLOOKUP('BMP P Tracking Table'!$R455,'Loading Rates'!$B$1:$L$24,6,FALSE)+'BMP P Tracking Table'!$Y455*VLOOKUP('BMP P Tracking Table'!$R455,'Loading Rates'!$B$1:$L$24,7,FALSE)+'BMP P Tracking Table'!$Z455*VLOOKUP('BMP P Tracking Table'!$R455,'Loading Rates'!$B$1:$L$24,8,FALSE)+'BMP P Tracking Table'!$AA455*VLOOKUP('BMP P Tracking Table'!$R455,'Loading Rates'!$B$1:$L$24,9,FALSE),'BMP P Tracking Table'!$AB455*VLOOKUP('BMP P Tracking Table'!$R455,'Loading Rates'!$B$1:$L$24,10,FALSE)),"")</f>
        <v/>
      </c>
      <c r="AF455" s="104" t="str">
        <f>IFERROR(MIN(2,IF('BMP P Tracking Table'!$W455="Total Pervious",(-(3630*'BMP P Tracking Table'!$V455+20.691*'BMP P Tracking Table'!$AB455)+SQRT((3630*'BMP P Tracking Table'!$V455+20.691*'BMP P Tracking Table'!$AB455)^2-(4*(996.798*'BMP P Tracking Table'!$AB455)*-'BMP P Tracking Table'!$AC455)))/(2*(996.798*'BMP P Tracking Table'!$AB455)),IF(SUM('BMP P Tracking Table'!$X455:$AA455)=0,'BMP P Tracking Table'!$AC455/(-3630*'BMP P Tracking Table'!$V455),(-(3630*'BMP P Tracking Table'!$V455+20.691*'BMP P Tracking Table'!$AA455-216.711*'BMP P Tracking Table'!$Z455-83.853*'BMP P Tracking Table'!$Y455-42.834*'BMP P Tracking Table'!$X455)+SQRT((3630*'BMP P Tracking Table'!$V455+20.691*'BMP P Tracking Table'!$AA455-216.711*'BMP P Tracking Table'!$Z455-83.853*'BMP P Tracking Table'!$Y455-42.834*'BMP P Tracking Table'!$X455)^2-(4*(149.919*'BMP P Tracking Table'!$X455+236.676*'BMP P Tracking Table'!$Y455+726*'BMP P Tracking Table'!$Z455+996.798*'BMP P Tracking Table'!$AA455)*-'BMP P Tracking Table'!$AC455)))/(2*(149.919*'BMP P Tracking Table'!$X455+236.676*'BMP P Tracking Table'!$Y455+726*'BMP P Tracking Table'!$Z455+996.798*'BMP P Tracking Table'!$AA455))))),"")</f>
        <v/>
      </c>
      <c r="AG455" s="104" t="str">
        <f>IFERROR((VLOOKUP(CONCATENATE('BMP P Tracking Table'!$U455," ",'BMP P Tracking Table'!$AD455),'Performance Curves'!$C$1:$L$46,_xlfn.SINGLE(MATCH('BMP P Tracking Table'!$AF455,'Performance Curves'!$D$1:$L$1,1))+2,FALSE)-VLOOKUP(CONCATENATE('BMP P Tracking Table'!$U455," ",'BMP P Tracking Table'!$AD455),'Performance Curves'!$C$1:$L$46,_xlfn.SINGLE(MATCH('BMP P Tracking Table'!$AF455,'Performance Curves'!$D$1:$L$1,1))+1,FALSE)),"")</f>
        <v/>
      </c>
      <c r="AH455" s="104" t="str">
        <f>IFERROR(('BMP P Tracking Table'!$AF455-INDEX('Performance Curves'!$D$1:$L$1,1,MATCH('BMP P Tracking Table'!$AF455,'Performance Curves'!$D$1:$L$1,1)))/(INDEX('Performance Curves'!$D$1:$L$1,1,MATCH('BMP P Tracking Table'!$AF455,'Performance Curves'!$D$1:$L$1,1)+1)-INDEX('Performance Curves'!$D$1:$L$1,1,MATCH('BMP P Tracking Table'!$AF455,'Performance Curves'!$D$1:$L$1,1))),"")</f>
        <v/>
      </c>
      <c r="AI455" s="103" t="str">
        <f>IFERROR(IF('BMP P Tracking Table'!$AF455=2,VLOOKUP(CONCATENATE('BMP P Tracking Table'!$U455," ",'BMP P Tracking Table'!$AD455),'Performance Curves'!$C$1:$L$46,_xlfn.SINGLE(MATCH('BMP P Tracking Table'!$AF455,'Performance Curves'!$D$1:$L$1,1))+1,FALSE),'BMP P Tracking Table'!$AG455*'BMP P Tracking Table'!$AH455+VLOOKUP(CONCATENATE('BMP P Tracking Table'!$U455," ",'BMP P Tracking Table'!$AD455),'Performance Curves'!$C$1:$L$46,_xlfn.SINGLE(MATCH('BMP P Tracking Table'!$AF455,'Performance Curves'!$D$1:$L$1,1))+1,FALSE)),"")</f>
        <v/>
      </c>
      <c r="AJ455" s="104" t="str">
        <f>IFERROR('BMP P Tracking Table'!$AI455*'BMP P Tracking Table'!$AE455,"")</f>
        <v/>
      </c>
      <c r="AK455" s="65"/>
      <c r="AL455" s="98"/>
      <c r="AM455" s="98"/>
      <c r="AN455" s="64">
        <v>1</v>
      </c>
      <c r="AO455" s="102" t="str">
        <f t="shared" si="41"/>
        <v/>
      </c>
      <c r="AP455" s="98"/>
      <c r="AQ455" s="98"/>
      <c r="AR455" s="98"/>
      <c r="AS455" s="98"/>
      <c r="AT455" s="98"/>
      <c r="AU455" s="98"/>
      <c r="AV455" s="98"/>
      <c r="AW455" s="65"/>
      <c r="AX455" s="99"/>
      <c r="AY455" s="99"/>
      <c r="AZ455" s="104" t="str">
        <f>IF('BMP P Tracking Table'!$AL455="Yes",IF('BMP P Tracking Table'!$AM455="No",'BMP P Tracking Table'!$V455*VLOOKUP('BMP P Tracking Table'!$R455,'Loading Rates'!$B$1:$L$24,4,FALSE)+IF('BMP P Tracking Table'!$W455="By HSG",'BMP P Tracking Table'!$X455*VLOOKUP('BMP P Tracking Table'!$R455,'Loading Rates'!$B$1:$L$24,6,FALSE)+'BMP P Tracking Table'!$Y455*VLOOKUP('BMP P Tracking Table'!$R455,'Loading Rates'!$B$1:$L$24,7,FALSE)+'BMP P Tracking Table'!$Z455*VLOOKUP('BMP P Tracking Table'!$R455,'Loading Rates'!$B$1:$L$24,8,FALSE)+'BMP P Tracking Table'!$AA455*VLOOKUP('BMP P Tracking Table'!$R455,'Loading Rates'!$B$1:$L$24,9,FALSE),'BMP P Tracking Table'!$AB455*VLOOKUP('BMP P Tracking Table'!$R455,'Loading Rates'!$B$1:$L$24,10,FALSE)),'BMP P Tracking Table'!$AP455*VLOOKUP('BMP P Tracking Table'!$R455,'Loading Rates'!$B$1:$L$24,4,FALSE)+IF('BMP P Tracking Table'!$AQ455="By HSG",'BMP P Tracking Table'!$AR455*VLOOKUP('BMP P Tracking Table'!$R455,'Loading Rates'!$B$1:$L$24,6,FALSE)+'BMP P Tracking Table'!$AS455*VLOOKUP('BMP P Tracking Table'!$R455,'Loading Rates'!$B$1:$L$24,7,FALSE)+'BMP P Tracking Table'!$AT455*VLOOKUP('BMP P Tracking Table'!$R455,'Loading Rates'!$B$1:$L$24,8,FALSE)+'BMP P Tracking Table'!$AU455*VLOOKUP('BMP P Tracking Table'!$R455,'Loading Rates'!$B$1:$L$24,9,FALSE),'BMP P Tracking Table'!$AV455*VLOOKUP('BMP P Tracking Table'!$R455,'Loading Rates'!$B$1:$L$24,10,FALSE))),"")</f>
        <v/>
      </c>
      <c r="BA455" s="104" t="str">
        <f>IFERROR(IF('BMP P Tracking Table'!$AM455="Yes",MIN(2,IF('BMP P Tracking Table'!$AQ455="Total Pervious",(-(3630*'BMP P Tracking Table'!$AP455+20.691*'BMP P Tracking Table'!$AV455)+SQRT((3630*'BMP P Tracking Table'!$AP455+20.691*'BMP P Tracking Table'!$AV455)^2-(4*(996.798*'BMP P Tracking Table'!$AV455)*-'BMP P Tracking Table'!$AX455)))/(2*(996.798*'BMP P Tracking Table'!$AV455)),IF(SUM('BMP P Tracking Table'!$AR455:$AU455)=0,'BMP P Tracking Table'!$AV455/(-3630*'BMP P Tracking Table'!$AP455),(-(3630*'BMP P Tracking Table'!$AP455+20.691*'BMP P Tracking Table'!$AU455-216.711*'BMP P Tracking Table'!$AT455-83.853*'BMP P Tracking Table'!$AS455-42.834*'BMP P Tracking Table'!$AR455)+SQRT((3630*'BMP P Tracking Table'!$AP455+20.691*'BMP P Tracking Table'!$AU455-216.711*'BMP P Tracking Table'!$AT455-83.853*'BMP P Tracking Table'!$AS455-42.834*'BMP P Tracking Table'!$AR455)^2-(4*(149.919*'BMP P Tracking Table'!$AR455+236.676*'BMP P Tracking Table'!$AS455+726*'BMP P Tracking Table'!$AT455+996.798*'BMP P Tracking Table'!$AU455)*-'BMP P Tracking Table'!$AX455)))/(2*(149.919*'BMP P Tracking Table'!$AR455+236.676*'BMP P Tracking Table'!$AS455+726*'BMP P Tracking Table'!$AT455+996.798*'BMP P Tracking Table'!$AU455))))),MIN(2,IF('BMP P Tracking Table'!$AQ455="Total Pervious",(-(3630*'BMP P Tracking Table'!$V455+20.691*'BMP P Tracking Table'!$AB455)+SQRT((3630*'BMP P Tracking Table'!$V455+20.691*'BMP P Tracking Table'!$AB455)^2-(4*(996.798*'BMP P Tracking Table'!$AB455)*-'BMP P Tracking Table'!$AX455)))/(2*(996.798*'BMP P Tracking Table'!$AB455)),IF(SUM('BMP P Tracking Table'!$X455:$AA455)=0,'BMP P Tracking Table'!$AX455/(-3630*'BMP P Tracking Table'!$V455),(-(3630*'BMP P Tracking Table'!$V455+20.691*'BMP P Tracking Table'!$AA455-216.711*'BMP P Tracking Table'!$Z455-83.853*'BMP P Tracking Table'!$Y455-42.834*'BMP P Tracking Table'!$X455)+SQRT((3630*'BMP P Tracking Table'!$V455+20.691*'BMP P Tracking Table'!$AA455-216.711*'BMP P Tracking Table'!$Z455-83.853*'BMP P Tracking Table'!$Y455-42.834*'BMP P Tracking Table'!$X455)^2-(4*(149.919*'BMP P Tracking Table'!$X455+236.676*'BMP P Tracking Table'!$Y455+726*'BMP P Tracking Table'!$Z455+996.798*'BMP P Tracking Table'!$AA455)*-'BMP P Tracking Table'!$AX455)))/(2*(149.919*'BMP P Tracking Table'!$X455+236.676*'BMP P Tracking Table'!$Y455+726*'BMP P Tracking Table'!$Z455+996.798*'BMP P Tracking Table'!$AA455)))))),"")</f>
        <v/>
      </c>
      <c r="BB455" s="102" t="str">
        <f>IFERROR((VLOOKUP(CONCATENATE('BMP P Tracking Table'!$AW455," ",'BMP P Tracking Table'!$AY455),'Performance Curves'!$C$1:$L$46,_xlfn.SINGLE(MATCH('BMP P Tracking Table'!$BA455,'Performance Curves'!$D$1:$L$1,1))+2,FALSE)-VLOOKUP(CONCATENATE('BMP P Tracking Table'!$AW455," ",'BMP P Tracking Table'!$AY455),'Performance Curves'!$C$1:$L$46,_xlfn.SINGLE(MATCH('BMP P Tracking Table'!$BA455,'Performance Curves'!$D$1:$L$1,1))+1,FALSE)),"")</f>
        <v/>
      </c>
      <c r="BC455" s="102" t="str">
        <f>IFERROR(('BMP P Tracking Table'!$BA455-INDEX('Performance Curves'!$D$1:$L$1,1,MATCH('BMP P Tracking Table'!$BA455,'Performance Curves'!$D$1:$L$1,1)))/(INDEX('Performance Curves'!$D$1:$L$1,1,MATCH('BMP P Tracking Table'!$BA455,'Performance Curves'!$D$1:$L$1,1)+1)-INDEX('Performance Curves'!$D$1:$L$1,1,MATCH('BMP P Tracking Table'!$BA455,'Performance Curves'!$D$1:$L$1,1))),"")</f>
        <v/>
      </c>
      <c r="BD455" s="103" t="str" cm="1">
        <f t="array" ref="BD455">IFERROR(IF('BMP P Tracking Table'!$BA455=2,VLOOKUP(CONCATENATE('BMP P Tracking Table'!$AW455," ",'BMP P Tracking Table'!$AY455),'Performance Curves'!$C$1:$L$44,_xlfn.SINGLE(MATCH('BMP P Tracking Table'!$BA455,'Performance Curves'!$D$1:$L$1,1))+1,FALSE),'BMP P Tracking Table'!$BB455*'BMP P Tracking Table'!$BC455+VLOOKUP(CONCATENATE('BMP P Tracking Table'!$AW455," ",'BMP P Tracking Table'!$AY455),'Performance Curves'!$C$1:$L$44,_xlfn.SINGLE(MATCH('BMP P Tracking Table'!$BA455,'Performance Curves'!$D$1:$L$1,1))+1,FALSE)),"")</f>
        <v/>
      </c>
      <c r="BE455" s="104" t="str">
        <f>IFERROR('BMP P Tracking Table'!$BD455*'BMP P Tracking Table'!$AZ455,"")</f>
        <v/>
      </c>
      <c r="BF455" s="98"/>
      <c r="BG455" s="37">
        <f t="shared" si="42"/>
        <v>0</v>
      </c>
    </row>
    <row r="456" spans="2:67" s="36" customFormat="1">
      <c r="B456" s="65"/>
      <c r="C456" s="65"/>
      <c r="D456" s="65"/>
      <c r="E456" s="65"/>
      <c r="F456" s="94"/>
      <c r="G456" s="94"/>
      <c r="H456" s="65"/>
      <c r="I456" s="65"/>
      <c r="J456" s="65"/>
      <c r="K456" s="95"/>
      <c r="L456" s="65"/>
      <c r="M456" s="65"/>
      <c r="N456" s="65"/>
      <c r="O456" s="65"/>
      <c r="P456" s="65"/>
      <c r="Q456" s="65"/>
      <c r="R456" s="65" t="str">
        <f>IFERROR(VLOOKUP('BMP P Tracking Table'!$Q456,Dropdowns!$C$2:$E$15,3,FALSE),"")</f>
        <v/>
      </c>
      <c r="S456" s="65" t="str">
        <f>IFERROR(VLOOKUP('BMP P Tracking Table'!$R456,Dropdowns!$Q$3:$R$23,2,FALSE),"")</f>
        <v/>
      </c>
      <c r="T456" s="65"/>
      <c r="U456" s="65"/>
      <c r="V456" s="65"/>
      <c r="W456" s="65"/>
      <c r="X456" s="65"/>
      <c r="Y456" s="65"/>
      <c r="Z456" s="65"/>
      <c r="AA456" s="65"/>
      <c r="AB456" s="65"/>
      <c r="AC456" s="97"/>
      <c r="AD456" s="65"/>
      <c r="AE456" s="104" t="str">
        <f>IFERROR('BMP P Tracking Table'!$V456*VLOOKUP('BMP P Tracking Table'!$R456,'Loading Rates'!$B$1:$L$24,4,FALSE)+IF('BMP P Tracking Table'!$W456="By HSG",'BMP P Tracking Table'!$X456*VLOOKUP('BMP P Tracking Table'!$R456,'Loading Rates'!$B$1:$L$24,6,FALSE)+'BMP P Tracking Table'!$Y456*VLOOKUP('BMP P Tracking Table'!$R456,'Loading Rates'!$B$1:$L$24,7,FALSE)+'BMP P Tracking Table'!$Z456*VLOOKUP('BMP P Tracking Table'!$R456,'Loading Rates'!$B$1:$L$24,8,FALSE)+'BMP P Tracking Table'!$AA456*VLOOKUP('BMP P Tracking Table'!$R456,'Loading Rates'!$B$1:$L$24,9,FALSE),'BMP P Tracking Table'!$AB456*VLOOKUP('BMP P Tracking Table'!$R456,'Loading Rates'!$B$1:$L$24,10,FALSE)),"")</f>
        <v/>
      </c>
      <c r="AF456" s="104" t="str">
        <f>IFERROR(MIN(2,IF('BMP P Tracking Table'!$W456="Total Pervious",(-(3630*'BMP P Tracking Table'!$V456+20.691*'BMP P Tracking Table'!$AB456)+SQRT((3630*'BMP P Tracking Table'!$V456+20.691*'BMP P Tracking Table'!$AB456)^2-(4*(996.798*'BMP P Tracking Table'!$AB456)*-'BMP P Tracking Table'!$AC456)))/(2*(996.798*'BMP P Tracking Table'!$AB456)),IF(SUM('BMP P Tracking Table'!$X456:$AA456)=0,'BMP P Tracking Table'!$AC456/(-3630*'BMP P Tracking Table'!$V456),(-(3630*'BMP P Tracking Table'!$V456+20.691*'BMP P Tracking Table'!$AA456-216.711*'BMP P Tracking Table'!$Z456-83.853*'BMP P Tracking Table'!$Y456-42.834*'BMP P Tracking Table'!$X456)+SQRT((3630*'BMP P Tracking Table'!$V456+20.691*'BMP P Tracking Table'!$AA456-216.711*'BMP P Tracking Table'!$Z456-83.853*'BMP P Tracking Table'!$Y456-42.834*'BMP P Tracking Table'!$X456)^2-(4*(149.919*'BMP P Tracking Table'!$X456+236.676*'BMP P Tracking Table'!$Y456+726*'BMP P Tracking Table'!$Z456+996.798*'BMP P Tracking Table'!$AA456)*-'BMP P Tracking Table'!$AC456)))/(2*(149.919*'BMP P Tracking Table'!$X456+236.676*'BMP P Tracking Table'!$Y456+726*'BMP P Tracking Table'!$Z456+996.798*'BMP P Tracking Table'!$AA456))))),"")</f>
        <v/>
      </c>
      <c r="AG456" s="104" t="str">
        <f>IFERROR((VLOOKUP(CONCATENATE('BMP P Tracking Table'!$U456," ",'BMP P Tracking Table'!$AD456),'Performance Curves'!$C$1:$L$46,_xlfn.SINGLE(MATCH('BMP P Tracking Table'!$AF456,'Performance Curves'!$D$1:$L$1,1))+2,FALSE)-VLOOKUP(CONCATENATE('BMP P Tracking Table'!$U456," ",'BMP P Tracking Table'!$AD456),'Performance Curves'!$C$1:$L$46,_xlfn.SINGLE(MATCH('BMP P Tracking Table'!$AF456,'Performance Curves'!$D$1:$L$1,1))+1,FALSE)),"")</f>
        <v/>
      </c>
      <c r="AH456" s="104" t="str">
        <f>IFERROR(('BMP P Tracking Table'!$AF456-INDEX('Performance Curves'!$D$1:$L$1,1,MATCH('BMP P Tracking Table'!$AF456,'Performance Curves'!$D$1:$L$1,1)))/(INDEX('Performance Curves'!$D$1:$L$1,1,MATCH('BMP P Tracking Table'!$AF456,'Performance Curves'!$D$1:$L$1,1)+1)-INDEX('Performance Curves'!$D$1:$L$1,1,MATCH('BMP P Tracking Table'!$AF456,'Performance Curves'!$D$1:$L$1,1))),"")</f>
        <v/>
      </c>
      <c r="AI456" s="103" t="str">
        <f>IFERROR(IF('BMP P Tracking Table'!$AF456=2,VLOOKUP(CONCATENATE('BMP P Tracking Table'!$U456," ",'BMP P Tracking Table'!$AD456),'Performance Curves'!$C$1:$L$46,_xlfn.SINGLE(MATCH('BMP P Tracking Table'!$AF456,'Performance Curves'!$D$1:$L$1,1))+1,FALSE),'BMP P Tracking Table'!$AG456*'BMP P Tracking Table'!$AH456+VLOOKUP(CONCATENATE('BMP P Tracking Table'!$U456," ",'BMP P Tracking Table'!$AD456),'Performance Curves'!$C$1:$L$46,_xlfn.SINGLE(MATCH('BMP P Tracking Table'!$AF456,'Performance Curves'!$D$1:$L$1,1))+1,FALSE)),"")</f>
        <v/>
      </c>
      <c r="AJ456" s="104" t="str">
        <f>IFERROR('BMP P Tracking Table'!$AI456*'BMP P Tracking Table'!$AE456,"")</f>
        <v/>
      </c>
      <c r="AK456" s="65"/>
      <c r="AL456" s="98"/>
      <c r="AM456" s="98"/>
      <c r="AN456" s="64">
        <v>1</v>
      </c>
      <c r="AO456" s="102" t="str">
        <f t="shared" si="41"/>
        <v/>
      </c>
      <c r="AP456" s="98"/>
      <c r="AQ456" s="98"/>
      <c r="AR456" s="98"/>
      <c r="AS456" s="98"/>
      <c r="AT456" s="98"/>
      <c r="AU456" s="98"/>
      <c r="AV456" s="98"/>
      <c r="AW456" s="65"/>
      <c r="AX456" s="99"/>
      <c r="AY456" s="99"/>
      <c r="AZ456" s="104" t="str">
        <f>IF('BMP P Tracking Table'!$AL456="Yes",IF('BMP P Tracking Table'!$AM456="No",'BMP P Tracking Table'!$V456*VLOOKUP('BMP P Tracking Table'!$R456,'Loading Rates'!$B$1:$L$24,4,FALSE)+IF('BMP P Tracking Table'!$W456="By HSG",'BMP P Tracking Table'!$X456*VLOOKUP('BMP P Tracking Table'!$R456,'Loading Rates'!$B$1:$L$24,6,FALSE)+'BMP P Tracking Table'!$Y456*VLOOKUP('BMP P Tracking Table'!$R456,'Loading Rates'!$B$1:$L$24,7,FALSE)+'BMP P Tracking Table'!$Z456*VLOOKUP('BMP P Tracking Table'!$R456,'Loading Rates'!$B$1:$L$24,8,FALSE)+'BMP P Tracking Table'!$AA456*VLOOKUP('BMP P Tracking Table'!$R456,'Loading Rates'!$B$1:$L$24,9,FALSE),'BMP P Tracking Table'!$AB456*VLOOKUP('BMP P Tracking Table'!$R456,'Loading Rates'!$B$1:$L$24,10,FALSE)),'BMP P Tracking Table'!$AP456*VLOOKUP('BMP P Tracking Table'!$R456,'Loading Rates'!$B$1:$L$24,4,FALSE)+IF('BMP P Tracking Table'!$AQ456="By HSG",'BMP P Tracking Table'!$AR456*VLOOKUP('BMP P Tracking Table'!$R456,'Loading Rates'!$B$1:$L$24,6,FALSE)+'BMP P Tracking Table'!$AS456*VLOOKUP('BMP P Tracking Table'!$R456,'Loading Rates'!$B$1:$L$24,7,FALSE)+'BMP P Tracking Table'!$AT456*VLOOKUP('BMP P Tracking Table'!$R456,'Loading Rates'!$B$1:$L$24,8,FALSE)+'BMP P Tracking Table'!$AU456*VLOOKUP('BMP P Tracking Table'!$R456,'Loading Rates'!$B$1:$L$24,9,FALSE),'BMP P Tracking Table'!$AV456*VLOOKUP('BMP P Tracking Table'!$R456,'Loading Rates'!$B$1:$L$24,10,FALSE))),"")</f>
        <v/>
      </c>
      <c r="BA456" s="104" t="str">
        <f>IFERROR(IF('BMP P Tracking Table'!$AM456="Yes",MIN(2,IF('BMP P Tracking Table'!$AQ456="Total Pervious",(-(3630*'BMP P Tracking Table'!$AP456+20.691*'BMP P Tracking Table'!$AV456)+SQRT((3630*'BMP P Tracking Table'!$AP456+20.691*'BMP P Tracking Table'!$AV456)^2-(4*(996.798*'BMP P Tracking Table'!$AV456)*-'BMP P Tracking Table'!$AX456)))/(2*(996.798*'BMP P Tracking Table'!$AV456)),IF(SUM('BMP P Tracking Table'!$AR456:$AU456)=0,'BMP P Tracking Table'!$AV456/(-3630*'BMP P Tracking Table'!$AP456),(-(3630*'BMP P Tracking Table'!$AP456+20.691*'BMP P Tracking Table'!$AU456-216.711*'BMP P Tracking Table'!$AT456-83.853*'BMP P Tracking Table'!$AS456-42.834*'BMP P Tracking Table'!$AR456)+SQRT((3630*'BMP P Tracking Table'!$AP456+20.691*'BMP P Tracking Table'!$AU456-216.711*'BMP P Tracking Table'!$AT456-83.853*'BMP P Tracking Table'!$AS456-42.834*'BMP P Tracking Table'!$AR456)^2-(4*(149.919*'BMP P Tracking Table'!$AR456+236.676*'BMP P Tracking Table'!$AS456+726*'BMP P Tracking Table'!$AT456+996.798*'BMP P Tracking Table'!$AU456)*-'BMP P Tracking Table'!$AX456)))/(2*(149.919*'BMP P Tracking Table'!$AR456+236.676*'BMP P Tracking Table'!$AS456+726*'BMP P Tracking Table'!$AT456+996.798*'BMP P Tracking Table'!$AU456))))),MIN(2,IF('BMP P Tracking Table'!$AQ456="Total Pervious",(-(3630*'BMP P Tracking Table'!$V456+20.691*'BMP P Tracking Table'!$AB456)+SQRT((3630*'BMP P Tracking Table'!$V456+20.691*'BMP P Tracking Table'!$AB456)^2-(4*(996.798*'BMP P Tracking Table'!$AB456)*-'BMP P Tracking Table'!$AX456)))/(2*(996.798*'BMP P Tracking Table'!$AB456)),IF(SUM('BMP P Tracking Table'!$X456:$AA456)=0,'BMP P Tracking Table'!$AX456/(-3630*'BMP P Tracking Table'!$V456),(-(3630*'BMP P Tracking Table'!$V456+20.691*'BMP P Tracking Table'!$AA456-216.711*'BMP P Tracking Table'!$Z456-83.853*'BMP P Tracking Table'!$Y456-42.834*'BMP P Tracking Table'!$X456)+SQRT((3630*'BMP P Tracking Table'!$V456+20.691*'BMP P Tracking Table'!$AA456-216.711*'BMP P Tracking Table'!$Z456-83.853*'BMP P Tracking Table'!$Y456-42.834*'BMP P Tracking Table'!$X456)^2-(4*(149.919*'BMP P Tracking Table'!$X456+236.676*'BMP P Tracking Table'!$Y456+726*'BMP P Tracking Table'!$Z456+996.798*'BMP P Tracking Table'!$AA456)*-'BMP P Tracking Table'!$AX456)))/(2*(149.919*'BMP P Tracking Table'!$X456+236.676*'BMP P Tracking Table'!$Y456+726*'BMP P Tracking Table'!$Z456+996.798*'BMP P Tracking Table'!$AA456)))))),"")</f>
        <v/>
      </c>
      <c r="BB456" s="102" t="str">
        <f>IFERROR((VLOOKUP(CONCATENATE('BMP P Tracking Table'!$AW456," ",'BMP P Tracking Table'!$AY456),'Performance Curves'!$C$1:$L$46,_xlfn.SINGLE(MATCH('BMP P Tracking Table'!$BA456,'Performance Curves'!$D$1:$L$1,1))+2,FALSE)-VLOOKUP(CONCATENATE('BMP P Tracking Table'!$AW456," ",'BMP P Tracking Table'!$AY456),'Performance Curves'!$C$1:$L$46,_xlfn.SINGLE(MATCH('BMP P Tracking Table'!$BA456,'Performance Curves'!$D$1:$L$1,1))+1,FALSE)),"")</f>
        <v/>
      </c>
      <c r="BC456" s="102" t="str">
        <f>IFERROR(('BMP P Tracking Table'!$BA456-INDEX('Performance Curves'!$D$1:$L$1,1,MATCH('BMP P Tracking Table'!$BA456,'Performance Curves'!$D$1:$L$1,1)))/(INDEX('Performance Curves'!$D$1:$L$1,1,MATCH('BMP P Tracking Table'!$BA456,'Performance Curves'!$D$1:$L$1,1)+1)-INDEX('Performance Curves'!$D$1:$L$1,1,MATCH('BMP P Tracking Table'!$BA456,'Performance Curves'!$D$1:$L$1,1))),"")</f>
        <v/>
      </c>
      <c r="BD456" s="103" t="str" cm="1">
        <f t="array" ref="BD456">IFERROR(IF('BMP P Tracking Table'!$BA456=2,VLOOKUP(CONCATENATE('BMP P Tracking Table'!$AW456," ",'BMP P Tracking Table'!$AY456),'Performance Curves'!$C$1:$L$44,_xlfn.SINGLE(MATCH('BMP P Tracking Table'!$BA456,'Performance Curves'!$D$1:$L$1,1))+1,FALSE),'BMP P Tracking Table'!$BB456*'BMP P Tracking Table'!$BC456+VLOOKUP(CONCATENATE('BMP P Tracking Table'!$AW456," ",'BMP P Tracking Table'!$AY456),'Performance Curves'!$C$1:$L$44,_xlfn.SINGLE(MATCH('BMP P Tracking Table'!$BA456,'Performance Curves'!$D$1:$L$1,1))+1,FALSE)),"")</f>
        <v/>
      </c>
      <c r="BE456" s="104" t="str">
        <f>IFERROR('BMP P Tracking Table'!$BD456*'BMP P Tracking Table'!$AZ456,"")</f>
        <v/>
      </c>
      <c r="BF456" s="98"/>
      <c r="BG456" s="37">
        <f t="shared" si="42"/>
        <v>0</v>
      </c>
    </row>
    <row r="457" spans="2:67" s="36" customFormat="1">
      <c r="B457" s="65"/>
      <c r="C457" s="65"/>
      <c r="D457" s="65"/>
      <c r="E457" s="65"/>
      <c r="F457" s="94"/>
      <c r="G457" s="94"/>
      <c r="H457" s="65"/>
      <c r="I457" s="65"/>
      <c r="J457" s="65"/>
      <c r="K457" s="95"/>
      <c r="L457" s="65"/>
      <c r="M457" s="65"/>
      <c r="N457" s="65"/>
      <c r="O457" s="65"/>
      <c r="P457" s="65"/>
      <c r="Q457" s="65"/>
      <c r="R457" s="65" t="str">
        <f>IFERROR(VLOOKUP('BMP P Tracking Table'!$Q457,Dropdowns!$C$2:$E$15,3,FALSE),"")</f>
        <v/>
      </c>
      <c r="S457" s="65" t="str">
        <f>IFERROR(VLOOKUP('BMP P Tracking Table'!$R457,Dropdowns!$Q$3:$R$23,2,FALSE),"")</f>
        <v/>
      </c>
      <c r="T457" s="65"/>
      <c r="U457" s="65"/>
      <c r="V457" s="65"/>
      <c r="W457" s="65"/>
      <c r="X457" s="65"/>
      <c r="Y457" s="65"/>
      <c r="Z457" s="65"/>
      <c r="AA457" s="65"/>
      <c r="AB457" s="65"/>
      <c r="AC457" s="97"/>
      <c r="AD457" s="65"/>
      <c r="AE457" s="104" t="str">
        <f>IFERROR('BMP P Tracking Table'!$V457*VLOOKUP('BMP P Tracking Table'!$R457,'Loading Rates'!$B$1:$L$24,4,FALSE)+IF('BMP P Tracking Table'!$W457="By HSG",'BMP P Tracking Table'!$X457*VLOOKUP('BMP P Tracking Table'!$R457,'Loading Rates'!$B$1:$L$24,6,FALSE)+'BMP P Tracking Table'!$Y457*VLOOKUP('BMP P Tracking Table'!$R457,'Loading Rates'!$B$1:$L$24,7,FALSE)+'BMP P Tracking Table'!$Z457*VLOOKUP('BMP P Tracking Table'!$R457,'Loading Rates'!$B$1:$L$24,8,FALSE)+'BMP P Tracking Table'!$AA457*VLOOKUP('BMP P Tracking Table'!$R457,'Loading Rates'!$B$1:$L$24,9,FALSE),'BMP P Tracking Table'!$AB457*VLOOKUP('BMP P Tracking Table'!$R457,'Loading Rates'!$B$1:$L$24,10,FALSE)),"")</f>
        <v/>
      </c>
      <c r="AF457" s="104" t="str">
        <f>IFERROR(MIN(2,IF('BMP P Tracking Table'!$W457="Total Pervious",(-(3630*'BMP P Tracking Table'!$V457+20.691*'BMP P Tracking Table'!$AB457)+SQRT((3630*'BMP P Tracking Table'!$V457+20.691*'BMP P Tracking Table'!$AB457)^2-(4*(996.798*'BMP P Tracking Table'!$AB457)*-'BMP P Tracking Table'!$AC457)))/(2*(996.798*'BMP P Tracking Table'!$AB457)),IF(SUM('BMP P Tracking Table'!$X457:$AA457)=0,'BMP P Tracking Table'!$AC457/(-3630*'BMP P Tracking Table'!$V457),(-(3630*'BMP P Tracking Table'!$V457+20.691*'BMP P Tracking Table'!$AA457-216.711*'BMP P Tracking Table'!$Z457-83.853*'BMP P Tracking Table'!$Y457-42.834*'BMP P Tracking Table'!$X457)+SQRT((3630*'BMP P Tracking Table'!$V457+20.691*'BMP P Tracking Table'!$AA457-216.711*'BMP P Tracking Table'!$Z457-83.853*'BMP P Tracking Table'!$Y457-42.834*'BMP P Tracking Table'!$X457)^2-(4*(149.919*'BMP P Tracking Table'!$X457+236.676*'BMP P Tracking Table'!$Y457+726*'BMP P Tracking Table'!$Z457+996.798*'BMP P Tracking Table'!$AA457)*-'BMP P Tracking Table'!$AC457)))/(2*(149.919*'BMP P Tracking Table'!$X457+236.676*'BMP P Tracking Table'!$Y457+726*'BMP P Tracking Table'!$Z457+996.798*'BMP P Tracking Table'!$AA457))))),"")</f>
        <v/>
      </c>
      <c r="AG457" s="104" t="str">
        <f>IFERROR((VLOOKUP(CONCATENATE('BMP P Tracking Table'!$U457," ",'BMP P Tracking Table'!$AD457),'Performance Curves'!$C$1:$L$46,_xlfn.SINGLE(MATCH('BMP P Tracking Table'!$AF457,'Performance Curves'!$D$1:$L$1,1))+2,FALSE)-VLOOKUP(CONCATENATE('BMP P Tracking Table'!$U457," ",'BMP P Tracking Table'!$AD457),'Performance Curves'!$C$1:$L$46,_xlfn.SINGLE(MATCH('BMP P Tracking Table'!$AF457,'Performance Curves'!$D$1:$L$1,1))+1,FALSE)),"")</f>
        <v/>
      </c>
      <c r="AH457" s="104" t="str">
        <f>IFERROR(('BMP P Tracking Table'!$AF457-INDEX('Performance Curves'!$D$1:$L$1,1,MATCH('BMP P Tracking Table'!$AF457,'Performance Curves'!$D$1:$L$1,1)))/(INDEX('Performance Curves'!$D$1:$L$1,1,MATCH('BMP P Tracking Table'!$AF457,'Performance Curves'!$D$1:$L$1,1)+1)-INDEX('Performance Curves'!$D$1:$L$1,1,MATCH('BMP P Tracking Table'!$AF457,'Performance Curves'!$D$1:$L$1,1))),"")</f>
        <v/>
      </c>
      <c r="AI457" s="103" t="str">
        <f>IFERROR(IF('BMP P Tracking Table'!$AF457=2,VLOOKUP(CONCATENATE('BMP P Tracking Table'!$U457," ",'BMP P Tracking Table'!$AD457),'Performance Curves'!$C$1:$L$46,_xlfn.SINGLE(MATCH('BMP P Tracking Table'!$AF457,'Performance Curves'!$D$1:$L$1,1))+1,FALSE),'BMP P Tracking Table'!$AG457*'BMP P Tracking Table'!$AH457+VLOOKUP(CONCATENATE('BMP P Tracking Table'!$U457," ",'BMP P Tracking Table'!$AD457),'Performance Curves'!$C$1:$L$46,_xlfn.SINGLE(MATCH('BMP P Tracking Table'!$AF457,'Performance Curves'!$D$1:$L$1,1))+1,FALSE)),"")</f>
        <v/>
      </c>
      <c r="AJ457" s="104" t="str">
        <f>IFERROR('BMP P Tracking Table'!$AI457*'BMP P Tracking Table'!$AE457,"")</f>
        <v/>
      </c>
      <c r="AK457" s="65"/>
      <c r="AL457" s="98"/>
      <c r="AM457" s="98"/>
      <c r="AN457" s="64">
        <v>1</v>
      </c>
      <c r="AO457" s="102" t="str">
        <f t="shared" si="41"/>
        <v/>
      </c>
      <c r="AP457" s="98"/>
      <c r="AQ457" s="98"/>
      <c r="AR457" s="98"/>
      <c r="AS457" s="98"/>
      <c r="AT457" s="98"/>
      <c r="AU457" s="98"/>
      <c r="AV457" s="98"/>
      <c r="AW457" s="65"/>
      <c r="AX457" s="99"/>
      <c r="AY457" s="99"/>
      <c r="AZ457" s="104" t="str">
        <f>IF('BMP P Tracking Table'!$AL457="Yes",IF('BMP P Tracking Table'!$AM457="No",'BMP P Tracking Table'!$V457*VLOOKUP('BMP P Tracking Table'!$R457,'Loading Rates'!$B$1:$L$24,4,FALSE)+IF('BMP P Tracking Table'!$W457="By HSG",'BMP P Tracking Table'!$X457*VLOOKUP('BMP P Tracking Table'!$R457,'Loading Rates'!$B$1:$L$24,6,FALSE)+'BMP P Tracking Table'!$Y457*VLOOKUP('BMP P Tracking Table'!$R457,'Loading Rates'!$B$1:$L$24,7,FALSE)+'BMP P Tracking Table'!$Z457*VLOOKUP('BMP P Tracking Table'!$R457,'Loading Rates'!$B$1:$L$24,8,FALSE)+'BMP P Tracking Table'!$AA457*VLOOKUP('BMP P Tracking Table'!$R457,'Loading Rates'!$B$1:$L$24,9,FALSE),'BMP P Tracking Table'!$AB457*VLOOKUP('BMP P Tracking Table'!$R457,'Loading Rates'!$B$1:$L$24,10,FALSE)),'BMP P Tracking Table'!$AP457*VLOOKUP('BMP P Tracking Table'!$R457,'Loading Rates'!$B$1:$L$24,4,FALSE)+IF('BMP P Tracking Table'!$AQ457="By HSG",'BMP P Tracking Table'!$AR457*VLOOKUP('BMP P Tracking Table'!$R457,'Loading Rates'!$B$1:$L$24,6,FALSE)+'BMP P Tracking Table'!$AS457*VLOOKUP('BMP P Tracking Table'!$R457,'Loading Rates'!$B$1:$L$24,7,FALSE)+'BMP P Tracking Table'!$AT457*VLOOKUP('BMP P Tracking Table'!$R457,'Loading Rates'!$B$1:$L$24,8,FALSE)+'BMP P Tracking Table'!$AU457*VLOOKUP('BMP P Tracking Table'!$R457,'Loading Rates'!$B$1:$L$24,9,FALSE),'BMP P Tracking Table'!$AV457*VLOOKUP('BMP P Tracking Table'!$R457,'Loading Rates'!$B$1:$L$24,10,FALSE))),"")</f>
        <v/>
      </c>
      <c r="BA457" s="104" t="str">
        <f>IFERROR(IF('BMP P Tracking Table'!$AM457="Yes",MIN(2,IF('BMP P Tracking Table'!$AQ457="Total Pervious",(-(3630*'BMP P Tracking Table'!$AP457+20.691*'BMP P Tracking Table'!$AV457)+SQRT((3630*'BMP P Tracking Table'!$AP457+20.691*'BMP P Tracking Table'!$AV457)^2-(4*(996.798*'BMP P Tracking Table'!$AV457)*-'BMP P Tracking Table'!$AX457)))/(2*(996.798*'BMP P Tracking Table'!$AV457)),IF(SUM('BMP P Tracking Table'!$AR457:$AU457)=0,'BMP P Tracking Table'!$AV457/(-3630*'BMP P Tracking Table'!$AP457),(-(3630*'BMP P Tracking Table'!$AP457+20.691*'BMP P Tracking Table'!$AU457-216.711*'BMP P Tracking Table'!$AT457-83.853*'BMP P Tracking Table'!$AS457-42.834*'BMP P Tracking Table'!$AR457)+SQRT((3630*'BMP P Tracking Table'!$AP457+20.691*'BMP P Tracking Table'!$AU457-216.711*'BMP P Tracking Table'!$AT457-83.853*'BMP P Tracking Table'!$AS457-42.834*'BMP P Tracking Table'!$AR457)^2-(4*(149.919*'BMP P Tracking Table'!$AR457+236.676*'BMP P Tracking Table'!$AS457+726*'BMP P Tracking Table'!$AT457+996.798*'BMP P Tracking Table'!$AU457)*-'BMP P Tracking Table'!$AX457)))/(2*(149.919*'BMP P Tracking Table'!$AR457+236.676*'BMP P Tracking Table'!$AS457+726*'BMP P Tracking Table'!$AT457+996.798*'BMP P Tracking Table'!$AU457))))),MIN(2,IF('BMP P Tracking Table'!$AQ457="Total Pervious",(-(3630*'BMP P Tracking Table'!$V457+20.691*'BMP P Tracking Table'!$AB457)+SQRT((3630*'BMP P Tracking Table'!$V457+20.691*'BMP P Tracking Table'!$AB457)^2-(4*(996.798*'BMP P Tracking Table'!$AB457)*-'BMP P Tracking Table'!$AX457)))/(2*(996.798*'BMP P Tracking Table'!$AB457)),IF(SUM('BMP P Tracking Table'!$X457:$AA457)=0,'BMP P Tracking Table'!$AX457/(-3630*'BMP P Tracking Table'!$V457),(-(3630*'BMP P Tracking Table'!$V457+20.691*'BMP P Tracking Table'!$AA457-216.711*'BMP P Tracking Table'!$Z457-83.853*'BMP P Tracking Table'!$Y457-42.834*'BMP P Tracking Table'!$X457)+SQRT((3630*'BMP P Tracking Table'!$V457+20.691*'BMP P Tracking Table'!$AA457-216.711*'BMP P Tracking Table'!$Z457-83.853*'BMP P Tracking Table'!$Y457-42.834*'BMP P Tracking Table'!$X457)^2-(4*(149.919*'BMP P Tracking Table'!$X457+236.676*'BMP P Tracking Table'!$Y457+726*'BMP P Tracking Table'!$Z457+996.798*'BMP P Tracking Table'!$AA457)*-'BMP P Tracking Table'!$AX457)))/(2*(149.919*'BMP P Tracking Table'!$X457+236.676*'BMP P Tracking Table'!$Y457+726*'BMP P Tracking Table'!$Z457+996.798*'BMP P Tracking Table'!$AA457)))))),"")</f>
        <v/>
      </c>
      <c r="BB457" s="102" t="str">
        <f>IFERROR((VLOOKUP(CONCATENATE('BMP P Tracking Table'!$AW457," ",'BMP P Tracking Table'!$AY457),'Performance Curves'!$C$1:$L$46,_xlfn.SINGLE(MATCH('BMP P Tracking Table'!$BA457,'Performance Curves'!$D$1:$L$1,1))+2,FALSE)-VLOOKUP(CONCATENATE('BMP P Tracking Table'!$AW457," ",'BMP P Tracking Table'!$AY457),'Performance Curves'!$C$1:$L$46,_xlfn.SINGLE(MATCH('BMP P Tracking Table'!$BA457,'Performance Curves'!$D$1:$L$1,1))+1,FALSE)),"")</f>
        <v/>
      </c>
      <c r="BC457" s="102" t="str">
        <f>IFERROR(('BMP P Tracking Table'!$BA457-INDEX('Performance Curves'!$D$1:$L$1,1,MATCH('BMP P Tracking Table'!$BA457,'Performance Curves'!$D$1:$L$1,1)))/(INDEX('Performance Curves'!$D$1:$L$1,1,MATCH('BMP P Tracking Table'!$BA457,'Performance Curves'!$D$1:$L$1,1)+1)-INDEX('Performance Curves'!$D$1:$L$1,1,MATCH('BMP P Tracking Table'!$BA457,'Performance Curves'!$D$1:$L$1,1))),"")</f>
        <v/>
      </c>
      <c r="BD457" s="103" t="str" cm="1">
        <f t="array" ref="BD457">IFERROR(IF('BMP P Tracking Table'!$BA457=2,VLOOKUP(CONCATENATE('BMP P Tracking Table'!$AW457," ",'BMP P Tracking Table'!$AY457),'Performance Curves'!$C$1:$L$44,_xlfn.SINGLE(MATCH('BMP P Tracking Table'!$BA457,'Performance Curves'!$D$1:$L$1,1))+1,FALSE),'BMP P Tracking Table'!$BB457*'BMP P Tracking Table'!$BC457+VLOOKUP(CONCATENATE('BMP P Tracking Table'!$AW457," ",'BMP P Tracking Table'!$AY457),'Performance Curves'!$C$1:$L$44,_xlfn.SINGLE(MATCH('BMP P Tracking Table'!$BA457,'Performance Curves'!$D$1:$L$1,1))+1,FALSE)),"")</f>
        <v/>
      </c>
      <c r="BE457" s="104" t="str">
        <f>IFERROR('BMP P Tracking Table'!$BD457*'BMP P Tracking Table'!$AZ457,"")</f>
        <v/>
      </c>
      <c r="BF457" s="98"/>
      <c r="BG457" s="37">
        <f t="shared" si="42"/>
        <v>0</v>
      </c>
    </row>
    <row r="458" spans="2:67" s="36" customFormat="1">
      <c r="B458" s="65"/>
      <c r="C458" s="65"/>
      <c r="D458" s="65"/>
      <c r="E458" s="65"/>
      <c r="F458" s="94"/>
      <c r="G458" s="94"/>
      <c r="H458" s="65"/>
      <c r="I458" s="65"/>
      <c r="J458" s="65"/>
      <c r="K458" s="95"/>
      <c r="L458" s="65"/>
      <c r="M458" s="65"/>
      <c r="N458" s="65"/>
      <c r="O458" s="65"/>
      <c r="P458" s="65"/>
      <c r="Q458" s="65"/>
      <c r="R458" s="65" t="str">
        <f>IFERROR(VLOOKUP('BMP P Tracking Table'!$Q458,Dropdowns!$C$2:$E$15,3,FALSE),"")</f>
        <v/>
      </c>
      <c r="S458" s="65" t="str">
        <f>IFERROR(VLOOKUP('BMP P Tracking Table'!$R458,Dropdowns!$Q$3:$R$23,2,FALSE),"")</f>
        <v/>
      </c>
      <c r="T458" s="65"/>
      <c r="U458" s="65"/>
      <c r="V458" s="65"/>
      <c r="W458" s="65"/>
      <c r="X458" s="65"/>
      <c r="Y458" s="65"/>
      <c r="Z458" s="65"/>
      <c r="AA458" s="65"/>
      <c r="AB458" s="65"/>
      <c r="AC458" s="97"/>
      <c r="AD458" s="65"/>
      <c r="AE458" s="104" t="str">
        <f>IFERROR('BMP P Tracking Table'!$V458*VLOOKUP('BMP P Tracking Table'!$R458,'Loading Rates'!$B$1:$L$24,4,FALSE)+IF('BMP P Tracking Table'!$W458="By HSG",'BMP P Tracking Table'!$X458*VLOOKUP('BMP P Tracking Table'!$R458,'Loading Rates'!$B$1:$L$24,6,FALSE)+'BMP P Tracking Table'!$Y458*VLOOKUP('BMP P Tracking Table'!$R458,'Loading Rates'!$B$1:$L$24,7,FALSE)+'BMP P Tracking Table'!$Z458*VLOOKUP('BMP P Tracking Table'!$R458,'Loading Rates'!$B$1:$L$24,8,FALSE)+'BMP P Tracking Table'!$AA458*VLOOKUP('BMP P Tracking Table'!$R458,'Loading Rates'!$B$1:$L$24,9,FALSE),'BMP P Tracking Table'!$AB458*VLOOKUP('BMP P Tracking Table'!$R458,'Loading Rates'!$B$1:$L$24,10,FALSE)),"")</f>
        <v/>
      </c>
      <c r="AF458" s="104" t="str">
        <f>IFERROR(MIN(2,IF('BMP P Tracking Table'!$W458="Total Pervious",(-(3630*'BMP P Tracking Table'!$V458+20.691*'BMP P Tracking Table'!$AB458)+SQRT((3630*'BMP P Tracking Table'!$V458+20.691*'BMP P Tracking Table'!$AB458)^2-(4*(996.798*'BMP P Tracking Table'!$AB458)*-'BMP P Tracking Table'!$AC458)))/(2*(996.798*'BMP P Tracking Table'!$AB458)),IF(SUM('BMP P Tracking Table'!$X458:$AA458)=0,'BMP P Tracking Table'!$AC458/(-3630*'BMP P Tracking Table'!$V458),(-(3630*'BMP P Tracking Table'!$V458+20.691*'BMP P Tracking Table'!$AA458-216.711*'BMP P Tracking Table'!$Z458-83.853*'BMP P Tracking Table'!$Y458-42.834*'BMP P Tracking Table'!$X458)+SQRT((3630*'BMP P Tracking Table'!$V458+20.691*'BMP P Tracking Table'!$AA458-216.711*'BMP P Tracking Table'!$Z458-83.853*'BMP P Tracking Table'!$Y458-42.834*'BMP P Tracking Table'!$X458)^2-(4*(149.919*'BMP P Tracking Table'!$X458+236.676*'BMP P Tracking Table'!$Y458+726*'BMP P Tracking Table'!$Z458+996.798*'BMP P Tracking Table'!$AA458)*-'BMP P Tracking Table'!$AC458)))/(2*(149.919*'BMP P Tracking Table'!$X458+236.676*'BMP P Tracking Table'!$Y458+726*'BMP P Tracking Table'!$Z458+996.798*'BMP P Tracking Table'!$AA458))))),"")</f>
        <v/>
      </c>
      <c r="AG458" s="104" t="str">
        <f>IFERROR((VLOOKUP(CONCATENATE('BMP P Tracking Table'!$U458," ",'BMP P Tracking Table'!$AD458),'Performance Curves'!$C$1:$L$46,_xlfn.SINGLE(MATCH('BMP P Tracking Table'!$AF458,'Performance Curves'!$D$1:$L$1,1))+2,FALSE)-VLOOKUP(CONCATENATE('BMP P Tracking Table'!$U458," ",'BMP P Tracking Table'!$AD458),'Performance Curves'!$C$1:$L$46,_xlfn.SINGLE(MATCH('BMP P Tracking Table'!$AF458,'Performance Curves'!$D$1:$L$1,1))+1,FALSE)),"")</f>
        <v/>
      </c>
      <c r="AH458" s="104" t="str">
        <f>IFERROR(('BMP P Tracking Table'!$AF458-INDEX('Performance Curves'!$D$1:$L$1,1,MATCH('BMP P Tracking Table'!$AF458,'Performance Curves'!$D$1:$L$1,1)))/(INDEX('Performance Curves'!$D$1:$L$1,1,MATCH('BMP P Tracking Table'!$AF458,'Performance Curves'!$D$1:$L$1,1)+1)-INDEX('Performance Curves'!$D$1:$L$1,1,MATCH('BMP P Tracking Table'!$AF458,'Performance Curves'!$D$1:$L$1,1))),"")</f>
        <v/>
      </c>
      <c r="AI458" s="103" t="str">
        <f>IFERROR(IF('BMP P Tracking Table'!$AF458=2,VLOOKUP(CONCATENATE('BMP P Tracking Table'!$U458," ",'BMP P Tracking Table'!$AD458),'Performance Curves'!$C$1:$L$46,_xlfn.SINGLE(MATCH('BMP P Tracking Table'!$AF458,'Performance Curves'!$D$1:$L$1,1))+1,FALSE),'BMP P Tracking Table'!$AG458*'BMP P Tracking Table'!$AH458+VLOOKUP(CONCATENATE('BMP P Tracking Table'!$U458," ",'BMP P Tracking Table'!$AD458),'Performance Curves'!$C$1:$L$46,_xlfn.SINGLE(MATCH('BMP P Tracking Table'!$AF458,'Performance Curves'!$D$1:$L$1,1))+1,FALSE)),"")</f>
        <v/>
      </c>
      <c r="AJ458" s="104" t="str">
        <f>IFERROR('BMP P Tracking Table'!$AI458*'BMP P Tracking Table'!$AE458,"")</f>
        <v/>
      </c>
      <c r="AK458" s="65"/>
      <c r="AL458" s="98"/>
      <c r="AM458" s="98"/>
      <c r="AN458" s="64">
        <v>1</v>
      </c>
      <c r="AO458" s="102" t="str">
        <f t="shared" si="41"/>
        <v/>
      </c>
      <c r="AP458" s="98"/>
      <c r="AQ458" s="98"/>
      <c r="AR458" s="98"/>
      <c r="AS458" s="98"/>
      <c r="AT458" s="98"/>
      <c r="AU458" s="98"/>
      <c r="AV458" s="98"/>
      <c r="AW458" s="65"/>
      <c r="AX458" s="99"/>
      <c r="AY458" s="99"/>
      <c r="AZ458" s="104" t="str">
        <f>IF('BMP P Tracking Table'!$AL458="Yes",IF('BMP P Tracking Table'!$AM458="No",'BMP P Tracking Table'!$V458*VLOOKUP('BMP P Tracking Table'!$R458,'Loading Rates'!$B$1:$L$24,4,FALSE)+IF('BMP P Tracking Table'!$W458="By HSG",'BMP P Tracking Table'!$X458*VLOOKUP('BMP P Tracking Table'!$R458,'Loading Rates'!$B$1:$L$24,6,FALSE)+'BMP P Tracking Table'!$Y458*VLOOKUP('BMP P Tracking Table'!$R458,'Loading Rates'!$B$1:$L$24,7,FALSE)+'BMP P Tracking Table'!$Z458*VLOOKUP('BMP P Tracking Table'!$R458,'Loading Rates'!$B$1:$L$24,8,FALSE)+'BMP P Tracking Table'!$AA458*VLOOKUP('BMP P Tracking Table'!$R458,'Loading Rates'!$B$1:$L$24,9,FALSE),'BMP P Tracking Table'!$AB458*VLOOKUP('BMP P Tracking Table'!$R458,'Loading Rates'!$B$1:$L$24,10,FALSE)),'BMP P Tracking Table'!$AP458*VLOOKUP('BMP P Tracking Table'!$R458,'Loading Rates'!$B$1:$L$24,4,FALSE)+IF('BMP P Tracking Table'!$AQ458="By HSG",'BMP P Tracking Table'!$AR458*VLOOKUP('BMP P Tracking Table'!$R458,'Loading Rates'!$B$1:$L$24,6,FALSE)+'BMP P Tracking Table'!$AS458*VLOOKUP('BMP P Tracking Table'!$R458,'Loading Rates'!$B$1:$L$24,7,FALSE)+'BMP P Tracking Table'!$AT458*VLOOKUP('BMP P Tracking Table'!$R458,'Loading Rates'!$B$1:$L$24,8,FALSE)+'BMP P Tracking Table'!$AU458*VLOOKUP('BMP P Tracking Table'!$R458,'Loading Rates'!$B$1:$L$24,9,FALSE),'BMP P Tracking Table'!$AV458*VLOOKUP('BMP P Tracking Table'!$R458,'Loading Rates'!$B$1:$L$24,10,FALSE))),"")</f>
        <v/>
      </c>
      <c r="BA458" s="104" t="str">
        <f>IFERROR(IF('BMP P Tracking Table'!$AM458="Yes",MIN(2,IF('BMP P Tracking Table'!$AQ458="Total Pervious",(-(3630*'BMP P Tracking Table'!$AP458+20.691*'BMP P Tracking Table'!$AV458)+SQRT((3630*'BMP P Tracking Table'!$AP458+20.691*'BMP P Tracking Table'!$AV458)^2-(4*(996.798*'BMP P Tracking Table'!$AV458)*-'BMP P Tracking Table'!$AX458)))/(2*(996.798*'BMP P Tracking Table'!$AV458)),IF(SUM('BMP P Tracking Table'!$AR458:$AU458)=0,'BMP P Tracking Table'!$AV458/(-3630*'BMP P Tracking Table'!$AP458),(-(3630*'BMP P Tracking Table'!$AP458+20.691*'BMP P Tracking Table'!$AU458-216.711*'BMP P Tracking Table'!$AT458-83.853*'BMP P Tracking Table'!$AS458-42.834*'BMP P Tracking Table'!$AR458)+SQRT((3630*'BMP P Tracking Table'!$AP458+20.691*'BMP P Tracking Table'!$AU458-216.711*'BMP P Tracking Table'!$AT458-83.853*'BMP P Tracking Table'!$AS458-42.834*'BMP P Tracking Table'!$AR458)^2-(4*(149.919*'BMP P Tracking Table'!$AR458+236.676*'BMP P Tracking Table'!$AS458+726*'BMP P Tracking Table'!$AT458+996.798*'BMP P Tracking Table'!$AU458)*-'BMP P Tracking Table'!$AX458)))/(2*(149.919*'BMP P Tracking Table'!$AR458+236.676*'BMP P Tracking Table'!$AS458+726*'BMP P Tracking Table'!$AT458+996.798*'BMP P Tracking Table'!$AU458))))),MIN(2,IF('BMP P Tracking Table'!$AQ458="Total Pervious",(-(3630*'BMP P Tracking Table'!$V458+20.691*'BMP P Tracking Table'!$AB458)+SQRT((3630*'BMP P Tracking Table'!$V458+20.691*'BMP P Tracking Table'!$AB458)^2-(4*(996.798*'BMP P Tracking Table'!$AB458)*-'BMP P Tracking Table'!$AX458)))/(2*(996.798*'BMP P Tracking Table'!$AB458)),IF(SUM('BMP P Tracking Table'!$X458:$AA458)=0,'BMP P Tracking Table'!$AX458/(-3630*'BMP P Tracking Table'!$V458),(-(3630*'BMP P Tracking Table'!$V458+20.691*'BMP P Tracking Table'!$AA458-216.711*'BMP P Tracking Table'!$Z458-83.853*'BMP P Tracking Table'!$Y458-42.834*'BMP P Tracking Table'!$X458)+SQRT((3630*'BMP P Tracking Table'!$V458+20.691*'BMP P Tracking Table'!$AA458-216.711*'BMP P Tracking Table'!$Z458-83.853*'BMP P Tracking Table'!$Y458-42.834*'BMP P Tracking Table'!$X458)^2-(4*(149.919*'BMP P Tracking Table'!$X458+236.676*'BMP P Tracking Table'!$Y458+726*'BMP P Tracking Table'!$Z458+996.798*'BMP P Tracking Table'!$AA458)*-'BMP P Tracking Table'!$AX458)))/(2*(149.919*'BMP P Tracking Table'!$X458+236.676*'BMP P Tracking Table'!$Y458+726*'BMP P Tracking Table'!$Z458+996.798*'BMP P Tracking Table'!$AA458)))))),"")</f>
        <v/>
      </c>
      <c r="BB458" s="102" t="str">
        <f>IFERROR((VLOOKUP(CONCATENATE('BMP P Tracking Table'!$AW458," ",'BMP P Tracking Table'!$AY458),'Performance Curves'!$C$1:$L$46,_xlfn.SINGLE(MATCH('BMP P Tracking Table'!$BA458,'Performance Curves'!$D$1:$L$1,1))+2,FALSE)-VLOOKUP(CONCATENATE('BMP P Tracking Table'!$AW458," ",'BMP P Tracking Table'!$AY458),'Performance Curves'!$C$1:$L$46,_xlfn.SINGLE(MATCH('BMP P Tracking Table'!$BA458,'Performance Curves'!$D$1:$L$1,1))+1,FALSE)),"")</f>
        <v/>
      </c>
      <c r="BC458" s="102" t="str">
        <f>IFERROR(('BMP P Tracking Table'!$BA458-INDEX('Performance Curves'!$D$1:$L$1,1,MATCH('BMP P Tracking Table'!$BA458,'Performance Curves'!$D$1:$L$1,1)))/(INDEX('Performance Curves'!$D$1:$L$1,1,MATCH('BMP P Tracking Table'!$BA458,'Performance Curves'!$D$1:$L$1,1)+1)-INDEX('Performance Curves'!$D$1:$L$1,1,MATCH('BMP P Tracking Table'!$BA458,'Performance Curves'!$D$1:$L$1,1))),"")</f>
        <v/>
      </c>
      <c r="BD458" s="103" t="str" cm="1">
        <f t="array" ref="BD458">IFERROR(IF('BMP P Tracking Table'!$BA458=2,VLOOKUP(CONCATENATE('BMP P Tracking Table'!$AW458," ",'BMP P Tracking Table'!$AY458),'Performance Curves'!$C$1:$L$44,_xlfn.SINGLE(MATCH('BMP P Tracking Table'!$BA458,'Performance Curves'!$D$1:$L$1,1))+1,FALSE),'BMP P Tracking Table'!$BB458*'BMP P Tracking Table'!$BC458+VLOOKUP(CONCATENATE('BMP P Tracking Table'!$AW458," ",'BMP P Tracking Table'!$AY458),'Performance Curves'!$C$1:$L$44,_xlfn.SINGLE(MATCH('BMP P Tracking Table'!$BA458,'Performance Curves'!$D$1:$L$1,1))+1,FALSE)),"")</f>
        <v/>
      </c>
      <c r="BE458" s="104" t="str">
        <f>IFERROR('BMP P Tracking Table'!$BD458*'BMP P Tracking Table'!$AZ458,"")</f>
        <v/>
      </c>
      <c r="BF458" s="92"/>
      <c r="BG458" s="37">
        <f t="shared" si="42"/>
        <v>0</v>
      </c>
    </row>
    <row r="459" spans="2:67" s="36" customFormat="1">
      <c r="B459" s="65"/>
      <c r="C459" s="65"/>
      <c r="D459" s="65"/>
      <c r="E459" s="65"/>
      <c r="F459" s="94"/>
      <c r="G459" s="94"/>
      <c r="H459" s="65"/>
      <c r="I459" s="65"/>
      <c r="J459" s="65"/>
      <c r="K459" s="95"/>
      <c r="L459" s="65"/>
      <c r="M459" s="65"/>
      <c r="N459" s="65"/>
      <c r="O459" s="65"/>
      <c r="P459" s="65"/>
      <c r="Q459" s="65"/>
      <c r="R459" s="65" t="str">
        <f>IFERROR(VLOOKUP('BMP P Tracking Table'!$Q459,Dropdowns!$C$2:$E$15,3,FALSE),"")</f>
        <v/>
      </c>
      <c r="S459" s="65" t="str">
        <f>IFERROR(VLOOKUP('BMP P Tracking Table'!$R459,Dropdowns!$Q$3:$R$23,2,FALSE),"")</f>
        <v/>
      </c>
      <c r="T459" s="65"/>
      <c r="U459" s="65"/>
      <c r="V459" s="65"/>
      <c r="W459" s="65"/>
      <c r="X459" s="65"/>
      <c r="Y459" s="65"/>
      <c r="Z459" s="65"/>
      <c r="AA459" s="65"/>
      <c r="AB459" s="65"/>
      <c r="AC459" s="97"/>
      <c r="AD459" s="65"/>
      <c r="AE459" s="104" t="str">
        <f>IFERROR('BMP P Tracking Table'!$V459*VLOOKUP('BMP P Tracking Table'!$R459,'Loading Rates'!$B$1:$L$24,4,FALSE)+IF('BMP P Tracking Table'!$W459="By HSG",'BMP P Tracking Table'!$X459*VLOOKUP('BMP P Tracking Table'!$R459,'Loading Rates'!$B$1:$L$24,6,FALSE)+'BMP P Tracking Table'!$Y459*VLOOKUP('BMP P Tracking Table'!$R459,'Loading Rates'!$B$1:$L$24,7,FALSE)+'BMP P Tracking Table'!$Z459*VLOOKUP('BMP P Tracking Table'!$R459,'Loading Rates'!$B$1:$L$24,8,FALSE)+'BMP P Tracking Table'!$AA459*VLOOKUP('BMP P Tracking Table'!$R459,'Loading Rates'!$B$1:$L$24,9,FALSE),'BMP P Tracking Table'!$AB459*VLOOKUP('BMP P Tracking Table'!$R459,'Loading Rates'!$B$1:$L$24,10,FALSE)),"")</f>
        <v/>
      </c>
      <c r="AF459" s="104" t="str">
        <f>IFERROR(MIN(2,IF('BMP P Tracking Table'!$W459="Total Pervious",(-(3630*'BMP P Tracking Table'!$V459+20.691*'BMP P Tracking Table'!$AB459)+SQRT((3630*'BMP P Tracking Table'!$V459+20.691*'BMP P Tracking Table'!$AB459)^2-(4*(996.798*'BMP P Tracking Table'!$AB459)*-'BMP P Tracking Table'!$AC459)))/(2*(996.798*'BMP P Tracking Table'!$AB459)),IF(SUM('BMP P Tracking Table'!$X459:$AA459)=0,'BMP P Tracking Table'!$AC459/(-3630*'BMP P Tracking Table'!$V459),(-(3630*'BMP P Tracking Table'!$V459+20.691*'BMP P Tracking Table'!$AA459-216.711*'BMP P Tracking Table'!$Z459-83.853*'BMP P Tracking Table'!$Y459-42.834*'BMP P Tracking Table'!$X459)+SQRT((3630*'BMP P Tracking Table'!$V459+20.691*'BMP P Tracking Table'!$AA459-216.711*'BMP P Tracking Table'!$Z459-83.853*'BMP P Tracking Table'!$Y459-42.834*'BMP P Tracking Table'!$X459)^2-(4*(149.919*'BMP P Tracking Table'!$X459+236.676*'BMP P Tracking Table'!$Y459+726*'BMP P Tracking Table'!$Z459+996.798*'BMP P Tracking Table'!$AA459)*-'BMP P Tracking Table'!$AC459)))/(2*(149.919*'BMP P Tracking Table'!$X459+236.676*'BMP P Tracking Table'!$Y459+726*'BMP P Tracking Table'!$Z459+996.798*'BMP P Tracking Table'!$AA459))))),"")</f>
        <v/>
      </c>
      <c r="AG459" s="104" t="str">
        <f>IFERROR((VLOOKUP(CONCATENATE('BMP P Tracking Table'!$U459," ",'BMP P Tracking Table'!$AD459),'Performance Curves'!$C$1:$L$46,_xlfn.SINGLE(MATCH('BMP P Tracking Table'!$AF459,'Performance Curves'!$D$1:$L$1,1))+2,FALSE)-VLOOKUP(CONCATENATE('BMP P Tracking Table'!$U459," ",'BMP P Tracking Table'!$AD459),'Performance Curves'!$C$1:$L$46,_xlfn.SINGLE(MATCH('BMP P Tracking Table'!$AF459,'Performance Curves'!$D$1:$L$1,1))+1,FALSE)),"")</f>
        <v/>
      </c>
      <c r="AH459" s="104" t="str">
        <f>IFERROR(('BMP P Tracking Table'!$AF459-INDEX('Performance Curves'!$D$1:$L$1,1,MATCH('BMP P Tracking Table'!$AF459,'Performance Curves'!$D$1:$L$1,1)))/(INDEX('Performance Curves'!$D$1:$L$1,1,MATCH('BMP P Tracking Table'!$AF459,'Performance Curves'!$D$1:$L$1,1)+1)-INDEX('Performance Curves'!$D$1:$L$1,1,MATCH('BMP P Tracking Table'!$AF459,'Performance Curves'!$D$1:$L$1,1))),"")</f>
        <v/>
      </c>
      <c r="AI459" s="103" t="str">
        <f>IFERROR(IF('BMP P Tracking Table'!$AF459=2,VLOOKUP(CONCATENATE('BMP P Tracking Table'!$U459," ",'BMP P Tracking Table'!$AD459),'Performance Curves'!$C$1:$L$46,_xlfn.SINGLE(MATCH('BMP P Tracking Table'!$AF459,'Performance Curves'!$D$1:$L$1,1))+1,FALSE),'BMP P Tracking Table'!$AG459*'BMP P Tracking Table'!$AH459+VLOOKUP(CONCATENATE('BMP P Tracking Table'!$U459," ",'BMP P Tracking Table'!$AD459),'Performance Curves'!$C$1:$L$46,_xlfn.SINGLE(MATCH('BMP P Tracking Table'!$AF459,'Performance Curves'!$D$1:$L$1,1))+1,FALSE)),"")</f>
        <v/>
      </c>
      <c r="AJ459" s="104" t="str">
        <f>IFERROR('BMP P Tracking Table'!$AI459*'BMP P Tracking Table'!$AE459,"")</f>
        <v/>
      </c>
      <c r="AK459" s="65"/>
      <c r="AL459" s="98"/>
      <c r="AM459" s="98"/>
      <c r="AN459" s="64">
        <v>1</v>
      </c>
      <c r="AO459" s="102" t="str">
        <f t="shared" si="41"/>
        <v/>
      </c>
      <c r="AP459" s="98"/>
      <c r="AQ459" s="98"/>
      <c r="AR459" s="98"/>
      <c r="AS459" s="98"/>
      <c r="AT459" s="98"/>
      <c r="AU459" s="98"/>
      <c r="AV459" s="98"/>
      <c r="AW459" s="65"/>
      <c r="AX459" s="99"/>
      <c r="AY459" s="99"/>
      <c r="AZ459" s="104" t="str">
        <f>IF('BMP P Tracking Table'!$AL459="Yes",IF('BMP P Tracking Table'!$AM459="No",'BMP P Tracking Table'!$V459*VLOOKUP('BMP P Tracking Table'!$R459,'Loading Rates'!$B$1:$L$24,4,FALSE)+IF('BMP P Tracking Table'!$W459="By HSG",'BMP P Tracking Table'!$X459*VLOOKUP('BMP P Tracking Table'!$R459,'Loading Rates'!$B$1:$L$24,6,FALSE)+'BMP P Tracking Table'!$Y459*VLOOKUP('BMP P Tracking Table'!$R459,'Loading Rates'!$B$1:$L$24,7,FALSE)+'BMP P Tracking Table'!$Z459*VLOOKUP('BMP P Tracking Table'!$R459,'Loading Rates'!$B$1:$L$24,8,FALSE)+'BMP P Tracking Table'!$AA459*VLOOKUP('BMP P Tracking Table'!$R459,'Loading Rates'!$B$1:$L$24,9,FALSE),'BMP P Tracking Table'!$AB459*VLOOKUP('BMP P Tracking Table'!$R459,'Loading Rates'!$B$1:$L$24,10,FALSE)),'BMP P Tracking Table'!$AP459*VLOOKUP('BMP P Tracking Table'!$R459,'Loading Rates'!$B$1:$L$24,4,FALSE)+IF('BMP P Tracking Table'!$AQ459="By HSG",'BMP P Tracking Table'!$AR459*VLOOKUP('BMP P Tracking Table'!$R459,'Loading Rates'!$B$1:$L$24,6,FALSE)+'BMP P Tracking Table'!$AS459*VLOOKUP('BMP P Tracking Table'!$R459,'Loading Rates'!$B$1:$L$24,7,FALSE)+'BMP P Tracking Table'!$AT459*VLOOKUP('BMP P Tracking Table'!$R459,'Loading Rates'!$B$1:$L$24,8,FALSE)+'BMP P Tracking Table'!$AU459*VLOOKUP('BMP P Tracking Table'!$R459,'Loading Rates'!$B$1:$L$24,9,FALSE),'BMP P Tracking Table'!$AV459*VLOOKUP('BMP P Tracking Table'!$R459,'Loading Rates'!$B$1:$L$24,10,FALSE))),"")</f>
        <v/>
      </c>
      <c r="BA459" s="104" t="str">
        <f>IFERROR(IF('BMP P Tracking Table'!$AM459="Yes",MIN(2,IF('BMP P Tracking Table'!$AQ459="Total Pervious",(-(3630*'BMP P Tracking Table'!$AP459+20.691*'BMP P Tracking Table'!$AV459)+SQRT((3630*'BMP P Tracking Table'!$AP459+20.691*'BMP P Tracking Table'!$AV459)^2-(4*(996.798*'BMP P Tracking Table'!$AV459)*-'BMP P Tracking Table'!$AX459)))/(2*(996.798*'BMP P Tracking Table'!$AV459)),IF(SUM('BMP P Tracking Table'!$AR459:$AU459)=0,'BMP P Tracking Table'!$AV459/(-3630*'BMP P Tracking Table'!$AP459),(-(3630*'BMP P Tracking Table'!$AP459+20.691*'BMP P Tracking Table'!$AU459-216.711*'BMP P Tracking Table'!$AT459-83.853*'BMP P Tracking Table'!$AS459-42.834*'BMP P Tracking Table'!$AR459)+SQRT((3630*'BMP P Tracking Table'!$AP459+20.691*'BMP P Tracking Table'!$AU459-216.711*'BMP P Tracking Table'!$AT459-83.853*'BMP P Tracking Table'!$AS459-42.834*'BMP P Tracking Table'!$AR459)^2-(4*(149.919*'BMP P Tracking Table'!$AR459+236.676*'BMP P Tracking Table'!$AS459+726*'BMP P Tracking Table'!$AT459+996.798*'BMP P Tracking Table'!$AU459)*-'BMP P Tracking Table'!$AX459)))/(2*(149.919*'BMP P Tracking Table'!$AR459+236.676*'BMP P Tracking Table'!$AS459+726*'BMP P Tracking Table'!$AT459+996.798*'BMP P Tracking Table'!$AU459))))),MIN(2,IF('BMP P Tracking Table'!$AQ459="Total Pervious",(-(3630*'BMP P Tracking Table'!$V459+20.691*'BMP P Tracking Table'!$AB459)+SQRT((3630*'BMP P Tracking Table'!$V459+20.691*'BMP P Tracking Table'!$AB459)^2-(4*(996.798*'BMP P Tracking Table'!$AB459)*-'BMP P Tracking Table'!$AX459)))/(2*(996.798*'BMP P Tracking Table'!$AB459)),IF(SUM('BMP P Tracking Table'!$X459:$AA459)=0,'BMP P Tracking Table'!$AX459/(-3630*'BMP P Tracking Table'!$V459),(-(3630*'BMP P Tracking Table'!$V459+20.691*'BMP P Tracking Table'!$AA459-216.711*'BMP P Tracking Table'!$Z459-83.853*'BMP P Tracking Table'!$Y459-42.834*'BMP P Tracking Table'!$X459)+SQRT((3630*'BMP P Tracking Table'!$V459+20.691*'BMP P Tracking Table'!$AA459-216.711*'BMP P Tracking Table'!$Z459-83.853*'BMP P Tracking Table'!$Y459-42.834*'BMP P Tracking Table'!$X459)^2-(4*(149.919*'BMP P Tracking Table'!$X459+236.676*'BMP P Tracking Table'!$Y459+726*'BMP P Tracking Table'!$Z459+996.798*'BMP P Tracking Table'!$AA459)*-'BMP P Tracking Table'!$AX459)))/(2*(149.919*'BMP P Tracking Table'!$X459+236.676*'BMP P Tracking Table'!$Y459+726*'BMP P Tracking Table'!$Z459+996.798*'BMP P Tracking Table'!$AA459)))))),"")</f>
        <v/>
      </c>
      <c r="BB459" s="102" t="str">
        <f>IFERROR((VLOOKUP(CONCATENATE('BMP P Tracking Table'!$AW459," ",'BMP P Tracking Table'!$AY459),'Performance Curves'!$C$1:$L$46,_xlfn.SINGLE(MATCH('BMP P Tracking Table'!$BA459,'Performance Curves'!$D$1:$L$1,1))+2,FALSE)-VLOOKUP(CONCATENATE('BMP P Tracking Table'!$AW459," ",'BMP P Tracking Table'!$AY459),'Performance Curves'!$C$1:$L$46,_xlfn.SINGLE(MATCH('BMP P Tracking Table'!$BA459,'Performance Curves'!$D$1:$L$1,1))+1,FALSE)),"")</f>
        <v/>
      </c>
      <c r="BC459" s="102" t="str">
        <f>IFERROR(('BMP P Tracking Table'!$BA459-INDEX('Performance Curves'!$D$1:$L$1,1,MATCH('BMP P Tracking Table'!$BA459,'Performance Curves'!$D$1:$L$1,1)))/(INDEX('Performance Curves'!$D$1:$L$1,1,MATCH('BMP P Tracking Table'!$BA459,'Performance Curves'!$D$1:$L$1,1)+1)-INDEX('Performance Curves'!$D$1:$L$1,1,MATCH('BMP P Tracking Table'!$BA459,'Performance Curves'!$D$1:$L$1,1))),"")</f>
        <v/>
      </c>
      <c r="BD459" s="103" t="str" cm="1">
        <f t="array" ref="BD459">IFERROR(IF('BMP P Tracking Table'!$BA459=2,VLOOKUP(CONCATENATE('BMP P Tracking Table'!$AW459," ",'BMP P Tracking Table'!$AY459),'Performance Curves'!$C$1:$L$44,_xlfn.SINGLE(MATCH('BMP P Tracking Table'!$BA459,'Performance Curves'!$D$1:$L$1,1))+1,FALSE),'BMP P Tracking Table'!$BB459*'BMP P Tracking Table'!$BC459+VLOOKUP(CONCATENATE('BMP P Tracking Table'!$AW459," ",'BMP P Tracking Table'!$AY459),'Performance Curves'!$C$1:$L$44,_xlfn.SINGLE(MATCH('BMP P Tracking Table'!$BA459,'Performance Curves'!$D$1:$L$1,1))+1,FALSE)),"")</f>
        <v/>
      </c>
      <c r="BE459" s="104" t="str">
        <f>IFERROR('BMP P Tracking Table'!$BD459*'BMP P Tracking Table'!$AZ459,"")</f>
        <v/>
      </c>
      <c r="BF459" s="98"/>
      <c r="BG459" s="37">
        <f t="shared" si="42"/>
        <v>0</v>
      </c>
    </row>
    <row r="460" spans="2:67" s="36" customFormat="1">
      <c r="B460" s="65"/>
      <c r="C460" s="65"/>
      <c r="D460" s="65"/>
      <c r="E460" s="65"/>
      <c r="F460" s="94"/>
      <c r="G460" s="94"/>
      <c r="H460" s="65"/>
      <c r="I460" s="65"/>
      <c r="J460" s="65"/>
      <c r="K460" s="95"/>
      <c r="L460" s="65"/>
      <c r="M460" s="65"/>
      <c r="N460" s="65"/>
      <c r="O460" s="65"/>
      <c r="P460" s="65"/>
      <c r="Q460" s="65"/>
      <c r="R460" s="65" t="str">
        <f>IFERROR(VLOOKUP('BMP P Tracking Table'!$Q460,Dropdowns!$C$2:$E$15,3,FALSE),"")</f>
        <v/>
      </c>
      <c r="S460" s="65" t="str">
        <f>IFERROR(VLOOKUP('BMP P Tracking Table'!$R460,Dropdowns!$Q$3:$R$23,2,FALSE),"")</f>
        <v/>
      </c>
      <c r="T460" s="65"/>
      <c r="U460" s="65"/>
      <c r="V460" s="65"/>
      <c r="W460" s="65"/>
      <c r="X460" s="65"/>
      <c r="Y460" s="65"/>
      <c r="Z460" s="65"/>
      <c r="AA460" s="65"/>
      <c r="AB460" s="65"/>
      <c r="AC460" s="97"/>
      <c r="AD460" s="65"/>
      <c r="AE460" s="104" t="str">
        <f>IFERROR('BMP P Tracking Table'!$V460*VLOOKUP('BMP P Tracking Table'!$R460,'Loading Rates'!$B$1:$L$24,4,FALSE)+IF('BMP P Tracking Table'!$W460="By HSG",'BMP P Tracking Table'!$X460*VLOOKUP('BMP P Tracking Table'!$R460,'Loading Rates'!$B$1:$L$24,6,FALSE)+'BMP P Tracking Table'!$Y460*VLOOKUP('BMP P Tracking Table'!$R460,'Loading Rates'!$B$1:$L$24,7,FALSE)+'BMP P Tracking Table'!$Z460*VLOOKUP('BMP P Tracking Table'!$R460,'Loading Rates'!$B$1:$L$24,8,FALSE)+'BMP P Tracking Table'!$AA460*VLOOKUP('BMP P Tracking Table'!$R460,'Loading Rates'!$B$1:$L$24,9,FALSE),'BMP P Tracking Table'!$AB460*VLOOKUP('BMP P Tracking Table'!$R460,'Loading Rates'!$B$1:$L$24,10,FALSE)),"")</f>
        <v/>
      </c>
      <c r="AF460" s="104" t="str">
        <f>IFERROR(MIN(2,IF('BMP P Tracking Table'!$W460="Total Pervious",(-(3630*'BMP P Tracking Table'!$V460+20.691*'BMP P Tracking Table'!$AB460)+SQRT((3630*'BMP P Tracking Table'!$V460+20.691*'BMP P Tracking Table'!$AB460)^2-(4*(996.798*'BMP P Tracking Table'!$AB460)*-'BMP P Tracking Table'!$AC460)))/(2*(996.798*'BMP P Tracking Table'!$AB460)),IF(SUM('BMP P Tracking Table'!$X460:$AA460)=0,'BMP P Tracking Table'!$AC460/(-3630*'BMP P Tracking Table'!$V460),(-(3630*'BMP P Tracking Table'!$V460+20.691*'BMP P Tracking Table'!$AA460-216.711*'BMP P Tracking Table'!$Z460-83.853*'BMP P Tracking Table'!$Y460-42.834*'BMP P Tracking Table'!$X460)+SQRT((3630*'BMP P Tracking Table'!$V460+20.691*'BMP P Tracking Table'!$AA460-216.711*'BMP P Tracking Table'!$Z460-83.853*'BMP P Tracking Table'!$Y460-42.834*'BMP P Tracking Table'!$X460)^2-(4*(149.919*'BMP P Tracking Table'!$X460+236.676*'BMP P Tracking Table'!$Y460+726*'BMP P Tracking Table'!$Z460+996.798*'BMP P Tracking Table'!$AA460)*-'BMP P Tracking Table'!$AC460)))/(2*(149.919*'BMP P Tracking Table'!$X460+236.676*'BMP P Tracking Table'!$Y460+726*'BMP P Tracking Table'!$Z460+996.798*'BMP P Tracking Table'!$AA460))))),"")</f>
        <v/>
      </c>
      <c r="AG460" s="104" t="str">
        <f>IFERROR((VLOOKUP(CONCATENATE('BMP P Tracking Table'!$U460," ",'BMP P Tracking Table'!$AD460),'Performance Curves'!$C$1:$L$46,_xlfn.SINGLE(MATCH('BMP P Tracking Table'!$AF460,'Performance Curves'!$D$1:$L$1,1))+2,FALSE)-VLOOKUP(CONCATENATE('BMP P Tracking Table'!$U460," ",'BMP P Tracking Table'!$AD460),'Performance Curves'!$C$1:$L$46,_xlfn.SINGLE(MATCH('BMP P Tracking Table'!$AF460,'Performance Curves'!$D$1:$L$1,1))+1,FALSE)),"")</f>
        <v/>
      </c>
      <c r="AH460" s="104" t="str">
        <f>IFERROR(('BMP P Tracking Table'!$AF460-INDEX('Performance Curves'!$D$1:$L$1,1,MATCH('BMP P Tracking Table'!$AF460,'Performance Curves'!$D$1:$L$1,1)))/(INDEX('Performance Curves'!$D$1:$L$1,1,MATCH('BMP P Tracking Table'!$AF460,'Performance Curves'!$D$1:$L$1,1)+1)-INDEX('Performance Curves'!$D$1:$L$1,1,MATCH('BMP P Tracking Table'!$AF460,'Performance Curves'!$D$1:$L$1,1))),"")</f>
        <v/>
      </c>
      <c r="AI460" s="103" t="str">
        <f>IFERROR(IF('BMP P Tracking Table'!$AF460=2,VLOOKUP(CONCATENATE('BMP P Tracking Table'!$U460," ",'BMP P Tracking Table'!$AD460),'Performance Curves'!$C$1:$L$46,_xlfn.SINGLE(MATCH('BMP P Tracking Table'!$AF460,'Performance Curves'!$D$1:$L$1,1))+1,FALSE),'BMP P Tracking Table'!$AG460*'BMP P Tracking Table'!$AH460+VLOOKUP(CONCATENATE('BMP P Tracking Table'!$U460," ",'BMP P Tracking Table'!$AD460),'Performance Curves'!$C$1:$L$46,_xlfn.SINGLE(MATCH('BMP P Tracking Table'!$AF460,'Performance Curves'!$D$1:$L$1,1))+1,FALSE)),"")</f>
        <v/>
      </c>
      <c r="AJ460" s="104" t="str">
        <f>IFERROR('BMP P Tracking Table'!$AI460*'BMP P Tracking Table'!$AE460,"")</f>
        <v/>
      </c>
      <c r="AK460" s="65"/>
      <c r="AL460" s="98"/>
      <c r="AM460" s="98"/>
      <c r="AN460" s="64">
        <v>1</v>
      </c>
      <c r="AO460" s="102" t="str">
        <f t="shared" si="41"/>
        <v/>
      </c>
      <c r="AP460" s="98"/>
      <c r="AQ460" s="98"/>
      <c r="AR460" s="98"/>
      <c r="AS460" s="98"/>
      <c r="AT460" s="98"/>
      <c r="AU460" s="98"/>
      <c r="AV460" s="98"/>
      <c r="AW460" s="65"/>
      <c r="AX460" s="99"/>
      <c r="AY460" s="99"/>
      <c r="AZ460" s="104" t="str">
        <f>IF('BMP P Tracking Table'!$AL460="Yes",IF('BMP P Tracking Table'!$AM460="No",'BMP P Tracking Table'!$V460*VLOOKUP('BMP P Tracking Table'!$R460,'Loading Rates'!$B$1:$L$24,4,FALSE)+IF('BMP P Tracking Table'!$W460="By HSG",'BMP P Tracking Table'!$X460*VLOOKUP('BMP P Tracking Table'!$R460,'Loading Rates'!$B$1:$L$24,6,FALSE)+'BMP P Tracking Table'!$Y460*VLOOKUP('BMP P Tracking Table'!$R460,'Loading Rates'!$B$1:$L$24,7,FALSE)+'BMP P Tracking Table'!$Z460*VLOOKUP('BMP P Tracking Table'!$R460,'Loading Rates'!$B$1:$L$24,8,FALSE)+'BMP P Tracking Table'!$AA460*VLOOKUP('BMP P Tracking Table'!$R460,'Loading Rates'!$B$1:$L$24,9,FALSE),'BMP P Tracking Table'!$AB460*VLOOKUP('BMP P Tracking Table'!$R460,'Loading Rates'!$B$1:$L$24,10,FALSE)),'BMP P Tracking Table'!$AP460*VLOOKUP('BMP P Tracking Table'!$R460,'Loading Rates'!$B$1:$L$24,4,FALSE)+IF('BMP P Tracking Table'!$AQ460="By HSG",'BMP P Tracking Table'!$AR460*VLOOKUP('BMP P Tracking Table'!$R460,'Loading Rates'!$B$1:$L$24,6,FALSE)+'BMP P Tracking Table'!$AS460*VLOOKUP('BMP P Tracking Table'!$R460,'Loading Rates'!$B$1:$L$24,7,FALSE)+'BMP P Tracking Table'!$AT460*VLOOKUP('BMP P Tracking Table'!$R460,'Loading Rates'!$B$1:$L$24,8,FALSE)+'BMP P Tracking Table'!$AU460*VLOOKUP('BMP P Tracking Table'!$R460,'Loading Rates'!$B$1:$L$24,9,FALSE),'BMP P Tracking Table'!$AV460*VLOOKUP('BMP P Tracking Table'!$R460,'Loading Rates'!$B$1:$L$24,10,FALSE))),"")</f>
        <v/>
      </c>
      <c r="BA460" s="104" t="str">
        <f>IFERROR(IF('BMP P Tracking Table'!$AM460="Yes",MIN(2,IF('BMP P Tracking Table'!$AQ460="Total Pervious",(-(3630*'BMP P Tracking Table'!$AP460+20.691*'BMP P Tracking Table'!$AV460)+SQRT((3630*'BMP P Tracking Table'!$AP460+20.691*'BMP P Tracking Table'!$AV460)^2-(4*(996.798*'BMP P Tracking Table'!$AV460)*-'BMP P Tracking Table'!$AX460)))/(2*(996.798*'BMP P Tracking Table'!$AV460)),IF(SUM('BMP P Tracking Table'!$AR460:$AU460)=0,'BMP P Tracking Table'!$AV460/(-3630*'BMP P Tracking Table'!$AP460),(-(3630*'BMP P Tracking Table'!$AP460+20.691*'BMP P Tracking Table'!$AU460-216.711*'BMP P Tracking Table'!$AT460-83.853*'BMP P Tracking Table'!$AS460-42.834*'BMP P Tracking Table'!$AR460)+SQRT((3630*'BMP P Tracking Table'!$AP460+20.691*'BMP P Tracking Table'!$AU460-216.711*'BMP P Tracking Table'!$AT460-83.853*'BMP P Tracking Table'!$AS460-42.834*'BMP P Tracking Table'!$AR460)^2-(4*(149.919*'BMP P Tracking Table'!$AR460+236.676*'BMP P Tracking Table'!$AS460+726*'BMP P Tracking Table'!$AT460+996.798*'BMP P Tracking Table'!$AU460)*-'BMP P Tracking Table'!$AX460)))/(2*(149.919*'BMP P Tracking Table'!$AR460+236.676*'BMP P Tracking Table'!$AS460+726*'BMP P Tracking Table'!$AT460+996.798*'BMP P Tracking Table'!$AU460))))),MIN(2,IF('BMP P Tracking Table'!$AQ460="Total Pervious",(-(3630*'BMP P Tracking Table'!$V460+20.691*'BMP P Tracking Table'!$AB460)+SQRT((3630*'BMP P Tracking Table'!$V460+20.691*'BMP P Tracking Table'!$AB460)^2-(4*(996.798*'BMP P Tracking Table'!$AB460)*-'BMP P Tracking Table'!$AX460)))/(2*(996.798*'BMP P Tracking Table'!$AB460)),IF(SUM('BMP P Tracking Table'!$X460:$AA460)=0,'BMP P Tracking Table'!$AX460/(-3630*'BMP P Tracking Table'!$V460),(-(3630*'BMP P Tracking Table'!$V460+20.691*'BMP P Tracking Table'!$AA460-216.711*'BMP P Tracking Table'!$Z460-83.853*'BMP P Tracking Table'!$Y460-42.834*'BMP P Tracking Table'!$X460)+SQRT((3630*'BMP P Tracking Table'!$V460+20.691*'BMP P Tracking Table'!$AA460-216.711*'BMP P Tracking Table'!$Z460-83.853*'BMP P Tracking Table'!$Y460-42.834*'BMP P Tracking Table'!$X460)^2-(4*(149.919*'BMP P Tracking Table'!$X460+236.676*'BMP P Tracking Table'!$Y460+726*'BMP P Tracking Table'!$Z460+996.798*'BMP P Tracking Table'!$AA460)*-'BMP P Tracking Table'!$AX460)))/(2*(149.919*'BMP P Tracking Table'!$X460+236.676*'BMP P Tracking Table'!$Y460+726*'BMP P Tracking Table'!$Z460+996.798*'BMP P Tracking Table'!$AA460)))))),"")</f>
        <v/>
      </c>
      <c r="BB460" s="102" t="str">
        <f>IFERROR((VLOOKUP(CONCATENATE('BMP P Tracking Table'!$AW460," ",'BMP P Tracking Table'!$AY460),'Performance Curves'!$C$1:$L$46,_xlfn.SINGLE(MATCH('BMP P Tracking Table'!$BA460,'Performance Curves'!$D$1:$L$1,1))+2,FALSE)-VLOOKUP(CONCATENATE('BMP P Tracking Table'!$AW460," ",'BMP P Tracking Table'!$AY460),'Performance Curves'!$C$1:$L$46,_xlfn.SINGLE(MATCH('BMP P Tracking Table'!$BA460,'Performance Curves'!$D$1:$L$1,1))+1,FALSE)),"")</f>
        <v/>
      </c>
      <c r="BC460" s="102" t="str">
        <f>IFERROR(('BMP P Tracking Table'!$BA460-INDEX('Performance Curves'!$D$1:$L$1,1,MATCH('BMP P Tracking Table'!$BA460,'Performance Curves'!$D$1:$L$1,1)))/(INDEX('Performance Curves'!$D$1:$L$1,1,MATCH('BMP P Tracking Table'!$BA460,'Performance Curves'!$D$1:$L$1,1)+1)-INDEX('Performance Curves'!$D$1:$L$1,1,MATCH('BMP P Tracking Table'!$BA460,'Performance Curves'!$D$1:$L$1,1))),"")</f>
        <v/>
      </c>
      <c r="BD460" s="103" t="str" cm="1">
        <f t="array" ref="BD460">IFERROR(IF('BMP P Tracking Table'!$BA460=2,VLOOKUP(CONCATENATE('BMP P Tracking Table'!$AW460," ",'BMP P Tracking Table'!$AY460),'Performance Curves'!$C$1:$L$44,_xlfn.SINGLE(MATCH('BMP P Tracking Table'!$BA460,'Performance Curves'!$D$1:$L$1,1))+1,FALSE),'BMP P Tracking Table'!$BB460*'BMP P Tracking Table'!$BC460+VLOOKUP(CONCATENATE('BMP P Tracking Table'!$AW460," ",'BMP P Tracking Table'!$AY460),'Performance Curves'!$C$1:$L$44,_xlfn.SINGLE(MATCH('BMP P Tracking Table'!$BA460,'Performance Curves'!$D$1:$L$1,1))+1,FALSE)),"")</f>
        <v/>
      </c>
      <c r="BE460" s="104" t="str">
        <f>IFERROR('BMP P Tracking Table'!$BD460*'BMP P Tracking Table'!$AZ460,"")</f>
        <v/>
      </c>
      <c r="BF460" s="98"/>
      <c r="BG460" s="37">
        <f t="shared" si="42"/>
        <v>0</v>
      </c>
    </row>
    <row r="461" spans="2:67" s="36" customFormat="1">
      <c r="B461" s="65" t="s">
        <v>863</v>
      </c>
      <c r="C461" s="65" t="s">
        <v>860</v>
      </c>
      <c r="D461" s="65" t="s">
        <v>327</v>
      </c>
      <c r="E461" s="65" t="s">
        <v>9</v>
      </c>
      <c r="F461" s="38"/>
      <c r="G461" s="38"/>
      <c r="AE461" s="40"/>
      <c r="AI461" s="37"/>
      <c r="AJ461" s="37"/>
      <c r="AK461" s="37"/>
      <c r="AL461" s="37"/>
      <c r="AM461" s="37"/>
      <c r="AN461" s="37"/>
      <c r="AO461" s="37"/>
      <c r="AR461" s="37"/>
      <c r="AS461" s="37"/>
      <c r="AT461" s="37"/>
      <c r="AU461" s="37"/>
      <c r="AV461" s="37"/>
      <c r="AW461" s="37"/>
      <c r="AX461" s="37"/>
      <c r="AY461" s="37"/>
      <c r="BB461" s="37"/>
      <c r="BC461" s="37"/>
      <c r="BD461" s="37"/>
      <c r="BE461" s="37"/>
      <c r="BF461" s="101"/>
      <c r="BI461" s="36" t="str">
        <f t="shared" ref="BI461" si="43">B461</f>
        <v>EX-WR-043</v>
      </c>
      <c r="BJ461" s="36" t="str">
        <f t="shared" ref="BJ461" si="44">C461</f>
        <v>2OLET120 Logwood Circle stormline and catchbasin retrofits</v>
      </c>
      <c r="BL461" s="36" t="s">
        <v>861</v>
      </c>
      <c r="BM461" s="36" t="s">
        <v>868</v>
      </c>
      <c r="BN461" s="36" t="s">
        <v>831</v>
      </c>
      <c r="BO461" s="36" t="s">
        <v>819</v>
      </c>
    </row>
  </sheetData>
  <sheetProtection formatCells="0" formatColumns="0" formatRows="0" insertColumns="0" insertRows="0" deleteColumns="0" deleteRows="0" sort="0" autoFilter="0"/>
  <autoFilter ref="A2:BR461" xr:uid="{DD520666-6AC3-485A-9B3C-1F51F7F0AE6E}"/>
  <mergeCells count="3">
    <mergeCell ref="AW1:AY1"/>
    <mergeCell ref="Q1:S1"/>
    <mergeCell ref="T1:AD1"/>
  </mergeCells>
  <phoneticPr fontId="14" type="noConversion"/>
  <conditionalFormatting sqref="A142">
    <cfRule type="expression" dxfId="43" priority="1">
      <formula>MOD(ROW(),2)=0</formula>
    </cfRule>
  </conditionalFormatting>
  <conditionalFormatting sqref="B43:C43">
    <cfRule type="expression" dxfId="42" priority="95">
      <formula>MOD(ROW(),2)=0</formula>
    </cfRule>
  </conditionalFormatting>
  <conditionalFormatting sqref="B53:E53">
    <cfRule type="expression" dxfId="41" priority="94">
      <formula>MOD(ROW(),2)=0</formula>
    </cfRule>
  </conditionalFormatting>
  <conditionalFormatting sqref="B461:E461">
    <cfRule type="expression" dxfId="40" priority="17">
      <formula>MOD(ROW(),2)=0</formula>
    </cfRule>
  </conditionalFormatting>
  <conditionalFormatting sqref="B30:H39">
    <cfRule type="expression" dxfId="39" priority="2">
      <formula>MOD(ROW(),2)=0</formula>
    </cfRule>
  </conditionalFormatting>
  <conditionalFormatting sqref="B133:H133">
    <cfRule type="expression" dxfId="38" priority="22">
      <formula>MOD(ROW(),2)=0</formula>
    </cfRule>
  </conditionalFormatting>
  <conditionalFormatting sqref="B99:I99">
    <cfRule type="expression" dxfId="37" priority="92">
      <formula>MOD(ROW(),2)=0</formula>
    </cfRule>
  </conditionalFormatting>
  <conditionalFormatting sqref="B77:J98 L87:L96">
    <cfRule type="expression" dxfId="36" priority="55">
      <formula>MOD(ROW(),2)=0</formula>
    </cfRule>
  </conditionalFormatting>
  <conditionalFormatting sqref="B101:J119">
    <cfRule type="expression" dxfId="35" priority="91">
      <formula>MOD(ROW(),2)=0</formula>
    </cfRule>
  </conditionalFormatting>
  <conditionalFormatting sqref="B21:K22">
    <cfRule type="expression" dxfId="34" priority="12">
      <formula>MOD(ROW(),2)=0</formula>
    </cfRule>
  </conditionalFormatting>
  <conditionalFormatting sqref="B3:BF12 I13:BF13 B14:BF20 L21:BF23 B24:BF29 AM30:BF75 B76:BF76 L77:BF77 AD78:BF78 L79:BF79 AD80:BF101 L102:BF102 AD103:BF103 L104:BF104 AD105:BF111 L112:BF112 AD113:BF132 I133:BF133 AD134:BF135 B136:BF136 AD137:BF139 C140:BF140 B141:BF460 X30:AK38 AC39:AK75 X39:AB39 U40:AB75 L78:AB78 L80:AB86 V87:AB96 L97:AB97 M98:AB98 X99:AB101 L103:AB103 L105:AB111 L113:AB132 I134:AB134 B135:AB135 B137:AB139 B40:S42 D43:S43 B44:S52 F53:S53 B54:S75 M87:P96 C13:G13 C23:J23 T30:T75 K77:K132 M99:U100 F100:G100 I100 L101:U101 B120:G124 I120:J124 B125:J126 B127:G127 I127:J127 B128:J130 C131:G131 I131:J131 B132:J132 C134:G134">
    <cfRule type="expression" dxfId="33" priority="159">
      <formula>MOD(ROW(),2)=0</formula>
    </cfRule>
  </conditionalFormatting>
  <conditionalFormatting sqref="C100:E101">
    <cfRule type="expression" dxfId="32" priority="90">
      <formula>MOD(ROW(),2)=0</formula>
    </cfRule>
  </conditionalFormatting>
  <conditionalFormatting sqref="I30:R39 U30:W39">
    <cfRule type="expression" dxfId="31" priority="125">
      <formula>MOD(ROW(),2)=0</formula>
    </cfRule>
  </conditionalFormatting>
  <conditionalFormatting sqref="J99:J101">
    <cfRule type="expression" dxfId="30" priority="85">
      <formula>MOD(ROW(),2)=0</formula>
    </cfRule>
  </conditionalFormatting>
  <conditionalFormatting sqref="L98:L101">
    <cfRule type="expression" dxfId="29" priority="62">
      <formula>MOD(ROW(),2)=0</formula>
    </cfRule>
  </conditionalFormatting>
  <conditionalFormatting sqref="M3:M97">
    <cfRule type="expression" dxfId="28" priority="124">
      <formula>$L3="Complete"</formula>
    </cfRule>
  </conditionalFormatting>
  <conditionalFormatting sqref="M98:M100">
    <cfRule type="expression" dxfId="27" priority="161">
      <formula>$L99="Complete"</formula>
    </cfRule>
  </conditionalFormatting>
  <conditionalFormatting sqref="M101">
    <cfRule type="expression" dxfId="26" priority="162">
      <formula>#REF!="Complete"</formula>
    </cfRule>
  </conditionalFormatting>
  <conditionalFormatting sqref="M102:M460">
    <cfRule type="expression" dxfId="25" priority="127">
      <formula>$L102="Complete"</formula>
    </cfRule>
  </conditionalFormatting>
  <conditionalFormatting sqref="Q87:U96">
    <cfRule type="expression" dxfId="21" priority="53">
      <formula>MOD(ROW(),2)=0</formula>
    </cfRule>
  </conditionalFormatting>
  <conditionalFormatting sqref="S30:S39">
    <cfRule type="expression" dxfId="20" priority="104">
      <formula>MOD(ROW(),2)=0</formula>
    </cfRule>
  </conditionalFormatting>
  <conditionalFormatting sqref="V99:W101">
    <cfRule type="expression" dxfId="19" priority="77">
      <formula>MOD(ROW(),2)=0</formula>
    </cfRule>
  </conditionalFormatting>
  <conditionalFormatting sqref="X3:AA460">
    <cfRule type="expression" dxfId="18" priority="147">
      <formula>$W3="Total Pervious"</formula>
    </cfRule>
  </conditionalFormatting>
  <conditionalFormatting sqref="AB3:AB460">
    <cfRule type="expression" dxfId="17" priority="146">
      <formula>$W3="By HSG"</formula>
    </cfRule>
  </conditionalFormatting>
  <conditionalFormatting sqref="AC78">
    <cfRule type="expression" dxfId="16" priority="52">
      <formula>MOD(ROW(),2)=0</formula>
    </cfRule>
  </conditionalFormatting>
  <conditionalFormatting sqref="AC80:AC101">
    <cfRule type="expression" dxfId="15" priority="56">
      <formula>MOD(ROW(),2)=0</formula>
    </cfRule>
  </conditionalFormatting>
  <conditionalFormatting sqref="AC103">
    <cfRule type="expression" dxfId="14" priority="51">
      <formula>MOD(ROW(),2)=0</formula>
    </cfRule>
  </conditionalFormatting>
  <conditionalFormatting sqref="AC105:AC111">
    <cfRule type="expression" dxfId="13" priority="25">
      <formula>MOD(ROW(),2)=0</formula>
    </cfRule>
  </conditionalFormatting>
  <conditionalFormatting sqref="AC113:AC132">
    <cfRule type="expression" dxfId="12" priority="24">
      <formula>MOD(ROW(),2)=0</formula>
    </cfRule>
  </conditionalFormatting>
  <conditionalFormatting sqref="AC134:AC135">
    <cfRule type="expression" dxfId="11" priority="16">
      <formula>MOD(ROW(),2)=0</formula>
    </cfRule>
  </conditionalFormatting>
  <conditionalFormatting sqref="AC137:AC139">
    <cfRule type="expression" dxfId="10" priority="14">
      <formula>MOD(ROW(),2)=0</formula>
    </cfRule>
  </conditionalFormatting>
  <conditionalFormatting sqref="AL30:AL75">
    <cfRule type="expression" dxfId="8" priority="98">
      <formula>MOD(ROW(),2)=0</formula>
    </cfRule>
  </conditionalFormatting>
  <conditionalFormatting sqref="AP3:AV460">
    <cfRule type="expression" dxfId="7" priority="144">
      <formula>$AM3="No"</formula>
    </cfRule>
  </conditionalFormatting>
  <conditionalFormatting sqref="AP3:BF460 AM3:AM460">
    <cfRule type="expression" dxfId="6" priority="154">
      <formula>$AL3="No"</formula>
    </cfRule>
  </conditionalFormatting>
  <conditionalFormatting sqref="AR3:AU460">
    <cfRule type="expression" dxfId="5" priority="143">
      <formula>$AQ3="Total Pervious"</formula>
    </cfRule>
  </conditionalFormatting>
  <conditionalFormatting sqref="AV3">
    <cfRule type="expression" dxfId="4" priority="142">
      <formula>$AQ3="By HSG"</formula>
    </cfRule>
  </conditionalFormatting>
  <pageMargins left="0.7" right="0.7" top="0.75" bottom="0.75" header="0.3" footer="0.3"/>
  <pageSetup orientation="portrait" r:id="rId1"/>
  <ignoredErrors>
    <ignoredError sqref="AF54:AF77 AF4:AF10 AF79 AF83:AF134 AF78 AF80:AF82 AF13:AF17 AF21:AF52 AF11:AF12 AF18:AF20 AF136 AF135 AF137:AF460" calculatedColumn="1"/>
    <ignoredError sqref="R3" unlockedFormula="1"/>
  </ignoredErrors>
  <legacyDrawing r:id="rId2"/>
  <extLst>
    <ext xmlns:x14="http://schemas.microsoft.com/office/spreadsheetml/2009/9/main" uri="{78C0D931-6437-407d-A8EE-F0AAD7539E65}">
      <x14:conditionalFormattings>
        <x14:conditionalFormatting xmlns:xm="http://schemas.microsoft.com/office/excel/2006/main">
          <x14:cfRule type="expression" priority="131" id="{E107A5C6-1A98-486F-9532-95A216D8AAB2}">
            <xm:f>VLOOKUP($L3,Dropdowns!$J$3:$K$7,2,FALSE)="no"</xm:f>
            <x14:dxf>
              <font>
                <color theme="6" tint="-0.24994659260841701"/>
              </font>
              <fill>
                <patternFill>
                  <bgColor theme="6"/>
                </patternFill>
              </fill>
            </x14:dxf>
          </x14:cfRule>
          <xm:sqref>N3:P29 N40:P97 N102:P460</xm:sqref>
        </x14:conditionalFormatting>
        <x14:conditionalFormatting xmlns:xm="http://schemas.microsoft.com/office/excel/2006/main">
          <x14:cfRule type="expression" priority="165" id="{E107A5C6-1A98-486F-9532-95A216D8AAB2}">
            <xm:f>VLOOKUP($L99,Dropdowns!$J$3:$K$7,2,FALSE)="no"</xm:f>
            <x14:dxf>
              <font>
                <color theme="6" tint="-0.24994659260841701"/>
              </font>
              <fill>
                <patternFill>
                  <bgColor theme="6"/>
                </patternFill>
              </fill>
            </x14:dxf>
          </x14:cfRule>
          <xm:sqref>N98:P100</xm:sqref>
        </x14:conditionalFormatting>
        <x14:conditionalFormatting xmlns:xm="http://schemas.microsoft.com/office/excel/2006/main">
          <x14:cfRule type="expression" priority="166" id="{E107A5C6-1A98-486F-9532-95A216D8AAB2}">
            <xm:f>VLOOKUP(#REF!,Dropdowns!$J$3:$K$7,2,FALSE)="no"</xm:f>
            <x14:dxf>
              <font>
                <color theme="6" tint="-0.24994659260841701"/>
              </font>
              <fill>
                <patternFill>
                  <bgColor theme="6"/>
                </patternFill>
              </fill>
            </x14:dxf>
          </x14:cfRule>
          <xm:sqref>N101:P101</xm:sqref>
        </x14:conditionalFormatting>
        <x14:conditionalFormatting xmlns:xm="http://schemas.microsoft.com/office/excel/2006/main">
          <x14:cfRule type="expression" priority="155" id="{4C76DCFD-A099-4EF7-B4A1-D3CDADB80A2E}">
            <xm:f>VLOOKUP(U3,Dropdowns!$G$3:$H$16,2,FALSE)="no"</xm:f>
            <x14:dxf>
              <font>
                <color theme="6" tint="-0.24994659260841701"/>
              </font>
              <fill>
                <patternFill>
                  <bgColor theme="6"/>
                </patternFill>
              </fill>
            </x14:dxf>
          </x14:cfRule>
          <xm:sqref>AD3:AD460</xm:sqref>
        </x14:conditionalFormatting>
        <x14:conditionalFormatting xmlns:xm="http://schemas.microsoft.com/office/excel/2006/main">
          <x14:cfRule type="expression" priority="158" id="{95EAB61C-D8D5-4C21-8062-8E93A62C4850}">
            <xm:f>VLOOKUP(AW3,Dropdowns!$G$3:$H$15,2,FALSE)="no"</xm:f>
            <x14:dxf>
              <font>
                <color theme="6" tint="-0.24994659260841701"/>
              </font>
              <fill>
                <patternFill>
                  <bgColor theme="6"/>
                </patternFill>
              </fill>
            </x14:dxf>
          </x14:cfRule>
          <xm:sqref>AY3:BD460</xm:sqref>
        </x14:conditionalFormatting>
      </x14:conditionalFormattings>
    </ext>
    <ext xmlns:x14="http://schemas.microsoft.com/office/spreadsheetml/2009/9/main" uri="{CCE6A557-97BC-4b89-ADB6-D9C93CAAB3DF}">
      <x14:dataValidations xmlns:xm="http://schemas.microsoft.com/office/excel/2006/main" count="12">
        <x14:dataValidation type="list" allowBlank="1" showInputMessage="1" showErrorMessage="1" xr:uid="{00000000-0002-0000-0100-000003000000}">
          <x14:formula1>
            <xm:f>Dropdowns!$J$3:$J$7</xm:f>
          </x14:formula1>
          <xm:sqref>L3:L29 L40:L99 L101:L460</xm:sqref>
        </x14:dataValidation>
        <x14:dataValidation type="list" allowBlank="1" showInputMessage="1" showErrorMessage="1" xr:uid="{D626CB16-31DB-4D4F-9B4B-9F09BA432C3E}">
          <x14:formula1>
            <xm:f>Dropdowns!$M$3:$M$4</xm:f>
          </x14:formula1>
          <xm:sqref>J40:J98 J3:J29 AM3:AM460 T3:T460 J102:J460</xm:sqref>
        </x14:dataValidation>
        <x14:dataValidation type="list" allowBlank="1" showInputMessage="1" showErrorMessage="1" xr:uid="{AFCC3540-CD4B-40AC-9D8A-6313ADC8EF83}">
          <x14:formula1>
            <xm:f>Dropdowns!$T$3:$T$4</xm:f>
          </x14:formula1>
          <xm:sqref>W40:W98 W3:W29 AQ3:AQ460 W102:W460</xm:sqref>
        </x14:dataValidation>
        <x14:dataValidation type="list" allowBlank="1" showInputMessage="1" showErrorMessage="1" xr:uid="{22B06E70-1852-4DE0-B78C-0821E7063DFD}">
          <x14:formula1>
            <xm:f>Dropdowns!$Q$3:$Q$24</xm:f>
          </x14:formula1>
          <xm:sqref>R3:R29 R40:R460</xm:sqref>
        </x14:dataValidation>
        <x14:dataValidation type="list" allowBlank="1" showInputMessage="1" showErrorMessage="1" xr:uid="{00000000-0002-0000-0100-000001000000}">
          <x14:formula1>
            <xm:f>Dropdowns!$C$3:$C$15</xm:f>
          </x14:formula1>
          <xm:sqref>Q3:Q29 Q40:Q460</xm:sqref>
        </x14:dataValidation>
        <x14:dataValidation type="list" allowBlank="1" showInputMessage="1" showErrorMessage="1" xr:uid="{EDD625E0-C2D1-48BD-990B-B1527B7671B6}">
          <x14:formula1>
            <xm:f>Dropdowns!$G$3:$G$17</xm:f>
          </x14:formula1>
          <xm:sqref>U161:U460</xm:sqref>
        </x14:dataValidation>
        <x14:dataValidation type="list" allowBlank="1" showInputMessage="1" showErrorMessage="1" xr:uid="{00000000-0002-0000-0100-000000000000}">
          <x14:formula1>
            <xm:f>Dropdowns!$B$3:$B$16</xm:f>
          </x14:formula1>
          <xm:sqref>E3:E98 E102:E461</xm:sqref>
        </x14:dataValidation>
        <x14:dataValidation type="list" allowBlank="1" showInputMessage="1" showErrorMessage="1" xr:uid="{00000000-0002-0000-0100-000004000000}">
          <x14:formula1>
            <xm:f>Dropdowns!$M$3:$M$5</xm:f>
          </x14:formula1>
          <xm:sqref>AL3:AL460</xm:sqref>
        </x14:dataValidation>
        <x14:dataValidation type="list" allowBlank="1" showInputMessage="1" showErrorMessage="1" xr:uid="{DE8EA86C-61B2-44EB-96AA-A090DEE90D24}">
          <x14:formula1>
            <xm:f>Dropdowns!$O$3:$O$14</xm:f>
          </x14:formula1>
          <xm:sqref>S3:S460</xm:sqref>
        </x14:dataValidation>
        <x14:dataValidation type="list" allowBlank="1" showInputMessage="1" showErrorMessage="1" xr:uid="{BE4E0D36-7E54-4C84-A0F8-095040DC7E8C}">
          <x14:formula1>
            <xm:f>'Performance Curves'!$B$3:$B$8</xm:f>
          </x14:formula1>
          <xm:sqref>AD3:AD460 AY3:AY460</xm:sqref>
        </x14:dataValidation>
        <x14:dataValidation type="list" allowBlank="1" showInputMessage="1" showErrorMessage="1" xr:uid="{00000000-0002-0000-0100-000002000000}">
          <x14:formula1>
            <xm:f>Dropdowns!$G$3:$G$15</xm:f>
          </x14:formula1>
          <xm:sqref>AW3:AW460</xm:sqref>
        </x14:dataValidation>
        <x14:dataValidation type="list" allowBlank="1" showInputMessage="1" showErrorMessage="1" xr:uid="{FBC86522-D21F-49E9-BEA8-8BBA765C07EB}">
          <x14:formula1>
            <xm:f>Dropdowns!$G$3:$G$18</xm:f>
          </x14:formula1>
          <xm:sqref>U3:U160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55D9A7-DA1E-4389-88F0-00A6F5FF9E53}">
  <dimension ref="A1:X60"/>
  <sheetViews>
    <sheetView workbookViewId="0">
      <selection activeCell="B4" sqref="B4"/>
    </sheetView>
  </sheetViews>
  <sheetFormatPr defaultRowHeight="15"/>
  <cols>
    <col min="1" max="1" width="18.7109375" customWidth="1"/>
    <col min="2" max="2" width="16.28515625" customWidth="1"/>
    <col min="3" max="5" width="14.85546875" customWidth="1"/>
    <col min="6" max="6" width="24.42578125" bestFit="1" customWidth="1"/>
    <col min="7" max="7" width="32.28515625" style="230" customWidth="1"/>
    <col min="8" max="8" width="14.85546875" customWidth="1"/>
    <col min="9" max="9" width="31" customWidth="1"/>
    <col min="11" max="11" width="20" customWidth="1"/>
    <col min="15" max="15" width="19.7109375" customWidth="1"/>
    <col min="16" max="16" width="18.28515625" customWidth="1"/>
    <col min="18" max="18" width="26" customWidth="1"/>
    <col min="20" max="20" width="16.28515625" customWidth="1"/>
    <col min="21" max="21" width="15.28515625" customWidth="1"/>
    <col min="22" max="22" width="19.5703125" customWidth="1"/>
    <col min="23" max="23" width="16.42578125" customWidth="1"/>
    <col min="24" max="24" width="8.85546875" style="240"/>
  </cols>
  <sheetData>
    <row r="1" spans="1:24" s="1" customFormat="1">
      <c r="A1" s="1" t="s">
        <v>799</v>
      </c>
      <c r="B1" s="1" t="s">
        <v>809</v>
      </c>
      <c r="C1" s="1" t="s">
        <v>798</v>
      </c>
      <c r="D1" s="1" t="s">
        <v>121</v>
      </c>
      <c r="E1" s="1" t="s">
        <v>122</v>
      </c>
      <c r="F1" s="1" t="s">
        <v>216</v>
      </c>
      <c r="G1" s="241" t="s">
        <v>235</v>
      </c>
      <c r="H1" s="1" t="s">
        <v>176</v>
      </c>
      <c r="I1" s="1" t="s">
        <v>804</v>
      </c>
      <c r="J1" s="1" t="s">
        <v>811</v>
      </c>
      <c r="K1" s="1" t="s">
        <v>805</v>
      </c>
      <c r="L1" s="1" t="s">
        <v>806</v>
      </c>
      <c r="M1" s="1" t="s">
        <v>870</v>
      </c>
      <c r="N1" s="1" t="s">
        <v>875</v>
      </c>
      <c r="O1" s="1" t="s">
        <v>876</v>
      </c>
      <c r="P1" s="1" t="s">
        <v>877</v>
      </c>
      <c r="Q1" s="1" t="s">
        <v>878</v>
      </c>
      <c r="R1" s="1" t="s">
        <v>879</v>
      </c>
      <c r="S1" s="1" t="s">
        <v>273</v>
      </c>
      <c r="T1" s="1" t="s">
        <v>880</v>
      </c>
      <c r="U1" s="1" t="s">
        <v>50</v>
      </c>
      <c r="V1" s="1" t="s">
        <v>561</v>
      </c>
      <c r="W1" s="1" t="s">
        <v>181</v>
      </c>
      <c r="X1" s="239" t="s">
        <v>881</v>
      </c>
    </row>
    <row r="2" spans="1:24">
      <c r="A2" t="s">
        <v>728</v>
      </c>
      <c r="B2" t="s">
        <v>650</v>
      </c>
      <c r="D2" t="s">
        <v>150</v>
      </c>
      <c r="E2" t="s">
        <v>132</v>
      </c>
      <c r="F2" t="s">
        <v>570</v>
      </c>
      <c r="G2" s="230">
        <v>0</v>
      </c>
      <c r="H2" t="s">
        <v>49</v>
      </c>
      <c r="I2" t="s">
        <v>814</v>
      </c>
      <c r="J2" t="s">
        <v>813</v>
      </c>
      <c r="M2" t="s">
        <v>874</v>
      </c>
      <c r="N2">
        <v>0.34</v>
      </c>
      <c r="O2">
        <v>0.17</v>
      </c>
      <c r="P2">
        <v>0.5</v>
      </c>
      <c r="Q2">
        <v>0</v>
      </c>
      <c r="R2">
        <v>0</v>
      </c>
      <c r="S2">
        <v>0.14000000000000001</v>
      </c>
      <c r="U2" t="s">
        <v>206</v>
      </c>
      <c r="V2">
        <v>0.14212000000000002</v>
      </c>
      <c r="W2">
        <v>0.17</v>
      </c>
      <c r="X2" s="240" t="s">
        <v>778</v>
      </c>
    </row>
    <row r="3" spans="1:24">
      <c r="A3" t="s">
        <v>729</v>
      </c>
      <c r="B3" t="s">
        <v>654</v>
      </c>
      <c r="D3" t="s">
        <v>146</v>
      </c>
      <c r="E3" t="s">
        <v>129</v>
      </c>
      <c r="F3" t="s">
        <v>163</v>
      </c>
      <c r="G3" s="230">
        <v>49300</v>
      </c>
      <c r="H3" t="s">
        <v>49</v>
      </c>
      <c r="I3" t="s">
        <v>810</v>
      </c>
      <c r="J3" t="s">
        <v>812</v>
      </c>
      <c r="M3" t="s">
        <v>872</v>
      </c>
      <c r="N3">
        <v>1.7200000000000002</v>
      </c>
      <c r="O3">
        <v>1.1200000000000001</v>
      </c>
      <c r="P3">
        <v>0.34883720930232553</v>
      </c>
      <c r="Q3">
        <v>82166.666666666672</v>
      </c>
      <c r="R3">
        <v>98882.688806598511</v>
      </c>
      <c r="S3">
        <v>0.49857058495268358</v>
      </c>
      <c r="T3">
        <v>2141.6999999999998</v>
      </c>
      <c r="V3">
        <v>1.01006</v>
      </c>
      <c r="W3">
        <v>0.6</v>
      </c>
      <c r="X3" s="240">
        <v>0.49360491946288698</v>
      </c>
    </row>
    <row r="4" spans="1:24">
      <c r="A4" t="s">
        <v>381</v>
      </c>
      <c r="B4" t="s">
        <v>711</v>
      </c>
      <c r="D4" t="s">
        <v>146</v>
      </c>
      <c r="E4" t="s">
        <v>129</v>
      </c>
      <c r="F4" t="s">
        <v>570</v>
      </c>
      <c r="G4" s="230">
        <v>0</v>
      </c>
      <c r="H4" t="s">
        <v>49</v>
      </c>
      <c r="I4" t="s">
        <v>815</v>
      </c>
      <c r="M4" t="s">
        <v>871</v>
      </c>
      <c r="N4">
        <v>0.28000000000000003</v>
      </c>
      <c r="O4">
        <v>0</v>
      </c>
      <c r="P4">
        <v>1</v>
      </c>
      <c r="Q4">
        <v>0</v>
      </c>
      <c r="R4">
        <v>0</v>
      </c>
      <c r="S4">
        <v>0.3</v>
      </c>
      <c r="U4" t="s">
        <v>206</v>
      </c>
      <c r="V4">
        <v>0.31276000000000004</v>
      </c>
      <c r="W4">
        <v>0.28000000000000003</v>
      </c>
      <c r="X4" s="240" t="s">
        <v>778</v>
      </c>
    </row>
    <row r="5" spans="1:24">
      <c r="A5" t="s">
        <v>767</v>
      </c>
      <c r="B5" t="s">
        <v>665</v>
      </c>
      <c r="C5" t="s">
        <v>803</v>
      </c>
      <c r="D5" t="s">
        <v>146</v>
      </c>
      <c r="E5" t="s">
        <v>129</v>
      </c>
      <c r="F5" t="s">
        <v>47</v>
      </c>
      <c r="G5" s="230">
        <v>168600</v>
      </c>
      <c r="H5" t="s">
        <v>49</v>
      </c>
      <c r="I5" t="s">
        <v>817</v>
      </c>
      <c r="J5" t="s">
        <v>816</v>
      </c>
      <c r="K5" t="s">
        <v>818</v>
      </c>
      <c r="L5" t="s">
        <v>819</v>
      </c>
      <c r="M5" t="s">
        <v>874</v>
      </c>
      <c r="N5">
        <v>13.32</v>
      </c>
      <c r="O5">
        <v>5.46</v>
      </c>
      <c r="P5">
        <v>0.59009009009009006</v>
      </c>
      <c r="Q5">
        <v>21450.381679389313</v>
      </c>
      <c r="R5">
        <v>19000.056434945385</v>
      </c>
      <c r="S5">
        <v>8.8736578534528245</v>
      </c>
      <c r="T5">
        <v>28096.199999999997</v>
      </c>
      <c r="U5" t="s">
        <v>205</v>
      </c>
      <c r="V5">
        <v>8.8888199999999991</v>
      </c>
      <c r="W5">
        <v>7.86</v>
      </c>
      <c r="X5" s="240">
        <v>0.99829424529384392</v>
      </c>
    </row>
    <row r="6" spans="1:24">
      <c r="A6" t="s">
        <v>742</v>
      </c>
      <c r="B6" t="s">
        <v>667</v>
      </c>
      <c r="C6" t="s">
        <v>842</v>
      </c>
      <c r="D6" t="s">
        <v>146</v>
      </c>
      <c r="E6" t="s">
        <v>129</v>
      </c>
      <c r="F6" t="s">
        <v>47</v>
      </c>
      <c r="G6" s="230">
        <v>12500</v>
      </c>
      <c r="H6" t="s">
        <v>49</v>
      </c>
      <c r="M6" t="s">
        <v>874</v>
      </c>
      <c r="N6">
        <v>0.55000000000000004</v>
      </c>
      <c r="O6">
        <v>0.39</v>
      </c>
      <c r="P6">
        <v>0.29090909090909089</v>
      </c>
      <c r="Q6">
        <v>78125</v>
      </c>
      <c r="R6">
        <v>68384.820544879665</v>
      </c>
      <c r="S6">
        <v>0.1827891029091242</v>
      </c>
      <c r="T6">
        <v>622.54499999999996</v>
      </c>
      <c r="U6" t="s">
        <v>206</v>
      </c>
      <c r="V6">
        <v>0.18651999999999999</v>
      </c>
      <c r="W6">
        <v>0.16</v>
      </c>
      <c r="X6" s="240">
        <v>0.9799973349191734</v>
      </c>
    </row>
    <row r="7" spans="1:24">
      <c r="A7" t="s">
        <v>751</v>
      </c>
      <c r="B7" t="s">
        <v>668</v>
      </c>
      <c r="C7" t="s">
        <v>842</v>
      </c>
      <c r="D7" t="s">
        <v>146</v>
      </c>
      <c r="E7" t="s">
        <v>129</v>
      </c>
      <c r="F7" t="s">
        <v>47</v>
      </c>
      <c r="G7" s="230">
        <v>23200</v>
      </c>
      <c r="H7" t="s">
        <v>49</v>
      </c>
      <c r="M7" t="s">
        <v>874</v>
      </c>
      <c r="N7">
        <v>0.63</v>
      </c>
      <c r="O7">
        <v>0.31</v>
      </c>
      <c r="P7">
        <v>0.50793650793650791</v>
      </c>
      <c r="Q7">
        <v>72500</v>
      </c>
      <c r="R7">
        <v>65289.502808925216</v>
      </c>
      <c r="S7">
        <v>0.3553404299600289</v>
      </c>
      <c r="T7">
        <v>1159.7850000000001</v>
      </c>
      <c r="U7" t="s">
        <v>206</v>
      </c>
      <c r="V7">
        <v>0.36363999999999996</v>
      </c>
      <c r="W7">
        <v>0.32</v>
      </c>
      <c r="X7" s="240">
        <v>0.97717641062597338</v>
      </c>
    </row>
    <row r="8" spans="1:24">
      <c r="A8" t="s">
        <v>752</v>
      </c>
      <c r="B8" t="s">
        <v>666</v>
      </c>
      <c r="C8" t="s">
        <v>842</v>
      </c>
      <c r="D8" t="s">
        <v>146</v>
      </c>
      <c r="E8" t="s">
        <v>129</v>
      </c>
      <c r="F8" t="s">
        <v>47</v>
      </c>
      <c r="G8" s="230">
        <v>92600</v>
      </c>
      <c r="H8" t="s">
        <v>49</v>
      </c>
      <c r="M8" t="s">
        <v>874</v>
      </c>
      <c r="N8">
        <v>1.56</v>
      </c>
      <c r="O8">
        <v>0.23</v>
      </c>
      <c r="P8">
        <v>0.85256410256410253</v>
      </c>
      <c r="Q8">
        <v>69624.060150375939</v>
      </c>
      <c r="R8">
        <v>62281.854513753584</v>
      </c>
      <c r="S8">
        <v>1.4867893822839093</v>
      </c>
      <c r="T8">
        <v>4628.25</v>
      </c>
      <c r="U8" t="s">
        <v>205</v>
      </c>
      <c r="V8">
        <v>1.49021</v>
      </c>
      <c r="W8">
        <v>1.33</v>
      </c>
      <c r="X8" s="240">
        <v>0.99770460692379548</v>
      </c>
    </row>
    <row r="9" spans="1:24">
      <c r="A9" t="s">
        <v>744</v>
      </c>
      <c r="B9" t="s">
        <v>669</v>
      </c>
      <c r="C9" t="s">
        <v>842</v>
      </c>
      <c r="D9" t="s">
        <v>146</v>
      </c>
      <c r="E9" t="s">
        <v>129</v>
      </c>
      <c r="F9" t="s">
        <v>47</v>
      </c>
      <c r="G9" s="230">
        <v>13600</v>
      </c>
      <c r="H9" t="s">
        <v>49</v>
      </c>
      <c r="I9" t="s">
        <v>822</v>
      </c>
      <c r="J9" t="s">
        <v>845</v>
      </c>
      <c r="K9" t="s">
        <v>844</v>
      </c>
      <c r="L9" t="s">
        <v>819</v>
      </c>
      <c r="M9" t="s">
        <v>874</v>
      </c>
      <c r="N9">
        <v>0.48</v>
      </c>
      <c r="O9">
        <v>0.3</v>
      </c>
      <c r="P9">
        <v>0.375</v>
      </c>
      <c r="Q9">
        <v>75555.555555555562</v>
      </c>
      <c r="R9">
        <v>67118.962447564219</v>
      </c>
      <c r="S9">
        <v>0.20262530146565982</v>
      </c>
      <c r="T9">
        <v>675.18</v>
      </c>
      <c r="U9" t="s">
        <v>206</v>
      </c>
      <c r="V9">
        <v>0.20705999999999999</v>
      </c>
      <c r="W9">
        <v>0.18</v>
      </c>
      <c r="X9" s="240">
        <v>0.97858254354129159</v>
      </c>
    </row>
    <row r="10" spans="1:24">
      <c r="A10" t="s">
        <v>746</v>
      </c>
      <c r="B10" t="s">
        <v>670</v>
      </c>
      <c r="C10" t="s">
        <v>841</v>
      </c>
      <c r="D10" t="s">
        <v>146</v>
      </c>
      <c r="E10" t="s">
        <v>129</v>
      </c>
      <c r="F10" t="s">
        <v>47</v>
      </c>
      <c r="G10" s="230">
        <v>49300</v>
      </c>
      <c r="H10" t="s">
        <v>49</v>
      </c>
      <c r="M10" t="s">
        <v>874</v>
      </c>
      <c r="N10">
        <v>1.32</v>
      </c>
      <c r="O10">
        <v>0.64</v>
      </c>
      <c r="P10">
        <v>0.51515151515151514</v>
      </c>
      <c r="Q10">
        <v>72500</v>
      </c>
      <c r="R10">
        <v>65325.093086561952</v>
      </c>
      <c r="S10">
        <v>0.7546870225607305</v>
      </c>
      <c r="T10">
        <v>2461.14</v>
      </c>
      <c r="U10" t="s">
        <v>206</v>
      </c>
      <c r="V10">
        <v>0.77236000000000005</v>
      </c>
      <c r="W10">
        <v>0.68</v>
      </c>
      <c r="X10" s="240">
        <v>0.9771182124407406</v>
      </c>
    </row>
    <row r="11" spans="1:24">
      <c r="A11" t="s">
        <v>745</v>
      </c>
      <c r="B11" t="s">
        <v>671</v>
      </c>
      <c r="C11" t="s">
        <v>841</v>
      </c>
      <c r="D11" t="s">
        <v>146</v>
      </c>
      <c r="E11" t="s">
        <v>129</v>
      </c>
      <c r="F11" t="s">
        <v>47</v>
      </c>
      <c r="G11" s="230">
        <v>23800</v>
      </c>
      <c r="H11" t="s">
        <v>49</v>
      </c>
      <c r="M11" t="s">
        <v>874</v>
      </c>
      <c r="N11">
        <v>0.59000000000000008</v>
      </c>
      <c r="O11">
        <v>0.26</v>
      </c>
      <c r="P11">
        <v>0.55932203389830504</v>
      </c>
      <c r="Q11">
        <v>72121.212121212113</v>
      </c>
      <c r="R11">
        <v>65181.518658335117</v>
      </c>
      <c r="S11">
        <v>0.3651341743777638</v>
      </c>
      <c r="T11">
        <v>1185.1949999999999</v>
      </c>
      <c r="U11" t="s">
        <v>206</v>
      </c>
      <c r="V11">
        <v>0.37380999999999998</v>
      </c>
      <c r="W11">
        <v>0.33</v>
      </c>
      <c r="X11" s="240">
        <v>0.97679081452546435</v>
      </c>
    </row>
    <row r="12" spans="1:24">
      <c r="A12" t="s">
        <v>741</v>
      </c>
      <c r="B12" t="s">
        <v>672</v>
      </c>
      <c r="C12" t="s">
        <v>841</v>
      </c>
      <c r="D12" t="s">
        <v>146</v>
      </c>
      <c r="E12" t="s">
        <v>129</v>
      </c>
      <c r="F12" t="s">
        <v>47</v>
      </c>
      <c r="G12" s="230">
        <v>10200</v>
      </c>
      <c r="H12" t="s">
        <v>49</v>
      </c>
      <c r="M12" t="s">
        <v>874</v>
      </c>
      <c r="N12">
        <v>0.27</v>
      </c>
      <c r="O12">
        <v>0.13</v>
      </c>
      <c r="P12">
        <v>0.51851851851851849</v>
      </c>
      <c r="Q12">
        <v>72857.142857142855</v>
      </c>
      <c r="R12">
        <v>65663.257965662211</v>
      </c>
      <c r="S12">
        <v>0.15533801270314618</v>
      </c>
      <c r="T12">
        <v>506.38499999999993</v>
      </c>
      <c r="U12" t="s">
        <v>206</v>
      </c>
      <c r="V12">
        <v>0.15898000000000001</v>
      </c>
      <c r="W12">
        <v>0.14000000000000001</v>
      </c>
      <c r="X12" s="240">
        <v>0.97709153794908898</v>
      </c>
    </row>
    <row r="13" spans="1:24">
      <c r="A13" t="s">
        <v>739</v>
      </c>
      <c r="B13" t="s">
        <v>673</v>
      </c>
      <c r="C13" t="s">
        <v>841</v>
      </c>
      <c r="D13" t="s">
        <v>146</v>
      </c>
      <c r="E13" t="s">
        <v>129</v>
      </c>
      <c r="F13" t="s">
        <v>47</v>
      </c>
      <c r="G13" s="230">
        <v>11200</v>
      </c>
      <c r="H13" t="s">
        <v>49</v>
      </c>
      <c r="M13" t="s">
        <v>874</v>
      </c>
      <c r="N13">
        <v>0.36</v>
      </c>
      <c r="O13">
        <v>0.21</v>
      </c>
      <c r="P13">
        <v>0.41666666666666669</v>
      </c>
      <c r="Q13">
        <v>74666.666666666672</v>
      </c>
      <c r="R13">
        <v>66673.880434904524</v>
      </c>
      <c r="S13">
        <v>0.16798182327088126</v>
      </c>
      <c r="T13">
        <v>555.39</v>
      </c>
      <c r="U13" t="s">
        <v>206</v>
      </c>
      <c r="V13">
        <v>0.17175000000000001</v>
      </c>
      <c r="W13">
        <v>0.15</v>
      </c>
      <c r="X13" s="240">
        <v>0.97806010638067686</v>
      </c>
    </row>
    <row r="14" spans="1:24">
      <c r="A14" t="s">
        <v>737</v>
      </c>
      <c r="B14" t="s">
        <v>674</v>
      </c>
      <c r="C14" t="s">
        <v>841</v>
      </c>
      <c r="D14" t="s">
        <v>146</v>
      </c>
      <c r="E14" t="s">
        <v>129</v>
      </c>
      <c r="F14" t="s">
        <v>47</v>
      </c>
      <c r="G14" s="230">
        <v>20100</v>
      </c>
      <c r="H14" t="s">
        <v>49</v>
      </c>
      <c r="I14" t="s">
        <v>822</v>
      </c>
      <c r="J14" t="s">
        <v>846</v>
      </c>
      <c r="K14" t="s">
        <v>844</v>
      </c>
      <c r="L14" t="s">
        <v>819</v>
      </c>
      <c r="M14" t="s">
        <v>874</v>
      </c>
      <c r="N14">
        <v>1.02</v>
      </c>
      <c r="O14">
        <v>0.77</v>
      </c>
      <c r="P14">
        <v>0.24509803921568626</v>
      </c>
      <c r="Q14">
        <v>80400</v>
      </c>
      <c r="R14">
        <v>69578.100585053588</v>
      </c>
      <c r="S14">
        <v>0.28888399986471863</v>
      </c>
      <c r="T14">
        <v>1001.8799999999999</v>
      </c>
      <c r="U14" t="s">
        <v>206</v>
      </c>
      <c r="V14">
        <v>0.29465000000000002</v>
      </c>
      <c r="W14">
        <v>0.25</v>
      </c>
      <c r="X14" s="240">
        <v>0.98043101939493849</v>
      </c>
    </row>
    <row r="15" spans="1:24">
      <c r="A15" t="s">
        <v>740</v>
      </c>
      <c r="B15" t="s">
        <v>675</v>
      </c>
      <c r="C15" t="s">
        <v>841</v>
      </c>
      <c r="D15" t="s">
        <v>146</v>
      </c>
      <c r="E15" t="s">
        <v>129</v>
      </c>
      <c r="F15" t="s">
        <v>47</v>
      </c>
      <c r="G15" s="230">
        <v>11200</v>
      </c>
      <c r="H15" t="s">
        <v>49</v>
      </c>
      <c r="M15" t="s">
        <v>874</v>
      </c>
      <c r="N15">
        <v>0.36</v>
      </c>
      <c r="O15">
        <v>0.21</v>
      </c>
      <c r="P15">
        <v>0.41666666666666669</v>
      </c>
      <c r="Q15">
        <v>74666.666666666672</v>
      </c>
      <c r="R15">
        <v>66673.880434904524</v>
      </c>
      <c r="S15">
        <v>0.16798182327088126</v>
      </c>
      <c r="T15">
        <v>555.39</v>
      </c>
      <c r="U15" t="s">
        <v>206</v>
      </c>
      <c r="V15">
        <v>0.17175000000000001</v>
      </c>
      <c r="W15">
        <v>0.15</v>
      </c>
      <c r="X15" s="240">
        <v>0.97806010638067686</v>
      </c>
    </row>
    <row r="16" spans="1:24">
      <c r="A16" t="s">
        <v>738</v>
      </c>
      <c r="B16" t="s">
        <v>676</v>
      </c>
      <c r="C16" t="s">
        <v>841</v>
      </c>
      <c r="D16" t="s">
        <v>146</v>
      </c>
      <c r="E16" t="s">
        <v>129</v>
      </c>
      <c r="F16" t="s">
        <v>47</v>
      </c>
      <c r="G16" s="230">
        <v>16900</v>
      </c>
      <c r="H16" t="s">
        <v>49</v>
      </c>
      <c r="M16" t="s">
        <v>874</v>
      </c>
      <c r="N16">
        <v>0.5</v>
      </c>
      <c r="O16">
        <v>0.27</v>
      </c>
      <c r="P16">
        <v>0.46</v>
      </c>
      <c r="Q16">
        <v>73478.260869565216</v>
      </c>
      <c r="R16">
        <v>65903.631880260669</v>
      </c>
      <c r="S16">
        <v>0.25643503275669782</v>
      </c>
      <c r="T16">
        <v>842.15999999999985</v>
      </c>
      <c r="U16" t="s">
        <v>206</v>
      </c>
      <c r="V16">
        <v>0.26231000000000004</v>
      </c>
      <c r="W16">
        <v>0.23</v>
      </c>
      <c r="X16" s="240">
        <v>0.97760296121649104</v>
      </c>
    </row>
    <row r="17" spans="1:24">
      <c r="A17" t="s">
        <v>735</v>
      </c>
      <c r="B17" t="s">
        <v>677</v>
      </c>
      <c r="C17" t="s">
        <v>840</v>
      </c>
      <c r="D17" t="s">
        <v>146</v>
      </c>
      <c r="E17" t="s">
        <v>129</v>
      </c>
      <c r="F17" t="s">
        <v>47</v>
      </c>
      <c r="G17" s="230">
        <v>6800</v>
      </c>
      <c r="H17" t="s">
        <v>49</v>
      </c>
      <c r="M17" t="s">
        <v>874</v>
      </c>
      <c r="N17">
        <v>0.25</v>
      </c>
      <c r="O17">
        <v>0.16</v>
      </c>
      <c r="P17">
        <v>0.36</v>
      </c>
      <c r="Q17">
        <v>75555.555555555562</v>
      </c>
      <c r="R17">
        <v>66975.007949086925</v>
      </c>
      <c r="S17">
        <v>0.10153040974880101</v>
      </c>
      <c r="T17">
        <v>339.40499999999997</v>
      </c>
      <c r="U17" t="s">
        <v>206</v>
      </c>
      <c r="V17">
        <v>0.10372999999999999</v>
      </c>
      <c r="W17">
        <v>0.09</v>
      </c>
      <c r="X17" s="240">
        <v>0.97879504240625681</v>
      </c>
    </row>
    <row r="18" spans="1:24">
      <c r="A18" t="s">
        <v>734</v>
      </c>
      <c r="B18" t="s">
        <v>678</v>
      </c>
      <c r="C18" t="s">
        <v>840</v>
      </c>
      <c r="D18" t="s">
        <v>146</v>
      </c>
      <c r="E18" t="s">
        <v>129</v>
      </c>
      <c r="F18" t="s">
        <v>47</v>
      </c>
      <c r="G18" s="230">
        <v>4200</v>
      </c>
      <c r="H18" t="s">
        <v>49</v>
      </c>
      <c r="M18" t="s">
        <v>874</v>
      </c>
      <c r="N18">
        <v>0.25</v>
      </c>
      <c r="O18">
        <v>0.2</v>
      </c>
      <c r="P18">
        <v>0.2</v>
      </c>
      <c r="Q18">
        <v>84000</v>
      </c>
      <c r="R18">
        <v>71535.009804756366</v>
      </c>
      <c r="S18">
        <v>5.8712510300386399E-2</v>
      </c>
      <c r="T18">
        <v>208.72499999999999</v>
      </c>
      <c r="U18" t="s">
        <v>206</v>
      </c>
      <c r="V18">
        <v>5.985E-2</v>
      </c>
      <c r="W18">
        <v>0.05</v>
      </c>
      <c r="X18" s="240">
        <v>0.98099432415014864</v>
      </c>
    </row>
    <row r="19" spans="1:24">
      <c r="A19" t="s">
        <v>732</v>
      </c>
      <c r="B19" t="s">
        <v>679</v>
      </c>
      <c r="C19" t="s">
        <v>840</v>
      </c>
      <c r="D19" t="s">
        <v>146</v>
      </c>
      <c r="E19" t="s">
        <v>129</v>
      </c>
      <c r="F19" t="s">
        <v>47</v>
      </c>
      <c r="G19" s="230">
        <v>18600</v>
      </c>
      <c r="H19" t="s">
        <v>49</v>
      </c>
      <c r="I19" t="s">
        <v>822</v>
      </c>
      <c r="J19" t="s">
        <v>847</v>
      </c>
      <c r="K19" t="s">
        <v>844</v>
      </c>
      <c r="L19" t="s">
        <v>819</v>
      </c>
      <c r="M19" t="s">
        <v>874</v>
      </c>
      <c r="N19">
        <v>0.42000000000000004</v>
      </c>
      <c r="O19">
        <v>0.16</v>
      </c>
      <c r="P19">
        <v>0.61904761904761896</v>
      </c>
      <c r="Q19">
        <v>71538.461538461532</v>
      </c>
      <c r="R19">
        <v>64877.348856738805</v>
      </c>
      <c r="S19">
        <v>0.28669482227259691</v>
      </c>
      <c r="T19">
        <v>925.65000000000009</v>
      </c>
      <c r="U19" t="s">
        <v>206</v>
      </c>
      <c r="V19">
        <v>0.29361999999999999</v>
      </c>
      <c r="W19">
        <v>0.26</v>
      </c>
      <c r="X19" s="240">
        <v>0.976414489042289</v>
      </c>
    </row>
    <row r="20" spans="1:24">
      <c r="A20" t="s">
        <v>733</v>
      </c>
      <c r="B20" t="s">
        <v>680</v>
      </c>
      <c r="C20" t="s">
        <v>840</v>
      </c>
      <c r="D20" t="s">
        <v>146</v>
      </c>
      <c r="E20" t="s">
        <v>129</v>
      </c>
      <c r="F20" t="s">
        <v>47</v>
      </c>
      <c r="G20" s="230">
        <v>14200</v>
      </c>
      <c r="H20" t="s">
        <v>49</v>
      </c>
      <c r="M20" t="s">
        <v>874</v>
      </c>
      <c r="N20">
        <v>0.30000000000000004</v>
      </c>
      <c r="O20">
        <v>0.1</v>
      </c>
      <c r="P20">
        <v>0.66666666666666663</v>
      </c>
      <c r="Q20">
        <v>71000</v>
      </c>
      <c r="R20">
        <v>64537.826119568985</v>
      </c>
      <c r="S20">
        <v>0.22002600418693549</v>
      </c>
      <c r="T20">
        <v>707.85</v>
      </c>
      <c r="U20" t="s">
        <v>206</v>
      </c>
      <c r="V20">
        <v>0.22540000000000002</v>
      </c>
      <c r="W20">
        <v>0.2</v>
      </c>
      <c r="X20" s="240">
        <v>0.97615796001302335</v>
      </c>
    </row>
    <row r="21" spans="1:24">
      <c r="A21" t="s">
        <v>736</v>
      </c>
      <c r="B21" t="s">
        <v>681</v>
      </c>
      <c r="C21" t="s">
        <v>840</v>
      </c>
      <c r="D21" t="s">
        <v>146</v>
      </c>
      <c r="E21" t="s">
        <v>129</v>
      </c>
      <c r="F21" t="s">
        <v>47</v>
      </c>
      <c r="G21" s="230">
        <v>14700</v>
      </c>
      <c r="H21" t="s">
        <v>49</v>
      </c>
      <c r="M21" t="s">
        <v>874</v>
      </c>
      <c r="N21">
        <v>0.61</v>
      </c>
      <c r="O21">
        <v>0.42</v>
      </c>
      <c r="P21">
        <v>0.31147540983606559</v>
      </c>
      <c r="Q21">
        <v>77368.421052631573</v>
      </c>
      <c r="R21">
        <v>68015.247291745094</v>
      </c>
      <c r="S21">
        <v>0.21612800931158441</v>
      </c>
      <c r="T21">
        <v>731.44499999999982</v>
      </c>
      <c r="U21" t="s">
        <v>206</v>
      </c>
      <c r="V21">
        <v>0.22062999999999999</v>
      </c>
      <c r="W21">
        <v>0.19</v>
      </c>
      <c r="X21" s="240">
        <v>0.97959483892301324</v>
      </c>
    </row>
    <row r="22" spans="1:24">
      <c r="A22" t="s">
        <v>730</v>
      </c>
      <c r="B22" t="s">
        <v>683</v>
      </c>
      <c r="C22" t="s">
        <v>839</v>
      </c>
      <c r="D22" t="s">
        <v>146</v>
      </c>
      <c r="E22" t="s">
        <v>129</v>
      </c>
      <c r="F22" t="s">
        <v>47</v>
      </c>
      <c r="G22" s="230">
        <v>16800</v>
      </c>
      <c r="H22" t="s">
        <v>49</v>
      </c>
      <c r="I22" t="s">
        <v>822</v>
      </c>
      <c r="J22" t="s">
        <v>843</v>
      </c>
      <c r="L22" t="s">
        <v>819</v>
      </c>
      <c r="M22" t="s">
        <v>874</v>
      </c>
      <c r="N22">
        <v>0.47</v>
      </c>
      <c r="O22">
        <v>0.24</v>
      </c>
      <c r="P22">
        <v>0.48936170212765961</v>
      </c>
      <c r="Q22">
        <v>73043.478260869568</v>
      </c>
      <c r="R22">
        <v>64278.903903298029</v>
      </c>
      <c r="S22">
        <v>0.26136102173232645</v>
      </c>
      <c r="T22">
        <v>836.71499999999992</v>
      </c>
      <c r="U22" t="s">
        <v>205</v>
      </c>
      <c r="V22">
        <v>0.26171000000000005</v>
      </c>
      <c r="W22">
        <v>0.23</v>
      </c>
      <c r="X22" s="240">
        <v>0.99866654591848369</v>
      </c>
    </row>
    <row r="23" spans="1:24">
      <c r="A23" t="s">
        <v>731</v>
      </c>
      <c r="B23" t="s">
        <v>682</v>
      </c>
      <c r="C23" t="s">
        <v>839</v>
      </c>
      <c r="D23" t="s">
        <v>146</v>
      </c>
      <c r="E23" t="s">
        <v>129</v>
      </c>
      <c r="F23" t="s">
        <v>47</v>
      </c>
      <c r="G23" s="230">
        <v>16800</v>
      </c>
      <c r="H23" t="s">
        <v>49</v>
      </c>
      <c r="M23" t="s">
        <v>874</v>
      </c>
      <c r="N23">
        <v>0.47</v>
      </c>
      <c r="O23">
        <v>0.24</v>
      </c>
      <c r="P23">
        <v>0.48936170212765961</v>
      </c>
      <c r="Q23">
        <v>73043.478260869568</v>
      </c>
      <c r="R23">
        <v>64278.903903298029</v>
      </c>
      <c r="S23">
        <v>0.26136102173232645</v>
      </c>
      <c r="T23">
        <v>836.71499999999992</v>
      </c>
      <c r="U23" t="s">
        <v>205</v>
      </c>
      <c r="V23">
        <v>0.26171000000000005</v>
      </c>
      <c r="W23">
        <v>0.23</v>
      </c>
      <c r="X23" s="240">
        <v>0.99866654591848369</v>
      </c>
    </row>
    <row r="24" spans="1:24">
      <c r="A24" t="s">
        <v>713</v>
      </c>
      <c r="B24" t="s">
        <v>659</v>
      </c>
      <c r="D24" t="s">
        <v>146</v>
      </c>
      <c r="E24" t="s">
        <v>129</v>
      </c>
      <c r="F24" t="s">
        <v>46</v>
      </c>
      <c r="G24" s="230">
        <v>369100</v>
      </c>
      <c r="H24" t="s">
        <v>49</v>
      </c>
      <c r="I24" t="s">
        <v>828</v>
      </c>
      <c r="J24" t="s">
        <v>829</v>
      </c>
      <c r="L24" t="s">
        <v>830</v>
      </c>
      <c r="M24" t="s">
        <v>871</v>
      </c>
      <c r="N24">
        <v>68.09</v>
      </c>
      <c r="O24">
        <v>61.5</v>
      </c>
      <c r="P24">
        <v>9.6783668673814063E-2</v>
      </c>
      <c r="Q24">
        <v>56009.104704097117</v>
      </c>
      <c r="R24">
        <v>40548.867462675698</v>
      </c>
      <c r="S24">
        <v>9.102597016790865</v>
      </c>
      <c r="T24">
        <v>21711.03</v>
      </c>
      <c r="V24">
        <v>21.567529999999998</v>
      </c>
      <c r="W24">
        <v>6.59</v>
      </c>
      <c r="X24" s="240">
        <v>0.42205097277207293</v>
      </c>
    </row>
    <row r="25" spans="1:24">
      <c r="A25" t="s">
        <v>390</v>
      </c>
      <c r="B25" t="s">
        <v>660</v>
      </c>
      <c r="D25" t="s">
        <v>146</v>
      </c>
      <c r="E25" t="s">
        <v>129</v>
      </c>
      <c r="F25" t="s">
        <v>166</v>
      </c>
      <c r="G25" s="230">
        <v>235300</v>
      </c>
      <c r="H25" t="s">
        <v>49</v>
      </c>
      <c r="I25" t="s">
        <v>826</v>
      </c>
      <c r="J25" t="s">
        <v>827</v>
      </c>
      <c r="M25" t="s">
        <v>871</v>
      </c>
      <c r="N25">
        <v>37.78</v>
      </c>
      <c r="O25">
        <v>33.6</v>
      </c>
      <c r="P25">
        <v>0.11064055055584965</v>
      </c>
      <c r="Q25">
        <v>56291.866028708137</v>
      </c>
      <c r="R25">
        <v>21344.122416868064</v>
      </c>
      <c r="S25">
        <v>11.024112184347509</v>
      </c>
      <c r="T25">
        <v>13837.559999999998</v>
      </c>
      <c r="U25" t="s">
        <v>206</v>
      </c>
      <c r="V25">
        <v>12.43066</v>
      </c>
      <c r="W25">
        <v>4.18</v>
      </c>
      <c r="X25" s="240">
        <v>0.88684850075116761</v>
      </c>
    </row>
    <row r="26" spans="1:24">
      <c r="A26" t="s">
        <v>712</v>
      </c>
      <c r="B26" t="s">
        <v>661</v>
      </c>
      <c r="D26" t="s">
        <v>149</v>
      </c>
      <c r="E26" t="s">
        <v>132</v>
      </c>
      <c r="F26" t="s">
        <v>46</v>
      </c>
      <c r="G26" s="230">
        <v>171400</v>
      </c>
      <c r="H26" t="s">
        <v>49</v>
      </c>
      <c r="I26" t="s">
        <v>824</v>
      </c>
      <c r="J26" t="s">
        <v>825</v>
      </c>
      <c r="M26" t="s">
        <v>871</v>
      </c>
      <c r="N26">
        <v>6.9399999999999995</v>
      </c>
      <c r="O26">
        <v>3.91</v>
      </c>
      <c r="P26">
        <v>0.43659942363112392</v>
      </c>
      <c r="Q26">
        <v>56567.656765676569</v>
      </c>
      <c r="R26">
        <v>364381.04353415582</v>
      </c>
      <c r="S26">
        <v>0.47038670930183435</v>
      </c>
      <c r="T26">
        <v>10080.509999999997</v>
      </c>
      <c r="V26">
        <v>4.33962</v>
      </c>
      <c r="W26">
        <v>3.03</v>
      </c>
      <c r="X26" s="240">
        <v>0.54748279834702895</v>
      </c>
    </row>
    <row r="27" spans="1:24">
      <c r="A27" t="s">
        <v>747</v>
      </c>
      <c r="B27" t="s">
        <v>684</v>
      </c>
      <c r="C27" t="s">
        <v>841</v>
      </c>
      <c r="D27" t="s">
        <v>146</v>
      </c>
      <c r="E27" t="s">
        <v>129</v>
      </c>
      <c r="F27" t="s">
        <v>47</v>
      </c>
      <c r="G27" s="230">
        <v>35600</v>
      </c>
      <c r="H27" t="s">
        <v>49</v>
      </c>
      <c r="M27" t="s">
        <v>874</v>
      </c>
      <c r="N27">
        <v>0.97</v>
      </c>
      <c r="O27">
        <v>0.48</v>
      </c>
      <c r="P27">
        <v>0.50515463917525771</v>
      </c>
      <c r="Q27">
        <v>72653.061224489793</v>
      </c>
      <c r="R27">
        <v>64011.497845345017</v>
      </c>
      <c r="S27">
        <v>0.55615008550512879</v>
      </c>
      <c r="T27">
        <v>1776.8849999999998</v>
      </c>
      <c r="U27" t="s">
        <v>205</v>
      </c>
      <c r="V27">
        <v>0.55693000000000004</v>
      </c>
      <c r="W27">
        <v>0.49</v>
      </c>
      <c r="X27" s="240">
        <v>0.99859961845317868</v>
      </c>
    </row>
    <row r="28" spans="1:24">
      <c r="A28" t="s">
        <v>757</v>
      </c>
      <c r="B28" t="s">
        <v>689</v>
      </c>
      <c r="C28" t="s">
        <v>800</v>
      </c>
      <c r="D28" t="s">
        <v>146</v>
      </c>
      <c r="E28" t="s">
        <v>129</v>
      </c>
      <c r="F28" t="s">
        <v>570</v>
      </c>
      <c r="G28" s="230">
        <v>10000</v>
      </c>
      <c r="H28" t="s">
        <v>49</v>
      </c>
      <c r="I28" t="s">
        <v>820</v>
      </c>
      <c r="J28" t="s">
        <v>821</v>
      </c>
      <c r="L28" t="s">
        <v>819</v>
      </c>
      <c r="M28" t="s">
        <v>874</v>
      </c>
      <c r="N28">
        <v>0.38</v>
      </c>
      <c r="O28">
        <v>0.19</v>
      </c>
      <c r="P28">
        <v>0.5</v>
      </c>
      <c r="Q28">
        <v>52631.57894736842</v>
      </c>
      <c r="R28">
        <v>47619.047619047618</v>
      </c>
      <c r="S28">
        <v>0.21</v>
      </c>
      <c r="U28" t="s">
        <v>206</v>
      </c>
      <c r="V28">
        <v>0.21603</v>
      </c>
      <c r="W28">
        <v>0.19</v>
      </c>
      <c r="X28" s="240" t="s">
        <v>778</v>
      </c>
    </row>
    <row r="29" spans="1:24">
      <c r="A29" t="s">
        <v>748</v>
      </c>
      <c r="B29" t="s">
        <v>685</v>
      </c>
      <c r="C29" t="s">
        <v>800</v>
      </c>
      <c r="D29" t="s">
        <v>146</v>
      </c>
      <c r="E29" t="s">
        <v>129</v>
      </c>
      <c r="F29" t="s">
        <v>47</v>
      </c>
      <c r="G29" s="230">
        <v>59100</v>
      </c>
      <c r="H29" t="s">
        <v>49</v>
      </c>
      <c r="M29" t="s">
        <v>874</v>
      </c>
      <c r="N29">
        <v>1.69</v>
      </c>
      <c r="O29">
        <v>0.88</v>
      </c>
      <c r="P29">
        <v>0.47928994082840243</v>
      </c>
      <c r="Q29">
        <v>72962.962962962964</v>
      </c>
      <c r="R29">
        <v>64156.753953212297</v>
      </c>
      <c r="S29">
        <v>0.92118126866424621</v>
      </c>
      <c r="T29">
        <v>2953.0050000000001</v>
      </c>
      <c r="U29" t="s">
        <v>205</v>
      </c>
      <c r="V29">
        <v>0.92237000000000002</v>
      </c>
      <c r="W29">
        <v>0.81</v>
      </c>
      <c r="X29" s="240">
        <v>0.99871122072947538</v>
      </c>
    </row>
    <row r="30" spans="1:24">
      <c r="A30" t="s">
        <v>756</v>
      </c>
      <c r="B30" t="s">
        <v>686</v>
      </c>
      <c r="C30" t="s">
        <v>800</v>
      </c>
      <c r="D30" t="s">
        <v>146</v>
      </c>
      <c r="E30" t="s">
        <v>129</v>
      </c>
      <c r="F30" t="s">
        <v>47</v>
      </c>
      <c r="G30" s="230">
        <v>32900</v>
      </c>
      <c r="H30" t="s">
        <v>49</v>
      </c>
      <c r="M30" t="s">
        <v>874</v>
      </c>
      <c r="N30">
        <v>1.32</v>
      </c>
      <c r="O30">
        <v>0.89</v>
      </c>
      <c r="P30">
        <v>0.32575757575757575</v>
      </c>
      <c r="Q30">
        <v>76511.627906976748</v>
      </c>
      <c r="R30">
        <v>66071.489592752958</v>
      </c>
      <c r="S30">
        <v>0.49794548606042977</v>
      </c>
      <c r="T30">
        <v>1644.3899999999999</v>
      </c>
      <c r="U30" t="s">
        <v>205</v>
      </c>
      <c r="V30">
        <v>0.49811</v>
      </c>
      <c r="W30">
        <v>0.43</v>
      </c>
      <c r="X30" s="240">
        <v>0.9996697236763562</v>
      </c>
    </row>
    <row r="31" spans="1:24">
      <c r="A31" t="s">
        <v>755</v>
      </c>
      <c r="B31" t="s">
        <v>687</v>
      </c>
      <c r="C31" t="s">
        <v>800</v>
      </c>
      <c r="D31" t="s">
        <v>146</v>
      </c>
      <c r="E31" t="s">
        <v>129</v>
      </c>
      <c r="F31" t="s">
        <v>47</v>
      </c>
      <c r="G31" s="230">
        <v>32300</v>
      </c>
      <c r="H31" t="s">
        <v>49</v>
      </c>
      <c r="M31" t="s">
        <v>874</v>
      </c>
      <c r="N31">
        <v>1.1499999999999999</v>
      </c>
      <c r="O31">
        <v>0.72</v>
      </c>
      <c r="P31">
        <v>0.37391304347826093</v>
      </c>
      <c r="Q31">
        <v>75116.279069767435</v>
      </c>
      <c r="R31">
        <v>65336.594794879587</v>
      </c>
      <c r="S31">
        <v>0.49436307633423443</v>
      </c>
      <c r="T31">
        <v>1613.5350000000001</v>
      </c>
      <c r="U31" t="s">
        <v>205</v>
      </c>
      <c r="V31">
        <v>0.49471000000000009</v>
      </c>
      <c r="W31">
        <v>0.43000000000000005</v>
      </c>
      <c r="X31" s="240">
        <v>0.99929873326642749</v>
      </c>
    </row>
    <row r="32" spans="1:24">
      <c r="A32" t="s">
        <v>749</v>
      </c>
      <c r="B32" t="s">
        <v>688</v>
      </c>
      <c r="C32" t="s">
        <v>800</v>
      </c>
      <c r="D32" t="s">
        <v>146</v>
      </c>
      <c r="E32" t="s">
        <v>129</v>
      </c>
      <c r="F32" t="s">
        <v>47</v>
      </c>
      <c r="G32" s="230">
        <v>17300</v>
      </c>
      <c r="H32" t="s">
        <v>49</v>
      </c>
      <c r="M32" t="s">
        <v>874</v>
      </c>
      <c r="N32">
        <v>0.96</v>
      </c>
      <c r="O32">
        <v>0.75</v>
      </c>
      <c r="P32">
        <v>0.21875000000000003</v>
      </c>
      <c r="Q32">
        <v>82380.952380952367</v>
      </c>
      <c r="R32">
        <v>69319.229074007293</v>
      </c>
      <c r="S32">
        <v>0.24957000000000001</v>
      </c>
      <c r="T32">
        <v>860.31000000000006</v>
      </c>
      <c r="U32" t="s">
        <v>205</v>
      </c>
      <c r="V32">
        <v>0.24957000000000001</v>
      </c>
      <c r="W32">
        <v>0.21000000000000002</v>
      </c>
      <c r="X32" s="240">
        <v>1</v>
      </c>
    </row>
    <row r="33" spans="1:24">
      <c r="A33" t="s">
        <v>760</v>
      </c>
      <c r="B33" t="s">
        <v>690</v>
      </c>
      <c r="C33" t="s">
        <v>801</v>
      </c>
      <c r="D33" t="s">
        <v>146</v>
      </c>
      <c r="E33" t="s">
        <v>129</v>
      </c>
      <c r="F33" t="s">
        <v>47</v>
      </c>
      <c r="G33" s="230">
        <v>29500</v>
      </c>
      <c r="H33" t="s">
        <v>49</v>
      </c>
      <c r="I33" t="s">
        <v>820</v>
      </c>
      <c r="L33" t="s">
        <v>819</v>
      </c>
      <c r="M33" t="s">
        <v>874</v>
      </c>
      <c r="N33">
        <v>0.73</v>
      </c>
      <c r="O33">
        <v>0.32</v>
      </c>
      <c r="P33">
        <v>0.56164383561643838</v>
      </c>
      <c r="Q33">
        <v>71951.219512195123</v>
      </c>
      <c r="R33">
        <v>63629.535927309931</v>
      </c>
      <c r="S33">
        <v>0.46362117167883565</v>
      </c>
      <c r="T33">
        <v>1471.9650000000001</v>
      </c>
      <c r="U33" t="s">
        <v>205</v>
      </c>
      <c r="V33">
        <v>0.46437000000000006</v>
      </c>
      <c r="W33">
        <v>0.41000000000000003</v>
      </c>
      <c r="X33" s="240">
        <v>0.99838743174372935</v>
      </c>
    </row>
    <row r="34" spans="1:24">
      <c r="A34" t="s">
        <v>758</v>
      </c>
      <c r="B34" t="s">
        <v>691</v>
      </c>
      <c r="C34" t="s">
        <v>800</v>
      </c>
      <c r="D34" t="s">
        <v>146</v>
      </c>
      <c r="E34" t="s">
        <v>129</v>
      </c>
      <c r="F34" t="s">
        <v>47</v>
      </c>
      <c r="G34" s="230">
        <v>23900</v>
      </c>
      <c r="H34" t="s">
        <v>49</v>
      </c>
      <c r="M34" t="s">
        <v>874</v>
      </c>
      <c r="N34">
        <v>0.75</v>
      </c>
      <c r="O34">
        <v>0.44</v>
      </c>
      <c r="P34">
        <v>0.41333333333333333</v>
      </c>
      <c r="Q34">
        <v>77096.774193548394</v>
      </c>
      <c r="R34">
        <v>67310.671135269105</v>
      </c>
      <c r="S34">
        <v>0.35507</v>
      </c>
      <c r="T34">
        <v>1194.2700000000002</v>
      </c>
      <c r="U34" t="s">
        <v>205</v>
      </c>
      <c r="V34">
        <v>0.35507</v>
      </c>
      <c r="W34">
        <v>0.31</v>
      </c>
      <c r="X34" s="240">
        <v>1</v>
      </c>
    </row>
    <row r="35" spans="1:24">
      <c r="A35" t="s">
        <v>759</v>
      </c>
      <c r="B35" t="s">
        <v>692</v>
      </c>
      <c r="C35" t="s">
        <v>801</v>
      </c>
      <c r="D35" t="s">
        <v>146</v>
      </c>
      <c r="E35" t="s">
        <v>129</v>
      </c>
      <c r="F35" t="s">
        <v>47</v>
      </c>
      <c r="G35" s="230">
        <v>63100</v>
      </c>
      <c r="H35" t="s">
        <v>49</v>
      </c>
      <c r="M35" t="s">
        <v>874</v>
      </c>
      <c r="N35">
        <v>1.87</v>
      </c>
      <c r="O35">
        <v>0.96</v>
      </c>
      <c r="P35">
        <v>0.48663101604278075</v>
      </c>
      <c r="Q35">
        <v>69340.659340659331</v>
      </c>
      <c r="R35">
        <v>61144.069064111587</v>
      </c>
      <c r="S35">
        <v>1.0319888905960373</v>
      </c>
      <c r="T35">
        <v>3154.4700000000003</v>
      </c>
      <c r="U35" t="s">
        <v>205</v>
      </c>
      <c r="V35">
        <v>1.0356700000000001</v>
      </c>
      <c r="W35">
        <v>0.91</v>
      </c>
      <c r="X35" s="240">
        <v>0.99644567342496859</v>
      </c>
    </row>
    <row r="36" spans="1:24">
      <c r="A36" t="s">
        <v>761</v>
      </c>
      <c r="B36" t="s">
        <v>693</v>
      </c>
      <c r="C36" t="s">
        <v>801</v>
      </c>
      <c r="D36" t="s">
        <v>146</v>
      </c>
      <c r="E36" t="s">
        <v>129</v>
      </c>
      <c r="F36" t="s">
        <v>570</v>
      </c>
      <c r="G36" s="230">
        <v>2500</v>
      </c>
      <c r="H36" t="s">
        <v>49</v>
      </c>
      <c r="M36" t="s">
        <v>874</v>
      </c>
      <c r="N36">
        <v>0.05</v>
      </c>
      <c r="O36">
        <v>0</v>
      </c>
      <c r="P36">
        <v>1</v>
      </c>
      <c r="Q36">
        <v>50000</v>
      </c>
      <c r="R36">
        <v>41666.666666666672</v>
      </c>
      <c r="S36">
        <v>0.06</v>
      </c>
      <c r="U36" t="s">
        <v>205</v>
      </c>
      <c r="V36">
        <v>5.5850000000000004E-2</v>
      </c>
      <c r="W36">
        <v>0.05</v>
      </c>
      <c r="X36" s="240" t="s">
        <v>778</v>
      </c>
    </row>
    <row r="37" spans="1:24">
      <c r="A37" t="s">
        <v>762</v>
      </c>
      <c r="B37" t="s">
        <v>694</v>
      </c>
      <c r="C37" t="s">
        <v>802</v>
      </c>
      <c r="D37" t="s">
        <v>146</v>
      </c>
      <c r="E37" t="s">
        <v>129</v>
      </c>
      <c r="F37" t="s">
        <v>47</v>
      </c>
      <c r="G37" s="230">
        <v>31800</v>
      </c>
      <c r="H37" t="s">
        <v>49</v>
      </c>
      <c r="I37" t="s">
        <v>822</v>
      </c>
      <c r="J37" t="s">
        <v>823</v>
      </c>
      <c r="L37" t="s">
        <v>819</v>
      </c>
      <c r="M37" t="s">
        <v>874</v>
      </c>
      <c r="N37">
        <v>0.6</v>
      </c>
      <c r="O37">
        <v>0.17</v>
      </c>
      <c r="P37">
        <v>0.71666666666666667</v>
      </c>
      <c r="Q37">
        <v>73953.488372093023</v>
      </c>
      <c r="R37">
        <v>65741.870128796174</v>
      </c>
      <c r="S37">
        <v>0.48371000000000003</v>
      </c>
      <c r="T37">
        <v>1586.31</v>
      </c>
      <c r="U37" t="s">
        <v>205</v>
      </c>
      <c r="V37">
        <v>0.48371000000000003</v>
      </c>
      <c r="W37">
        <v>0.43</v>
      </c>
      <c r="X37" s="240">
        <v>1</v>
      </c>
    </row>
    <row r="38" spans="1:24">
      <c r="A38" t="s">
        <v>743</v>
      </c>
      <c r="B38" t="s">
        <v>695</v>
      </c>
      <c r="C38" t="s">
        <v>802</v>
      </c>
      <c r="D38" t="s">
        <v>146</v>
      </c>
      <c r="E38" t="s">
        <v>129</v>
      </c>
      <c r="F38" t="s">
        <v>47</v>
      </c>
      <c r="G38" s="230">
        <v>12800</v>
      </c>
      <c r="H38" t="s">
        <v>49</v>
      </c>
      <c r="M38" t="s">
        <v>874</v>
      </c>
      <c r="N38">
        <v>0.31000000000000005</v>
      </c>
      <c r="O38">
        <v>0.17</v>
      </c>
      <c r="P38">
        <v>0.45161290322580644</v>
      </c>
      <c r="Q38">
        <v>91428.57142857142</v>
      </c>
      <c r="R38">
        <v>80110.151458255088</v>
      </c>
      <c r="S38">
        <v>0.15978000000000003</v>
      </c>
      <c r="T38">
        <v>638.88</v>
      </c>
      <c r="U38" t="s">
        <v>205</v>
      </c>
      <c r="V38">
        <v>0.15978000000000003</v>
      </c>
      <c r="W38">
        <v>0.14000000000000001</v>
      </c>
      <c r="X38" s="240">
        <v>1</v>
      </c>
    </row>
    <row r="39" spans="1:24">
      <c r="A39" t="s">
        <v>763</v>
      </c>
      <c r="B39" t="s">
        <v>696</v>
      </c>
      <c r="C39" t="s">
        <v>802</v>
      </c>
      <c r="D39" t="s">
        <v>146</v>
      </c>
      <c r="E39" t="s">
        <v>129</v>
      </c>
      <c r="F39" t="s">
        <v>47</v>
      </c>
      <c r="G39" s="230">
        <v>10900</v>
      </c>
      <c r="H39" t="s">
        <v>49</v>
      </c>
      <c r="M39" t="s">
        <v>874</v>
      </c>
      <c r="N39">
        <v>0.31000000000000005</v>
      </c>
      <c r="O39">
        <v>0.2</v>
      </c>
      <c r="P39">
        <v>0.35483870967741932</v>
      </c>
      <c r="Q39">
        <v>99090.909090909074</v>
      </c>
      <c r="R39">
        <v>86740.401285724205</v>
      </c>
      <c r="S39">
        <v>0.12566231927029289</v>
      </c>
      <c r="T39">
        <v>540.87</v>
      </c>
      <c r="U39" t="s">
        <v>206</v>
      </c>
      <c r="V39">
        <v>0.12687000000000001</v>
      </c>
      <c r="W39">
        <v>0.11000000000000001</v>
      </c>
      <c r="X39" s="240">
        <v>0.99048095901547162</v>
      </c>
    </row>
    <row r="40" spans="1:24">
      <c r="A40" t="s">
        <v>764</v>
      </c>
      <c r="B40" t="s">
        <v>697</v>
      </c>
      <c r="C40" t="s">
        <v>802</v>
      </c>
      <c r="D40" t="s">
        <v>146</v>
      </c>
      <c r="E40" t="s">
        <v>129</v>
      </c>
      <c r="F40" t="s">
        <v>47</v>
      </c>
      <c r="G40" s="230">
        <v>16100</v>
      </c>
      <c r="H40" t="s">
        <v>49</v>
      </c>
      <c r="M40" t="s">
        <v>874</v>
      </c>
      <c r="N40">
        <v>0.38</v>
      </c>
      <c r="O40">
        <v>0.19</v>
      </c>
      <c r="P40">
        <v>0.5</v>
      </c>
      <c r="Q40">
        <v>84736.84210526316</v>
      </c>
      <c r="R40">
        <v>75663.990345398968</v>
      </c>
      <c r="S40">
        <v>0.21278285650155404</v>
      </c>
      <c r="T40">
        <v>802.2299999999999</v>
      </c>
      <c r="U40" t="s">
        <v>206</v>
      </c>
      <c r="V40">
        <v>0.21603</v>
      </c>
      <c r="W40">
        <v>0.19</v>
      </c>
      <c r="X40" s="240">
        <v>0.98496901588461805</v>
      </c>
    </row>
    <row r="41" spans="1:24">
      <c r="A41" t="s">
        <v>765</v>
      </c>
      <c r="B41" t="s">
        <v>698</v>
      </c>
      <c r="C41" t="s">
        <v>802</v>
      </c>
      <c r="D41" t="s">
        <v>146</v>
      </c>
      <c r="E41" t="s">
        <v>129</v>
      </c>
      <c r="F41" t="s">
        <v>47</v>
      </c>
      <c r="G41" s="230">
        <v>18700</v>
      </c>
      <c r="H41" t="s">
        <v>49</v>
      </c>
      <c r="M41" t="s">
        <v>874</v>
      </c>
      <c r="N41">
        <v>0.39</v>
      </c>
      <c r="O41">
        <v>0.16</v>
      </c>
      <c r="P41">
        <v>0.58974358974358965</v>
      </c>
      <c r="Q41">
        <v>81304.34782608696</v>
      </c>
      <c r="R41">
        <v>73085.146499627881</v>
      </c>
      <c r="S41">
        <v>0.2558659439793996</v>
      </c>
      <c r="T41">
        <v>932.90999999999985</v>
      </c>
      <c r="U41" t="s">
        <v>206</v>
      </c>
      <c r="V41">
        <v>0.26010999999999995</v>
      </c>
      <c r="W41">
        <v>0.22999999999999998</v>
      </c>
      <c r="X41" s="240">
        <v>0.98368361070085597</v>
      </c>
    </row>
    <row r="42" spans="1:24">
      <c r="A42" t="s">
        <v>750</v>
      </c>
      <c r="B42" t="s">
        <v>699</v>
      </c>
      <c r="C42" t="s">
        <v>802</v>
      </c>
      <c r="D42" t="s">
        <v>146</v>
      </c>
      <c r="E42" t="s">
        <v>129</v>
      </c>
      <c r="F42" t="s">
        <v>47</v>
      </c>
      <c r="G42" s="230">
        <v>16100</v>
      </c>
      <c r="H42" t="s">
        <v>49</v>
      </c>
      <c r="M42" t="s">
        <v>874</v>
      </c>
      <c r="N42">
        <v>0.4</v>
      </c>
      <c r="O42">
        <v>0.21</v>
      </c>
      <c r="P42">
        <v>0.47499999999999998</v>
      </c>
      <c r="Q42">
        <v>84736.84210526316</v>
      </c>
      <c r="R42">
        <v>75535.689600822923</v>
      </c>
      <c r="S42">
        <v>0.2131442776928669</v>
      </c>
      <c r="T42">
        <v>802.23</v>
      </c>
      <c r="U42" t="s">
        <v>206</v>
      </c>
      <c r="V42">
        <v>0.21643000000000001</v>
      </c>
      <c r="W42">
        <v>0.19</v>
      </c>
      <c r="X42" s="240">
        <v>0.98481854499314736</v>
      </c>
    </row>
    <row r="43" spans="1:24">
      <c r="A43" t="s">
        <v>766</v>
      </c>
      <c r="B43" t="s">
        <v>700</v>
      </c>
      <c r="C43" t="s">
        <v>802</v>
      </c>
      <c r="D43" t="s">
        <v>146</v>
      </c>
      <c r="E43" t="s">
        <v>129</v>
      </c>
      <c r="F43" t="s">
        <v>47</v>
      </c>
      <c r="G43" s="230">
        <v>12200</v>
      </c>
      <c r="H43" t="s">
        <v>49</v>
      </c>
      <c r="M43" t="s">
        <v>874</v>
      </c>
      <c r="N43">
        <v>0.23</v>
      </c>
      <c r="O43">
        <v>0.1</v>
      </c>
      <c r="P43">
        <v>0.56521739130434778</v>
      </c>
      <c r="Q43">
        <v>93846.153846153844</v>
      </c>
      <c r="R43">
        <v>83723.548876243847</v>
      </c>
      <c r="S43">
        <v>0.14571766442955564</v>
      </c>
      <c r="T43">
        <v>606.20999999999992</v>
      </c>
      <c r="U43" t="s">
        <v>206</v>
      </c>
      <c r="V43">
        <v>0.14721000000000001</v>
      </c>
      <c r="W43">
        <v>0.13</v>
      </c>
      <c r="X43" s="240">
        <v>0.98986253943044378</v>
      </c>
    </row>
    <row r="44" spans="1:24">
      <c r="A44" t="s">
        <v>719</v>
      </c>
      <c r="B44" t="s">
        <v>701</v>
      </c>
      <c r="C44" t="s">
        <v>807</v>
      </c>
      <c r="D44" t="s">
        <v>146</v>
      </c>
      <c r="E44" t="s">
        <v>129</v>
      </c>
      <c r="F44" t="s">
        <v>47</v>
      </c>
      <c r="G44" s="230">
        <v>54000</v>
      </c>
      <c r="H44" t="s">
        <v>49</v>
      </c>
      <c r="I44" t="s">
        <v>832</v>
      </c>
      <c r="J44" t="s">
        <v>848</v>
      </c>
      <c r="K44" t="s">
        <v>831</v>
      </c>
      <c r="L44" t="s">
        <v>819</v>
      </c>
      <c r="M44" t="s">
        <v>874</v>
      </c>
      <c r="N44">
        <v>2.4299999999999997</v>
      </c>
      <c r="O44">
        <v>1.66</v>
      </c>
      <c r="P44">
        <v>0.31687242798353915</v>
      </c>
      <c r="Q44">
        <v>70129.870129870134</v>
      </c>
      <c r="R44">
        <v>60712.275023152804</v>
      </c>
      <c r="S44">
        <v>0.88944122056712482</v>
      </c>
      <c r="T44">
        <v>2697.09</v>
      </c>
      <c r="U44" t="s">
        <v>205</v>
      </c>
      <c r="V44">
        <v>0.89329000000000003</v>
      </c>
      <c r="W44">
        <v>0.77</v>
      </c>
      <c r="X44" s="240">
        <v>0.99569145581739948</v>
      </c>
    </row>
    <row r="45" spans="1:24">
      <c r="A45" t="s">
        <v>718</v>
      </c>
      <c r="B45" t="s">
        <v>702</v>
      </c>
      <c r="C45" t="s">
        <v>807</v>
      </c>
      <c r="D45" t="s">
        <v>146</v>
      </c>
      <c r="E45" t="s">
        <v>129</v>
      </c>
      <c r="F45" t="s">
        <v>47</v>
      </c>
      <c r="G45" s="230">
        <v>46200</v>
      </c>
      <c r="H45" t="s">
        <v>49</v>
      </c>
      <c r="M45" t="s">
        <v>874</v>
      </c>
      <c r="N45">
        <v>2.23</v>
      </c>
      <c r="O45">
        <v>1.58</v>
      </c>
      <c r="P45">
        <v>0.2914798206278027</v>
      </c>
      <c r="Q45">
        <v>71076.923076923078</v>
      </c>
      <c r="R45">
        <v>61039.208766925476</v>
      </c>
      <c r="S45">
        <v>0.75689054516436971</v>
      </c>
      <c r="T45">
        <v>2305.0500000000002</v>
      </c>
      <c r="U45" t="s">
        <v>205</v>
      </c>
      <c r="V45">
        <v>0.75998999999999994</v>
      </c>
      <c r="W45">
        <v>0.65</v>
      </c>
      <c r="X45" s="240">
        <v>0.9959217162914904</v>
      </c>
    </row>
    <row r="46" spans="1:24">
      <c r="A46" t="s">
        <v>722</v>
      </c>
      <c r="B46" t="s">
        <v>715</v>
      </c>
      <c r="C46" t="s">
        <v>807</v>
      </c>
      <c r="D46" t="s">
        <v>146</v>
      </c>
      <c r="E46" t="s">
        <v>129</v>
      </c>
      <c r="F46" t="s">
        <v>47</v>
      </c>
      <c r="G46" s="230">
        <v>22600</v>
      </c>
      <c r="H46" t="s">
        <v>49</v>
      </c>
      <c r="M46" t="s">
        <v>874</v>
      </c>
      <c r="N46">
        <v>1.03</v>
      </c>
      <c r="O46">
        <v>0.74</v>
      </c>
      <c r="P46">
        <v>0.28155339805825247</v>
      </c>
      <c r="Q46">
        <v>77931.034482758609</v>
      </c>
      <c r="R46">
        <v>68098.283432666678</v>
      </c>
      <c r="S46">
        <v>0.33187326993853128</v>
      </c>
      <c r="T46">
        <v>1128.93</v>
      </c>
      <c r="U46" t="s">
        <v>206</v>
      </c>
      <c r="V46">
        <v>0.33873000000000003</v>
      </c>
      <c r="W46">
        <v>0.29000000000000004</v>
      </c>
      <c r="X46" s="240">
        <v>0.97975753531878274</v>
      </c>
    </row>
    <row r="47" spans="1:24">
      <c r="A47" t="s">
        <v>721</v>
      </c>
      <c r="B47" t="s">
        <v>716</v>
      </c>
      <c r="C47" t="s">
        <v>807</v>
      </c>
      <c r="D47" t="s">
        <v>146</v>
      </c>
      <c r="E47" t="s">
        <v>129</v>
      </c>
      <c r="F47" t="s">
        <v>47</v>
      </c>
      <c r="G47" s="230">
        <v>32400</v>
      </c>
      <c r="H47" t="s">
        <v>49</v>
      </c>
      <c r="M47" t="s">
        <v>874</v>
      </c>
      <c r="N47">
        <v>1.2200000000000002</v>
      </c>
      <c r="O47">
        <v>0.78</v>
      </c>
      <c r="P47">
        <v>0.36065573770491804</v>
      </c>
      <c r="Q47">
        <v>73636.363636363632</v>
      </c>
      <c r="R47">
        <v>64005.413255810403</v>
      </c>
      <c r="S47">
        <v>0.50620718392219322</v>
      </c>
      <c r="T47">
        <v>1618.98</v>
      </c>
      <c r="U47" t="s">
        <v>205</v>
      </c>
      <c r="V47">
        <v>0.50708000000000009</v>
      </c>
      <c r="W47">
        <v>0.44000000000000006</v>
      </c>
      <c r="X47" s="240">
        <v>0.99827874087361579</v>
      </c>
    </row>
    <row r="48" spans="1:24">
      <c r="A48" t="s">
        <v>720</v>
      </c>
      <c r="B48" t="s">
        <v>717</v>
      </c>
      <c r="C48" t="s">
        <v>807</v>
      </c>
      <c r="D48" t="s">
        <v>146</v>
      </c>
      <c r="E48" t="s">
        <v>129</v>
      </c>
      <c r="F48" t="s">
        <v>47</v>
      </c>
      <c r="G48" s="230">
        <v>50100</v>
      </c>
      <c r="H48" t="s">
        <v>49</v>
      </c>
      <c r="M48" t="s">
        <v>874</v>
      </c>
      <c r="N48">
        <v>1.71</v>
      </c>
      <c r="O48">
        <v>1</v>
      </c>
      <c r="P48">
        <v>0.41520467836257308</v>
      </c>
      <c r="Q48">
        <v>70563.380281690144</v>
      </c>
      <c r="R48">
        <v>61818.913363960528</v>
      </c>
      <c r="S48">
        <v>0.81043158596196752</v>
      </c>
      <c r="T48">
        <v>2501.0700000000002</v>
      </c>
      <c r="U48" t="s">
        <v>205</v>
      </c>
      <c r="V48">
        <v>0.81306999999999996</v>
      </c>
      <c r="W48">
        <v>0.71</v>
      </c>
      <c r="X48" s="240">
        <v>0.99675499767789677</v>
      </c>
    </row>
    <row r="49" spans="1:24">
      <c r="A49" t="s">
        <v>724</v>
      </c>
      <c r="B49" t="s">
        <v>703</v>
      </c>
      <c r="D49" t="s">
        <v>146</v>
      </c>
      <c r="E49" t="s">
        <v>129</v>
      </c>
      <c r="F49" t="s">
        <v>47</v>
      </c>
      <c r="G49" s="230">
        <v>54000</v>
      </c>
      <c r="H49" t="s">
        <v>49</v>
      </c>
      <c r="I49" t="s">
        <v>833</v>
      </c>
      <c r="J49" t="s">
        <v>835</v>
      </c>
      <c r="K49" t="s">
        <v>831</v>
      </c>
      <c r="L49" t="s">
        <v>819</v>
      </c>
      <c r="M49" t="s">
        <v>874</v>
      </c>
      <c r="N49">
        <v>1.99</v>
      </c>
      <c r="O49">
        <v>1.22</v>
      </c>
      <c r="P49">
        <v>0.38693467336683418</v>
      </c>
      <c r="Q49">
        <v>70129.870129870134</v>
      </c>
      <c r="R49">
        <v>61278.479863183973</v>
      </c>
      <c r="S49">
        <v>0.88122290436325146</v>
      </c>
      <c r="T49">
        <v>2697.09</v>
      </c>
      <c r="U49" t="s">
        <v>205</v>
      </c>
      <c r="V49">
        <v>0.88449</v>
      </c>
      <c r="W49">
        <v>0.77</v>
      </c>
      <c r="X49" s="240">
        <v>0.99630623790348272</v>
      </c>
    </row>
    <row r="50" spans="1:24">
      <c r="A50" t="s">
        <v>723</v>
      </c>
      <c r="B50" t="s">
        <v>704</v>
      </c>
      <c r="D50" t="s">
        <v>146</v>
      </c>
      <c r="E50" t="s">
        <v>129</v>
      </c>
      <c r="F50" t="s">
        <v>47</v>
      </c>
      <c r="G50" s="230">
        <v>60500</v>
      </c>
      <c r="H50" t="s">
        <v>49</v>
      </c>
      <c r="I50" t="s">
        <v>833</v>
      </c>
      <c r="J50" t="s">
        <v>834</v>
      </c>
      <c r="K50" t="s">
        <v>831</v>
      </c>
      <c r="L50" t="s">
        <v>819</v>
      </c>
      <c r="M50" t="s">
        <v>874</v>
      </c>
      <c r="N50">
        <v>3.3600000000000003</v>
      </c>
      <c r="O50">
        <v>2.4900000000000002</v>
      </c>
      <c r="P50">
        <v>0.2589285714285714</v>
      </c>
      <c r="Q50">
        <v>69540.229885057473</v>
      </c>
      <c r="R50">
        <v>59539.010954098594</v>
      </c>
      <c r="S50">
        <v>1.0161404939467718</v>
      </c>
      <c r="T50">
        <v>3023.79</v>
      </c>
      <c r="U50" t="s">
        <v>205</v>
      </c>
      <c r="V50">
        <v>1.02159</v>
      </c>
      <c r="W50">
        <v>0.87</v>
      </c>
      <c r="X50" s="240">
        <v>0.9946656622977631</v>
      </c>
    </row>
    <row r="51" spans="1:24">
      <c r="A51" t="s">
        <v>725</v>
      </c>
      <c r="B51" t="s">
        <v>705</v>
      </c>
      <c r="D51" t="s">
        <v>146</v>
      </c>
      <c r="E51" t="s">
        <v>129</v>
      </c>
      <c r="F51" t="s">
        <v>47</v>
      </c>
      <c r="G51" s="230">
        <v>74900</v>
      </c>
      <c r="H51" t="s">
        <v>49</v>
      </c>
      <c r="I51" t="s">
        <v>833</v>
      </c>
      <c r="J51" t="s">
        <v>836</v>
      </c>
      <c r="K51" t="s">
        <v>831</v>
      </c>
      <c r="L51" t="s">
        <v>819</v>
      </c>
      <c r="M51" t="s">
        <v>872</v>
      </c>
      <c r="N51">
        <v>3.6199999999999997</v>
      </c>
      <c r="O51">
        <v>2.5299999999999998</v>
      </c>
      <c r="P51">
        <v>0.30110497237569062</v>
      </c>
      <c r="Q51">
        <v>68715.596330275235</v>
      </c>
      <c r="R51">
        <v>43050.183650477193</v>
      </c>
      <c r="S51">
        <v>1.739829976292558</v>
      </c>
      <c r="T51">
        <v>3742.5299999999993</v>
      </c>
      <c r="U51" t="s">
        <v>207</v>
      </c>
      <c r="V51">
        <v>1.8601499999999997</v>
      </c>
      <c r="W51">
        <v>1.0899999999999999</v>
      </c>
      <c r="X51" s="240">
        <v>0.93531703157947377</v>
      </c>
    </row>
    <row r="52" spans="1:24">
      <c r="A52" t="s">
        <v>727</v>
      </c>
      <c r="B52" t="s">
        <v>708</v>
      </c>
      <c r="C52" t="s">
        <v>808</v>
      </c>
      <c r="D52" t="s">
        <v>146</v>
      </c>
      <c r="E52" t="s">
        <v>129</v>
      </c>
      <c r="F52" t="s">
        <v>47</v>
      </c>
      <c r="G52" s="230">
        <v>18700</v>
      </c>
      <c r="H52" t="s">
        <v>49</v>
      </c>
      <c r="I52" t="s">
        <v>833</v>
      </c>
      <c r="J52" t="s">
        <v>837</v>
      </c>
      <c r="K52" t="s">
        <v>831</v>
      </c>
      <c r="L52" t="s">
        <v>819</v>
      </c>
      <c r="M52" t="s">
        <v>872</v>
      </c>
      <c r="N52">
        <v>0.59</v>
      </c>
      <c r="O52">
        <v>0.36</v>
      </c>
      <c r="P52">
        <v>0.38983050847457629</v>
      </c>
      <c r="Q52">
        <v>81304.34782608696</v>
      </c>
      <c r="R52">
        <v>55765.293891646303</v>
      </c>
      <c r="S52">
        <v>0.33533401682298458</v>
      </c>
      <c r="T52">
        <v>932.90999999999985</v>
      </c>
      <c r="U52" t="s">
        <v>207</v>
      </c>
      <c r="V52">
        <v>0.34834999999999994</v>
      </c>
      <c r="W52">
        <v>0.22999999999999998</v>
      </c>
      <c r="X52" s="240">
        <v>0.96263532890192227</v>
      </c>
    </row>
    <row r="53" spans="1:24">
      <c r="A53" t="s">
        <v>726</v>
      </c>
      <c r="B53" t="s">
        <v>709</v>
      </c>
      <c r="C53" t="s">
        <v>808</v>
      </c>
      <c r="D53" t="s">
        <v>146</v>
      </c>
      <c r="E53" t="s">
        <v>129</v>
      </c>
      <c r="F53" t="s">
        <v>47</v>
      </c>
      <c r="G53" s="230">
        <v>19000</v>
      </c>
      <c r="H53" t="s">
        <v>49</v>
      </c>
      <c r="M53" t="s">
        <v>872</v>
      </c>
      <c r="N53">
        <v>0.77500000000000002</v>
      </c>
      <c r="O53">
        <v>0.54</v>
      </c>
      <c r="P53">
        <v>0.3032258064516129</v>
      </c>
      <c r="Q53">
        <v>80851.063829787236</v>
      </c>
      <c r="R53">
        <v>52544.794034486964</v>
      </c>
      <c r="S53">
        <v>0.36159624086697617</v>
      </c>
      <c r="T53">
        <v>949.245</v>
      </c>
      <c r="U53" t="s">
        <v>207</v>
      </c>
      <c r="V53">
        <v>0.37625500000000001</v>
      </c>
      <c r="W53">
        <v>0.23500000000000001</v>
      </c>
      <c r="X53" s="240">
        <v>0.96104036057188913</v>
      </c>
    </row>
    <row r="54" spans="1:24">
      <c r="A54" t="s">
        <v>714</v>
      </c>
      <c r="B54" t="s">
        <v>710</v>
      </c>
      <c r="D54" t="s">
        <v>146</v>
      </c>
      <c r="E54" t="s">
        <v>129</v>
      </c>
      <c r="F54" t="s">
        <v>47</v>
      </c>
      <c r="G54" s="230">
        <v>91200</v>
      </c>
      <c r="H54" t="s">
        <v>49</v>
      </c>
      <c r="I54" t="s">
        <v>833</v>
      </c>
      <c r="J54" t="s">
        <v>838</v>
      </c>
      <c r="K54" t="s">
        <v>831</v>
      </c>
      <c r="L54" t="s">
        <v>819</v>
      </c>
      <c r="M54" t="s">
        <v>874</v>
      </c>
      <c r="N54">
        <v>3.76</v>
      </c>
      <c r="O54">
        <v>2.42</v>
      </c>
      <c r="P54">
        <v>0.35638297872340424</v>
      </c>
      <c r="Q54">
        <v>68059.701492537322</v>
      </c>
      <c r="R54">
        <v>59329.353609396443</v>
      </c>
      <c r="S54">
        <v>1.5371817566129014</v>
      </c>
      <c r="T54">
        <v>4559.2799999999988</v>
      </c>
      <c r="U54" t="s">
        <v>205</v>
      </c>
      <c r="V54">
        <v>1.5451799999999998</v>
      </c>
      <c r="W54">
        <v>1.3399999999999999</v>
      </c>
      <c r="X54" s="240">
        <v>0.99482374649743177</v>
      </c>
    </row>
    <row r="55" spans="1:24">
      <c r="A55" t="s">
        <v>753</v>
      </c>
      <c r="B55" t="s">
        <v>754</v>
      </c>
      <c r="C55" t="s">
        <v>842</v>
      </c>
      <c r="D55" t="s">
        <v>146</v>
      </c>
      <c r="E55" t="s">
        <v>129</v>
      </c>
      <c r="F55" t="s">
        <v>47</v>
      </c>
      <c r="G55" s="230">
        <v>36200</v>
      </c>
      <c r="H55" t="s">
        <v>49</v>
      </c>
      <c r="M55" t="s">
        <v>874</v>
      </c>
      <c r="N55">
        <v>0.78</v>
      </c>
      <c r="O55">
        <v>0.27</v>
      </c>
      <c r="P55">
        <v>0.65384615384615385</v>
      </c>
      <c r="Q55">
        <v>70980.392156862741</v>
      </c>
      <c r="R55">
        <v>63067.939498925283</v>
      </c>
      <c r="S55">
        <v>0.57398418733208922</v>
      </c>
      <c r="T55">
        <v>1807.74</v>
      </c>
      <c r="U55" t="s">
        <v>205</v>
      </c>
      <c r="V55">
        <v>0.57506999999999997</v>
      </c>
      <c r="W55">
        <v>0.51</v>
      </c>
      <c r="X55" s="240">
        <v>0.99811186000328522</v>
      </c>
    </row>
    <row r="56" spans="1:24">
      <c r="A56" t="s">
        <v>859</v>
      </c>
      <c r="B56" t="s">
        <v>860</v>
      </c>
      <c r="C56" t="s">
        <v>869</v>
      </c>
      <c r="D56" t="s">
        <v>146</v>
      </c>
      <c r="E56" t="s">
        <v>129</v>
      </c>
      <c r="F56" t="s">
        <v>47</v>
      </c>
      <c r="G56" s="230">
        <v>105900</v>
      </c>
      <c r="H56" t="s">
        <v>49</v>
      </c>
      <c r="I56" t="s">
        <v>861</v>
      </c>
      <c r="J56" t="s">
        <v>867</v>
      </c>
      <c r="K56" t="s">
        <v>831</v>
      </c>
      <c r="L56" t="s">
        <v>819</v>
      </c>
      <c r="M56" t="s">
        <v>874</v>
      </c>
      <c r="N56">
        <v>5.23</v>
      </c>
      <c r="O56">
        <v>3.9</v>
      </c>
      <c r="P56">
        <v>0.25430210325047803</v>
      </c>
      <c r="Q56">
        <v>79624.060150375939</v>
      </c>
      <c r="R56">
        <v>69086.493567186073</v>
      </c>
      <c r="S56">
        <v>1.5328611213567103</v>
      </c>
      <c r="T56">
        <v>5294.3549999999996</v>
      </c>
      <c r="U56" t="s">
        <v>206</v>
      </c>
      <c r="V56">
        <v>1.5636100000000002</v>
      </c>
      <c r="W56">
        <v>1.33</v>
      </c>
      <c r="X56" s="240">
        <v>0.98033468790600597</v>
      </c>
    </row>
    <row r="57" spans="1:24">
      <c r="A57" t="s">
        <v>849</v>
      </c>
      <c r="B57" t="s">
        <v>856</v>
      </c>
      <c r="D57" t="s">
        <v>146</v>
      </c>
      <c r="E57" t="s">
        <v>129</v>
      </c>
      <c r="F57" t="s">
        <v>165</v>
      </c>
      <c r="G57" s="230">
        <v>410000</v>
      </c>
      <c r="H57" t="s">
        <v>49</v>
      </c>
      <c r="I57" t="s">
        <v>854</v>
      </c>
      <c r="J57" t="s">
        <v>855</v>
      </c>
      <c r="K57" t="s">
        <v>857</v>
      </c>
      <c r="L57" t="s">
        <v>858</v>
      </c>
      <c r="M57" t="s">
        <v>871</v>
      </c>
      <c r="N57">
        <v>18.159620799999999</v>
      </c>
      <c r="O57">
        <v>11.5</v>
      </c>
      <c r="P57">
        <v>0.36672686469312182</v>
      </c>
      <c r="Q57">
        <v>61565.066887892477</v>
      </c>
      <c r="R57">
        <v>92301.997474731994</v>
      </c>
      <c r="S57">
        <v>4.4419407078621349</v>
      </c>
      <c r="T57">
        <v>18774.36</v>
      </c>
      <c r="V57">
        <v>10.0952964336</v>
      </c>
      <c r="W57">
        <v>6.6596207999999999</v>
      </c>
      <c r="X57" s="240">
        <v>0.44000101800657393</v>
      </c>
    </row>
    <row r="58" spans="1:24">
      <c r="A58" t="s">
        <v>850</v>
      </c>
      <c r="B58" t="s">
        <v>797</v>
      </c>
      <c r="D58" t="s">
        <v>146</v>
      </c>
      <c r="E58" t="s">
        <v>129</v>
      </c>
      <c r="F58" t="s">
        <v>46</v>
      </c>
      <c r="G58" s="230">
        <v>341700</v>
      </c>
      <c r="H58" t="s">
        <v>49</v>
      </c>
      <c r="I58" t="s">
        <v>851</v>
      </c>
      <c r="J58" t="s">
        <v>853</v>
      </c>
      <c r="K58" t="s">
        <v>818</v>
      </c>
      <c r="L58" t="s">
        <v>852</v>
      </c>
      <c r="M58" t="s">
        <v>873</v>
      </c>
      <c r="N58">
        <v>9.7399999999999984</v>
      </c>
      <c r="O58">
        <v>7.1899999999999995</v>
      </c>
      <c r="P58">
        <v>0.26180698151950721</v>
      </c>
      <c r="Q58">
        <v>134000</v>
      </c>
      <c r="R58">
        <v>121677.82896800502</v>
      </c>
      <c r="S58">
        <v>2.8082355092795863</v>
      </c>
      <c r="T58">
        <v>20100</v>
      </c>
      <c r="V58">
        <v>5.5106799999999998</v>
      </c>
      <c r="W58">
        <v>2.5499999999999998</v>
      </c>
      <c r="X58" s="240">
        <v>0.62959872634222758</v>
      </c>
    </row>
    <row r="59" spans="1:24">
      <c r="A59" t="s">
        <v>862</v>
      </c>
      <c r="B59" t="s">
        <v>864</v>
      </c>
      <c r="C59" t="s">
        <v>869</v>
      </c>
      <c r="D59" t="s">
        <v>146</v>
      </c>
      <c r="E59" t="s">
        <v>129</v>
      </c>
      <c r="F59" t="s">
        <v>47</v>
      </c>
      <c r="G59" s="230">
        <v>81600</v>
      </c>
      <c r="H59" t="s">
        <v>49</v>
      </c>
      <c r="I59" t="s">
        <v>865</v>
      </c>
      <c r="J59" t="s">
        <v>866</v>
      </c>
      <c r="K59" t="s">
        <v>831</v>
      </c>
      <c r="L59" t="s">
        <v>819</v>
      </c>
      <c r="M59" t="s">
        <v>874</v>
      </c>
      <c r="N59">
        <v>4.82</v>
      </c>
      <c r="O59">
        <v>3.8</v>
      </c>
      <c r="P59">
        <v>0.21161825726141079</v>
      </c>
      <c r="Q59">
        <v>80000</v>
      </c>
      <c r="R59">
        <v>60354.861364307762</v>
      </c>
      <c r="S59">
        <v>1.3520037683038411</v>
      </c>
      <c r="T59">
        <v>4078.3049999999998</v>
      </c>
      <c r="U59" t="s">
        <v>206</v>
      </c>
      <c r="V59">
        <v>1.38148</v>
      </c>
      <c r="W59">
        <v>1.02</v>
      </c>
      <c r="X59" s="240">
        <v>0.97866329465778801</v>
      </c>
    </row>
    <row r="60" spans="1:24">
      <c r="A60" t="s">
        <v>863</v>
      </c>
      <c r="B60" t="s">
        <v>860</v>
      </c>
      <c r="C60" t="s">
        <v>869</v>
      </c>
      <c r="D60" t="s">
        <v>146</v>
      </c>
      <c r="E60" t="s">
        <v>129</v>
      </c>
      <c r="F60" t="s">
        <v>47</v>
      </c>
      <c r="G60" s="230">
        <v>91100</v>
      </c>
      <c r="H60" t="s">
        <v>49</v>
      </c>
      <c r="I60" t="s">
        <v>861</v>
      </c>
      <c r="J60" t="s">
        <v>868</v>
      </c>
      <c r="K60" t="s">
        <v>831</v>
      </c>
      <c r="L60" t="s">
        <v>819</v>
      </c>
      <c r="M60" t="s">
        <v>874</v>
      </c>
      <c r="N60">
        <v>3.83</v>
      </c>
      <c r="O60">
        <v>2.65</v>
      </c>
      <c r="P60">
        <v>0.30809399477806787</v>
      </c>
      <c r="Q60">
        <v>77203.389830508473</v>
      </c>
      <c r="R60">
        <v>67824.624049259161</v>
      </c>
      <c r="S60">
        <v>1.3431699958091412</v>
      </c>
      <c r="T60">
        <v>4550.204999999999</v>
      </c>
      <c r="U60" t="s">
        <v>206</v>
      </c>
      <c r="V60">
        <v>1.3710599999999999</v>
      </c>
      <c r="W60">
        <v>1.18</v>
      </c>
      <c r="X60" s="240">
        <v>0.97965807171760622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DCEF8-2D9E-41F2-8F39-B9AE08C4D6FF}">
  <dimension ref="A1:N31"/>
  <sheetViews>
    <sheetView workbookViewId="0">
      <selection activeCell="B7" sqref="B7"/>
    </sheetView>
  </sheetViews>
  <sheetFormatPr defaultRowHeight="15"/>
  <cols>
    <col min="1" max="1" width="13.140625" bestFit="1" customWidth="1"/>
    <col min="2" max="2" width="17.7109375" bestFit="1" customWidth="1"/>
    <col min="3" max="3" width="11.7109375" bestFit="1" customWidth="1"/>
    <col min="4" max="4" width="7.42578125" bestFit="1" customWidth="1"/>
    <col min="5" max="5" width="8.5703125" bestFit="1" customWidth="1"/>
    <col min="6" max="6" width="16.140625" bestFit="1" customWidth="1"/>
    <col min="7" max="7" width="17.28515625" bestFit="1" customWidth="1"/>
    <col min="8" max="8" width="16.7109375" customWidth="1"/>
    <col min="9" max="9" width="14.140625" customWidth="1"/>
    <col min="10" max="10" width="21.28515625" customWidth="1"/>
    <col min="11" max="11" width="18.7109375" customWidth="1"/>
    <col min="12" max="12" width="14.42578125" customWidth="1"/>
    <col min="13" max="13" width="25.5703125" customWidth="1"/>
    <col min="14" max="14" width="17.140625" customWidth="1"/>
  </cols>
  <sheetData>
    <row r="1" spans="1:14">
      <c r="A1" s="267" t="s">
        <v>550</v>
      </c>
      <c r="B1" s="267"/>
      <c r="C1" s="267"/>
      <c r="D1" s="267"/>
      <c r="E1" s="267"/>
      <c r="F1" s="267"/>
    </row>
    <row r="2" spans="1:14" ht="76.5">
      <c r="A2" s="173" t="s">
        <v>123</v>
      </c>
      <c r="B2" s="173" t="s">
        <v>551</v>
      </c>
      <c r="C2" s="174" t="s">
        <v>552</v>
      </c>
      <c r="D2" s="175" t="s">
        <v>553</v>
      </c>
      <c r="E2" s="176" t="s">
        <v>554</v>
      </c>
      <c r="F2" s="177" t="s">
        <v>555</v>
      </c>
    </row>
    <row r="3" spans="1:14" ht="39">
      <c r="A3" s="182" t="s">
        <v>556</v>
      </c>
      <c r="B3" s="182" t="s">
        <v>557</v>
      </c>
      <c r="C3" s="191">
        <v>133.75500186799204</v>
      </c>
      <c r="D3" s="183">
        <v>44.527865724729523</v>
      </c>
      <c r="E3" s="184">
        <v>0.20499999999999999</v>
      </c>
      <c r="F3" s="183">
        <v>9.1282124735695511</v>
      </c>
    </row>
    <row r="4" spans="1:14" ht="26.25">
      <c r="A4" s="182" t="s">
        <v>558</v>
      </c>
      <c r="B4" s="182" t="s">
        <v>146</v>
      </c>
      <c r="C4" s="191">
        <v>208.7596243148854</v>
      </c>
      <c r="D4" s="183">
        <v>111.86092440630445</v>
      </c>
      <c r="E4" s="184">
        <v>0.20200000000000001</v>
      </c>
      <c r="F4" s="183">
        <v>22.595906730073501</v>
      </c>
    </row>
    <row r="5" spans="1:14">
      <c r="A5" s="185" t="s">
        <v>559</v>
      </c>
      <c r="B5" s="185"/>
      <c r="C5" s="186">
        <v>342.51462618287746</v>
      </c>
      <c r="D5" s="186">
        <v>156.38879013103397</v>
      </c>
      <c r="E5" s="185"/>
      <c r="F5" s="186">
        <v>31.724119203643053</v>
      </c>
    </row>
    <row r="6" spans="1:14">
      <c r="A6" s="187"/>
      <c r="B6" s="187"/>
      <c r="C6" s="187"/>
      <c r="D6" s="187"/>
      <c r="E6" s="187"/>
      <c r="F6" s="187"/>
    </row>
    <row r="7" spans="1:14" ht="30">
      <c r="A7" s="188" t="s">
        <v>51</v>
      </c>
      <c r="B7" s="187" t="s">
        <v>10</v>
      </c>
      <c r="C7" s="187"/>
      <c r="D7" s="187"/>
      <c r="E7" s="187"/>
      <c r="F7" s="187"/>
    </row>
    <row r="8" spans="1:14" ht="45">
      <c r="A8" s="188" t="s">
        <v>182</v>
      </c>
      <c r="B8" s="187" t="s">
        <v>66</v>
      </c>
      <c r="C8" s="187"/>
      <c r="D8" s="187"/>
      <c r="E8" s="187"/>
      <c r="F8" s="187"/>
    </row>
    <row r="9" spans="1:14">
      <c r="A9" s="187"/>
      <c r="B9" s="187"/>
      <c r="C9" s="187"/>
      <c r="D9" s="187"/>
      <c r="E9" s="187"/>
      <c r="F9" s="187"/>
    </row>
    <row r="10" spans="1:14" ht="60">
      <c r="A10" s="188" t="s">
        <v>346</v>
      </c>
      <c r="B10" s="187" t="s">
        <v>348</v>
      </c>
      <c r="C10" s="187" t="s">
        <v>349</v>
      </c>
      <c r="D10" s="187" t="s">
        <v>351</v>
      </c>
      <c r="E10" s="187" t="s">
        <v>350</v>
      </c>
      <c r="G10" s="187" t="s">
        <v>577</v>
      </c>
      <c r="H10" s="187" t="s">
        <v>576</v>
      </c>
      <c r="I10" s="187" t="s">
        <v>578</v>
      </c>
      <c r="J10" s="197" t="s">
        <v>602</v>
      </c>
      <c r="K10" s="187" t="s">
        <v>603</v>
      </c>
      <c r="L10" s="187" t="s">
        <v>604</v>
      </c>
      <c r="M10" s="187" t="s">
        <v>605</v>
      </c>
      <c r="N10" s="187" t="s">
        <v>606</v>
      </c>
    </row>
    <row r="11" spans="1:14">
      <c r="A11" s="189" t="s">
        <v>129</v>
      </c>
      <c r="B11" s="190">
        <v>37.52600000000001</v>
      </c>
      <c r="C11" s="190">
        <v>30.391999999999999</v>
      </c>
      <c r="D11" s="187">
        <v>44</v>
      </c>
      <c r="E11" s="190">
        <v>41.652880226090844</v>
      </c>
      <c r="G11" s="178">
        <f>GETPIVOTDATA("Sum of * P Credit (kg/yr)",$A$10,"LC TMDL Lake Segment","Main Lake")/F4</f>
        <v>1.8433816674705026</v>
      </c>
      <c r="H11">
        <v>0.28999999999999998</v>
      </c>
      <c r="I11" s="178">
        <f>(GETPIVOTDATA("Sum of * P Credit (kg/yr)",$A$10,"LC TMDL Lake Segment","Main Lake")+H11)/F4</f>
        <v>1.8562158503808981</v>
      </c>
      <c r="J11" s="198">
        <v>0</v>
      </c>
      <c r="K11" s="178">
        <f>(GETPIVOTDATA("Sum of * P Credit (kg/yr)",$A$10,"LC TMDL Lake Segment","Main Lake")+H11+J11)/F4</f>
        <v>1.8562158503808981</v>
      </c>
      <c r="L11">
        <v>0.46</v>
      </c>
      <c r="M11">
        <v>11.28</v>
      </c>
      <c r="N11" s="178">
        <f>(GETPIVOTDATA("Sum of * P Credit (kg/yr)",$A$10,"LC TMDL Lake Segment","Main Lake")+H11+J11+L11+M11)/F4</f>
        <v>2.3757789792362196</v>
      </c>
    </row>
    <row r="12" spans="1:14">
      <c r="A12" s="189" t="s">
        <v>132</v>
      </c>
      <c r="B12" s="190">
        <v>55.281824999999998</v>
      </c>
      <c r="C12" s="190">
        <v>95.822174999999987</v>
      </c>
      <c r="D12" s="187">
        <v>9</v>
      </c>
      <c r="E12" s="190">
        <v>14.466401119277577</v>
      </c>
      <c r="G12" s="178">
        <f>GETPIVOTDATA("Sum of * P Credit (kg/yr)",$A$10,"LC TMDL Lake Segment","Malletts Bay")/F3</f>
        <v>1.584801094536809</v>
      </c>
      <c r="H12">
        <v>6.21</v>
      </c>
      <c r="I12" s="178">
        <f>(GETPIVOTDATA("Sum of * P Credit (kg/yr)",$A$10,"LC TMDL Lake Segment","Malletts Bay")+H12)/F3</f>
        <v>2.2651095358642714</v>
      </c>
      <c r="J12" s="198">
        <v>0</v>
      </c>
      <c r="K12" s="178">
        <f>(GETPIVOTDATA("Sum of * P Credit (kg/yr)",$A$10,"LC TMDL Lake Segment","Malletts Bay")+H12+J12)/F3</f>
        <v>2.2651095358642714</v>
      </c>
      <c r="L12">
        <v>0.22</v>
      </c>
      <c r="M12">
        <v>1.48</v>
      </c>
      <c r="N12" s="178">
        <f>(GETPIVOTDATA("Sum of * P Credit (kg/yr)",$A$10,"LC TMDL Lake Segment","Malletts Bay")+H12+J12+L12+M12)/F3</f>
        <v>2.4513453410585848</v>
      </c>
    </row>
    <row r="13" spans="1:14">
      <c r="A13" s="189" t="s">
        <v>347</v>
      </c>
      <c r="B13" s="190">
        <v>92.807825000000022</v>
      </c>
      <c r="C13" s="190">
        <v>126.214175</v>
      </c>
      <c r="D13" s="187">
        <v>53</v>
      </c>
      <c r="E13" s="190">
        <v>56.119281345368421</v>
      </c>
      <c r="F13" s="187"/>
    </row>
    <row r="15" spans="1:14">
      <c r="A15" s="187"/>
      <c r="B15" s="187"/>
      <c r="C15" s="187"/>
      <c r="D15" s="187"/>
      <c r="E15" s="187"/>
      <c r="F15" s="187"/>
    </row>
    <row r="16" spans="1:14" s="193" customFormat="1" ht="5.25" customHeight="1">
      <c r="A16" s="192"/>
      <c r="B16" s="192"/>
      <c r="C16" s="192"/>
      <c r="D16" s="192"/>
      <c r="E16" s="192"/>
      <c r="F16" s="192"/>
    </row>
    <row r="17" spans="1:14">
      <c r="A17" s="187"/>
      <c r="B17" s="187"/>
      <c r="C17" s="187"/>
      <c r="D17" s="187"/>
      <c r="E17" s="187"/>
      <c r="F17" s="187"/>
    </row>
    <row r="18" spans="1:14">
      <c r="A18" s="267" t="s">
        <v>560</v>
      </c>
      <c r="B18" s="267"/>
      <c r="C18" s="267"/>
      <c r="D18" s="267"/>
      <c r="E18" s="267"/>
      <c r="F18" s="267"/>
    </row>
    <row r="19" spans="1:14" ht="76.5">
      <c r="A19" s="174" t="s">
        <v>123</v>
      </c>
      <c r="B19" s="174" t="s">
        <v>551</v>
      </c>
      <c r="C19" s="174" t="s">
        <v>552</v>
      </c>
      <c r="D19" s="179" t="s">
        <v>553</v>
      </c>
      <c r="E19" s="180" t="s">
        <v>554</v>
      </c>
      <c r="F19" s="181" t="s">
        <v>555</v>
      </c>
    </row>
    <row r="20" spans="1:14" ht="39">
      <c r="A20" s="182" t="s">
        <v>556</v>
      </c>
      <c r="B20" s="182" t="s">
        <v>149</v>
      </c>
      <c r="C20" s="183">
        <v>85.180410285938336</v>
      </c>
      <c r="D20" s="183">
        <v>83.880028604033072</v>
      </c>
      <c r="E20" s="184">
        <v>0.20499999999999999</v>
      </c>
      <c r="F20" s="183">
        <v>17.195405863826778</v>
      </c>
    </row>
    <row r="21" spans="1:14" ht="39">
      <c r="A21" s="182" t="s">
        <v>556</v>
      </c>
      <c r="B21" s="182" t="s">
        <v>557</v>
      </c>
      <c r="C21" s="183">
        <v>145.23728644363047</v>
      </c>
      <c r="D21" s="183">
        <v>67.302249499389518</v>
      </c>
      <c r="E21" s="184">
        <v>0.20499999999999999</v>
      </c>
      <c r="F21" s="183">
        <v>13.79696114737485</v>
      </c>
    </row>
    <row r="22" spans="1:14" ht="26.25">
      <c r="A22" s="182" t="s">
        <v>558</v>
      </c>
      <c r="B22" s="182" t="s">
        <v>146</v>
      </c>
      <c r="C22" s="183">
        <v>378.74483529074541</v>
      </c>
      <c r="D22" s="183">
        <v>215.84539983587362</v>
      </c>
      <c r="E22" s="184">
        <v>0.20200000000000001</v>
      </c>
      <c r="F22" s="183">
        <v>43.600770766846473</v>
      </c>
    </row>
    <row r="23" spans="1:14">
      <c r="A23" s="185" t="s">
        <v>559</v>
      </c>
      <c r="B23" s="185"/>
      <c r="C23" s="186">
        <v>609.16253202031419</v>
      </c>
      <c r="D23" s="186">
        <v>367.02767793929621</v>
      </c>
      <c r="E23" s="185"/>
      <c r="F23" s="186">
        <v>74.593137778048103</v>
      </c>
    </row>
    <row r="24" spans="1:14">
      <c r="A24" s="187"/>
      <c r="B24" s="187"/>
      <c r="C24" s="187"/>
      <c r="D24" s="187"/>
      <c r="E24" s="187"/>
      <c r="F24" s="187"/>
    </row>
    <row r="25" spans="1:14" ht="30">
      <c r="A25" s="188" t="s">
        <v>51</v>
      </c>
      <c r="B25" s="187" t="s">
        <v>9</v>
      </c>
      <c r="C25" s="187"/>
      <c r="D25" s="187"/>
      <c r="E25" s="187"/>
      <c r="F25" s="187"/>
    </row>
    <row r="26" spans="1:14" ht="45">
      <c r="A26" s="188" t="s">
        <v>182</v>
      </c>
      <c r="B26" s="187" t="s">
        <v>66</v>
      </c>
      <c r="C26" s="187"/>
      <c r="D26" s="187"/>
      <c r="E26" s="187"/>
      <c r="F26" s="187"/>
    </row>
    <row r="27" spans="1:14">
      <c r="A27" s="187"/>
      <c r="B27" s="187"/>
      <c r="C27" s="187"/>
      <c r="D27" s="187"/>
      <c r="E27" s="187"/>
      <c r="F27" s="187"/>
    </row>
    <row r="28" spans="1:14" ht="60">
      <c r="A28" s="188" t="s">
        <v>346</v>
      </c>
      <c r="B28" s="187" t="s">
        <v>348</v>
      </c>
      <c r="C28" s="187" t="s">
        <v>349</v>
      </c>
      <c r="D28" s="187" t="s">
        <v>351</v>
      </c>
      <c r="E28" s="187" t="s">
        <v>350</v>
      </c>
      <c r="G28" s="187" t="s">
        <v>577</v>
      </c>
      <c r="H28" s="187" t="s">
        <v>576</v>
      </c>
      <c r="I28" s="187" t="s">
        <v>578</v>
      </c>
      <c r="J28" s="197" t="s">
        <v>602</v>
      </c>
      <c r="K28" s="187" t="s">
        <v>603</v>
      </c>
      <c r="L28" s="187" t="s">
        <v>604</v>
      </c>
      <c r="M28" s="187" t="s">
        <v>605</v>
      </c>
      <c r="N28" s="187" t="s">
        <v>606</v>
      </c>
    </row>
    <row r="29" spans="1:14">
      <c r="A29" s="189" t="s">
        <v>132</v>
      </c>
      <c r="B29" s="190">
        <v>36.615959999999994</v>
      </c>
      <c r="C29" s="190">
        <v>58.492039999999996</v>
      </c>
      <c r="D29" s="187">
        <v>7</v>
      </c>
      <c r="E29" s="190">
        <v>18.32904292289491</v>
      </c>
      <c r="G29" s="178">
        <f>GETPIVOTDATA("Sum of * P Credit (kg/yr)",$A$28,"LC TMDL Lake Segment","Malletts Bay")/(F20+F21)</f>
        <v>0.59140506810177518</v>
      </c>
      <c r="H29">
        <v>2.61</v>
      </c>
      <c r="I29" s="178">
        <f>(GETPIVOTDATA("Sum of * P Credit (kg/yr)",$A$28,"LC TMDL Lake Segment","Malletts Bay")+H29)/(F20+F21)</f>
        <v>0.6756193521884557</v>
      </c>
      <c r="J29" s="198"/>
      <c r="K29" s="178">
        <f>(GETPIVOTDATA("Sum of * P Credit (kg/yr)",$A$28,"LC TMDL Lake Segment","Malletts Bay")+H29+J29)/(F20+F21)</f>
        <v>0.6756193521884557</v>
      </c>
      <c r="L29">
        <v>1.05</v>
      </c>
      <c r="M29">
        <v>16.5</v>
      </c>
      <c r="N29" s="178">
        <f>(GETPIVOTDATA("Sum of * P Credit (kg/yr)",$A$28,"LC TMDL Lake Segment","Malletts Bay")+H29+J29+L29+M29)/(F20+F21)</f>
        <v>1.241887814150618</v>
      </c>
    </row>
    <row r="30" spans="1:14">
      <c r="A30" s="189" t="s">
        <v>129</v>
      </c>
      <c r="B30" s="190">
        <v>87.749620799999988</v>
      </c>
      <c r="C30" s="190">
        <v>115.09049999999998</v>
      </c>
      <c r="D30" s="187">
        <v>33</v>
      </c>
      <c r="E30" s="190">
        <v>84.266606391940272</v>
      </c>
      <c r="G30" s="178">
        <f>GETPIVOTDATA("Sum of * P Credit (kg/yr)",$A$28,"LC TMDL Lake Segment","Main Lake")/F22</f>
        <v>1.9326861637963435</v>
      </c>
      <c r="H30">
        <v>0.25</v>
      </c>
      <c r="I30" s="178">
        <f>(GETPIVOTDATA("Sum of * P Credit (kg/yr)",$A$28,"LC TMDL Lake Segment","Main Lake")+H30)/F22</f>
        <v>1.9384200073867899</v>
      </c>
      <c r="J30" s="198"/>
      <c r="K30" s="178">
        <f>(GETPIVOTDATA("Sum of * P Credit (kg/yr)",$A$28,"LC TMDL Lake Segment","Main Lake")+H30+J30)/F22</f>
        <v>1.9384200073867899</v>
      </c>
      <c r="L30">
        <v>0.35</v>
      </c>
      <c r="M30">
        <v>3.23</v>
      </c>
      <c r="N30" s="178">
        <f>(GETPIVOTDATA("Sum of * P Credit (kg/yr)",$A$28,"LC TMDL Lake Segment","Main Lake")+H30+J30+L30+M30)/F22</f>
        <v>2.0205286476019806</v>
      </c>
    </row>
    <row r="31" spans="1:14">
      <c r="A31" s="189" t="s">
        <v>347</v>
      </c>
      <c r="B31" s="190">
        <v>124.36558080000002</v>
      </c>
      <c r="C31" s="190">
        <v>173.58253999999999</v>
      </c>
      <c r="D31" s="187">
        <v>40</v>
      </c>
      <c r="E31" s="190">
        <v>102.5956493148352</v>
      </c>
    </row>
  </sheetData>
  <mergeCells count="2">
    <mergeCell ref="A1:F1"/>
    <mergeCell ref="A18:F18"/>
  </mergeCells>
  <pageMargins left="0.7" right="0.7" top="0.75" bottom="0.75" header="0.3" footer="0.3"/>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B67A8-10AB-409D-9EB2-8BDECB0A3D61}">
  <dimension ref="A1:I50"/>
  <sheetViews>
    <sheetView topLeftCell="A43" workbookViewId="0">
      <selection activeCell="B44" sqref="B44"/>
    </sheetView>
  </sheetViews>
  <sheetFormatPr defaultRowHeight="15"/>
  <cols>
    <col min="1" max="1" width="25.42578125" bestFit="1" customWidth="1"/>
    <col min="2" max="2" width="17.7109375" bestFit="1" customWidth="1"/>
    <col min="3" max="3" width="11.7109375" bestFit="1" customWidth="1"/>
    <col min="4" max="4" width="7.42578125" bestFit="1" customWidth="1"/>
    <col min="5" max="5" width="10.5703125" bestFit="1" customWidth="1"/>
    <col min="6" max="6" width="10.140625" bestFit="1" customWidth="1"/>
    <col min="7" max="7" width="9.85546875" bestFit="1" customWidth="1"/>
    <col min="8" max="8" width="16.7109375" customWidth="1"/>
    <col min="9" max="9" width="14.140625" customWidth="1"/>
    <col min="10" max="10" width="13.28515625" customWidth="1"/>
    <col min="11" max="11" width="10.5703125" bestFit="1" customWidth="1"/>
    <col min="12" max="12" width="7.28515625" bestFit="1" customWidth="1"/>
    <col min="13" max="13" width="11.28515625" bestFit="1" customWidth="1"/>
  </cols>
  <sheetData>
    <row r="1" spans="1:9">
      <c r="A1" s="194" t="s">
        <v>580</v>
      </c>
      <c r="B1" s="187"/>
      <c r="C1" s="187"/>
      <c r="D1" s="187"/>
      <c r="E1" s="187"/>
      <c r="F1" s="187"/>
    </row>
    <row r="2" spans="1:9" ht="30">
      <c r="A2" s="188" t="s">
        <v>51</v>
      </c>
      <c r="B2" s="187" t="s">
        <v>10</v>
      </c>
      <c r="C2" s="187"/>
      <c r="D2" s="187"/>
      <c r="E2" s="187"/>
      <c r="F2" s="187"/>
    </row>
    <row r="3" spans="1:9" ht="30">
      <c r="A3" s="188" t="s">
        <v>182</v>
      </c>
      <c r="B3" s="187" t="s">
        <v>66</v>
      </c>
      <c r="C3" s="187"/>
      <c r="D3" s="187"/>
      <c r="E3" s="187"/>
      <c r="F3" s="187"/>
    </row>
    <row r="4" spans="1:9">
      <c r="A4" s="188" t="s">
        <v>176</v>
      </c>
      <c r="B4" s="187" t="s">
        <v>111</v>
      </c>
      <c r="C4" s="187"/>
      <c r="D4" s="187"/>
      <c r="E4" s="187"/>
      <c r="F4" s="187"/>
    </row>
    <row r="5" spans="1:9">
      <c r="A5" s="187"/>
      <c r="B5" s="187"/>
      <c r="C5" s="187"/>
      <c r="D5" s="187"/>
      <c r="E5" s="187"/>
      <c r="F5" s="187"/>
    </row>
    <row r="6" spans="1:9" ht="60">
      <c r="A6" s="188" t="s">
        <v>346</v>
      </c>
      <c r="B6" s="187" t="s">
        <v>348</v>
      </c>
      <c r="C6" s="187" t="s">
        <v>349</v>
      </c>
      <c r="D6" s="187" t="s">
        <v>351</v>
      </c>
      <c r="E6" s="187" t="s">
        <v>792</v>
      </c>
      <c r="F6" s="187" t="s">
        <v>350</v>
      </c>
      <c r="H6" s="187"/>
      <c r="I6" s="187"/>
    </row>
    <row r="7" spans="1:9">
      <c r="A7" s="189" t="s">
        <v>129</v>
      </c>
      <c r="B7" s="190">
        <v>6.016</v>
      </c>
      <c r="C7" s="190">
        <v>9.5120000000000005</v>
      </c>
      <c r="D7" s="187">
        <v>5</v>
      </c>
      <c r="E7" s="187">
        <v>49851</v>
      </c>
      <c r="F7" s="190">
        <v>7.6399594986970696</v>
      </c>
      <c r="I7" s="178"/>
    </row>
    <row r="8" spans="1:9" ht="45">
      <c r="A8" s="245" t="s">
        <v>562</v>
      </c>
      <c r="B8" s="190">
        <v>1.042</v>
      </c>
      <c r="C8" s="190"/>
      <c r="D8" s="187">
        <v>1</v>
      </c>
      <c r="E8" s="187"/>
      <c r="F8" s="190">
        <v>0.03</v>
      </c>
      <c r="H8">
        <f>12.69-10.08</f>
        <v>2.6099999999999994</v>
      </c>
      <c r="I8" s="178"/>
    </row>
    <row r="9" spans="1:9" ht="45">
      <c r="A9" s="245" t="s">
        <v>564</v>
      </c>
      <c r="B9" s="190">
        <v>0.70399999999999996</v>
      </c>
      <c r="C9" s="190">
        <v>1.1020000000000001</v>
      </c>
      <c r="D9" s="187">
        <v>1</v>
      </c>
      <c r="E9" s="187">
        <v>3613</v>
      </c>
      <c r="F9" s="190">
        <v>0.93683699999999992</v>
      </c>
    </row>
    <row r="10" spans="1:9">
      <c r="A10" s="245" t="s">
        <v>639</v>
      </c>
      <c r="B10" s="190">
        <v>3.32</v>
      </c>
      <c r="C10" s="190">
        <v>6.2199999999999989</v>
      </c>
      <c r="D10" s="187">
        <v>1</v>
      </c>
      <c r="E10" s="187">
        <v>26586</v>
      </c>
      <c r="F10" s="190">
        <v>5.1060824986970692</v>
      </c>
    </row>
    <row r="11" spans="1:9">
      <c r="A11" s="245" t="s">
        <v>640</v>
      </c>
      <c r="B11" s="190">
        <v>0.63</v>
      </c>
      <c r="C11" s="190">
        <v>1.23</v>
      </c>
      <c r="D11" s="187">
        <v>1</v>
      </c>
      <c r="E11" s="187">
        <v>12803</v>
      </c>
      <c r="F11" s="190">
        <v>0.98783999999999994</v>
      </c>
    </row>
    <row r="12" spans="1:9">
      <c r="A12" s="245" t="s">
        <v>641</v>
      </c>
      <c r="B12" s="190">
        <v>0.32</v>
      </c>
      <c r="C12" s="190">
        <v>0.96</v>
      </c>
      <c r="D12" s="187">
        <v>1</v>
      </c>
      <c r="E12" s="187">
        <v>6849</v>
      </c>
      <c r="F12" s="190">
        <v>0.57919999999999994</v>
      </c>
    </row>
    <row r="13" spans="1:9">
      <c r="A13" s="189" t="s">
        <v>132</v>
      </c>
      <c r="B13" s="190">
        <v>30.051233</v>
      </c>
      <c r="C13" s="190">
        <v>44.028767000000002</v>
      </c>
      <c r="D13" s="187">
        <v>5</v>
      </c>
      <c r="E13" s="187">
        <v>128462.88</v>
      </c>
      <c r="F13" s="190">
        <v>9.3047493670993831</v>
      </c>
    </row>
    <row r="14" spans="1:9">
      <c r="A14" s="245" t="s">
        <v>316</v>
      </c>
      <c r="B14" s="190">
        <v>13.891233</v>
      </c>
      <c r="C14" s="190">
        <v>16.998767000000001</v>
      </c>
      <c r="D14" s="187">
        <v>1</v>
      </c>
      <c r="E14" s="187">
        <v>11891.880000000001</v>
      </c>
      <c r="F14" s="190">
        <v>0.72119677396846216</v>
      </c>
    </row>
    <row r="15" spans="1:9" ht="30">
      <c r="A15" s="245" t="s">
        <v>777</v>
      </c>
      <c r="B15" s="190">
        <v>3.75</v>
      </c>
      <c r="C15" s="190">
        <v>18.77</v>
      </c>
      <c r="D15" s="187">
        <v>1</v>
      </c>
      <c r="E15" s="187">
        <v>40800</v>
      </c>
      <c r="F15" s="190">
        <v>2.0642029681890994</v>
      </c>
    </row>
    <row r="16" spans="1:9" ht="30">
      <c r="A16" s="245" t="s">
        <v>790</v>
      </c>
      <c r="B16" s="190">
        <v>11.39</v>
      </c>
      <c r="C16" s="190">
        <v>6.28</v>
      </c>
      <c r="D16" s="187">
        <v>1</v>
      </c>
      <c r="E16" s="187">
        <v>70153</v>
      </c>
      <c r="F16" s="190">
        <v>6.0787528322238584</v>
      </c>
    </row>
    <row r="17" spans="1:6">
      <c r="A17" s="245" t="s">
        <v>636</v>
      </c>
      <c r="B17" s="190">
        <v>0.48</v>
      </c>
      <c r="C17" s="190">
        <v>1.02</v>
      </c>
      <c r="D17" s="187">
        <v>1</v>
      </c>
      <c r="E17" s="187">
        <v>3528</v>
      </c>
      <c r="F17" s="190">
        <v>0.22402252344248819</v>
      </c>
    </row>
    <row r="18" spans="1:6">
      <c r="A18" s="245" t="s">
        <v>637</v>
      </c>
      <c r="B18" s="190">
        <v>0.54</v>
      </c>
      <c r="C18" s="190">
        <v>0.96</v>
      </c>
      <c r="D18" s="187">
        <v>1</v>
      </c>
      <c r="E18" s="187">
        <v>2090</v>
      </c>
      <c r="F18" s="190">
        <v>0.21657426927547577</v>
      </c>
    </row>
    <row r="19" spans="1:6">
      <c r="A19" s="189" t="s">
        <v>347</v>
      </c>
      <c r="B19" s="190">
        <v>36.067232999999995</v>
      </c>
      <c r="C19" s="190">
        <v>53.540767000000002</v>
      </c>
      <c r="D19" s="187">
        <v>10</v>
      </c>
      <c r="E19" s="187">
        <v>178313.88</v>
      </c>
      <c r="F19" s="190">
        <v>16.944708865796457</v>
      </c>
    </row>
    <row r="20" spans="1:6">
      <c r="A20" s="189"/>
      <c r="B20" s="190"/>
      <c r="C20" s="190"/>
      <c r="D20" s="187"/>
      <c r="E20" s="187"/>
      <c r="F20" s="190"/>
    </row>
    <row r="21" spans="1:6">
      <c r="A21" s="189"/>
      <c r="B21" s="190"/>
      <c r="C21" s="190"/>
      <c r="D21" s="187"/>
      <c r="E21" s="187"/>
      <c r="F21" s="190"/>
    </row>
    <row r="22" spans="1:6">
      <c r="A22" s="189"/>
      <c r="B22" s="190"/>
      <c r="C22" s="190"/>
      <c r="D22" s="187"/>
      <c r="E22" s="187"/>
      <c r="F22" s="190"/>
    </row>
    <row r="23" spans="1:6">
      <c r="A23" s="189"/>
      <c r="B23" s="190"/>
      <c r="C23" s="190"/>
      <c r="D23" s="187"/>
      <c r="E23" s="187"/>
      <c r="F23" s="190"/>
    </row>
    <row r="24" spans="1:6">
      <c r="A24" s="189"/>
      <c r="B24" s="190"/>
      <c r="C24" s="190"/>
      <c r="D24" s="187"/>
      <c r="E24" s="187"/>
      <c r="F24" s="190"/>
    </row>
    <row r="25" spans="1:6">
      <c r="A25" s="187"/>
      <c r="B25" s="187"/>
      <c r="C25" s="187"/>
      <c r="D25" s="187"/>
      <c r="E25" s="187"/>
      <c r="F25" s="187"/>
    </row>
    <row r="26" spans="1:6" s="193" customFormat="1" ht="5.25" customHeight="1">
      <c r="A26" s="192"/>
      <c r="B26" s="192"/>
      <c r="C26" s="192"/>
      <c r="D26" s="192"/>
      <c r="E26" s="192"/>
      <c r="F26" s="192"/>
    </row>
    <row r="27" spans="1:6">
      <c r="A27" s="194" t="s">
        <v>601</v>
      </c>
      <c r="B27" s="187"/>
      <c r="C27" s="187"/>
      <c r="D27" s="187"/>
      <c r="E27" s="187"/>
      <c r="F27" s="187"/>
    </row>
    <row r="28" spans="1:6">
      <c r="A28" s="188" t="s">
        <v>51</v>
      </c>
      <c r="B28" s="187" t="s">
        <v>9</v>
      </c>
      <c r="C28" s="187"/>
      <c r="D28" s="187"/>
      <c r="E28" s="187"/>
      <c r="F28" s="187"/>
    </row>
    <row r="29" spans="1:6" ht="30">
      <c r="A29" s="188" t="s">
        <v>182</v>
      </c>
      <c r="B29" s="187" t="s">
        <v>66</v>
      </c>
      <c r="C29" s="187"/>
      <c r="D29" s="187"/>
      <c r="E29" s="187"/>
      <c r="F29" s="187"/>
    </row>
    <row r="30" spans="1:6">
      <c r="A30" s="188" t="s">
        <v>176</v>
      </c>
      <c r="B30" s="187" t="s">
        <v>111</v>
      </c>
      <c r="C30" s="187"/>
      <c r="D30" s="187"/>
      <c r="E30" s="187"/>
      <c r="F30" s="187"/>
    </row>
    <row r="31" spans="1:6">
      <c r="A31" s="187"/>
      <c r="B31" s="187"/>
      <c r="C31" s="187"/>
      <c r="D31" s="187"/>
      <c r="E31" s="187"/>
      <c r="F31" s="187"/>
    </row>
    <row r="32" spans="1:6" ht="60">
      <c r="A32" s="188" t="s">
        <v>346</v>
      </c>
      <c r="B32" s="187" t="s">
        <v>348</v>
      </c>
      <c r="C32" s="187" t="s">
        <v>349</v>
      </c>
      <c r="D32" s="187" t="s">
        <v>351</v>
      </c>
      <c r="E32" s="187" t="s">
        <v>792</v>
      </c>
      <c r="F32" s="187" t="s">
        <v>350</v>
      </c>
    </row>
    <row r="33" spans="1:7">
      <c r="A33" s="189" t="s">
        <v>129</v>
      </c>
      <c r="B33" s="190">
        <v>27.238999999999997</v>
      </c>
      <c r="C33" s="190">
        <v>17.150000000000002</v>
      </c>
      <c r="D33" s="187">
        <v>11</v>
      </c>
      <c r="E33" s="187">
        <v>215776.66500000001</v>
      </c>
      <c r="F33" s="190">
        <v>18.087847045918089</v>
      </c>
      <c r="G33" s="190"/>
    </row>
    <row r="34" spans="1:7">
      <c r="A34" s="245" t="s">
        <v>653</v>
      </c>
      <c r="B34" s="190">
        <v>2.2799999999999998</v>
      </c>
      <c r="C34" s="190">
        <v>5</v>
      </c>
      <c r="D34" s="187">
        <v>2</v>
      </c>
      <c r="E34" s="187">
        <v>4532</v>
      </c>
      <c r="F34" s="190">
        <v>0.91711740035316924</v>
      </c>
    </row>
    <row r="35" spans="1:7" ht="30">
      <c r="A35" s="245" t="s">
        <v>323</v>
      </c>
      <c r="B35" s="190">
        <v>9.5</v>
      </c>
      <c r="C35" s="190">
        <v>4</v>
      </c>
      <c r="D35" s="187">
        <v>1</v>
      </c>
      <c r="E35" s="187">
        <v>170450.28</v>
      </c>
      <c r="F35" s="190">
        <v>7.267364999999999</v>
      </c>
    </row>
    <row r="36" spans="1:7" ht="45">
      <c r="A36" s="245" t="s">
        <v>569</v>
      </c>
      <c r="B36" s="190">
        <v>2.0329999999999999</v>
      </c>
      <c r="C36" s="190"/>
      <c r="D36" s="187">
        <v>1</v>
      </c>
      <c r="E36" s="187"/>
      <c r="F36" s="190">
        <v>0.14000000000000001</v>
      </c>
    </row>
    <row r="37" spans="1:7" ht="45">
      <c r="A37" s="245" t="s">
        <v>566</v>
      </c>
      <c r="B37" s="190">
        <v>2.133</v>
      </c>
      <c r="C37" s="190"/>
      <c r="D37" s="187">
        <v>1</v>
      </c>
      <c r="E37" s="187">
        <v>11500</v>
      </c>
      <c r="F37" s="190">
        <v>3.0851685</v>
      </c>
    </row>
    <row r="38" spans="1:7">
      <c r="A38" s="245" t="s">
        <v>607</v>
      </c>
      <c r="B38" s="190">
        <v>6</v>
      </c>
      <c r="C38" s="190">
        <v>7.3</v>
      </c>
      <c r="D38" s="187">
        <v>1</v>
      </c>
      <c r="E38" s="187">
        <v>1520</v>
      </c>
      <c r="F38" s="190">
        <v>1.8763461550768115</v>
      </c>
    </row>
    <row r="39" spans="1:7" ht="45">
      <c r="A39" s="245" t="s">
        <v>574</v>
      </c>
      <c r="B39" s="190">
        <v>0.73899999999999999</v>
      </c>
      <c r="C39" s="190"/>
      <c r="D39" s="187">
        <v>1</v>
      </c>
      <c r="E39" s="187"/>
      <c r="F39" s="190">
        <v>0.06</v>
      </c>
    </row>
    <row r="40" spans="1:7" ht="45">
      <c r="A40" s="245" t="s">
        <v>573</v>
      </c>
      <c r="B40" s="190">
        <v>0.80400000000000005</v>
      </c>
      <c r="C40" s="190"/>
      <c r="D40" s="187">
        <v>1</v>
      </c>
      <c r="E40" s="187">
        <v>6096</v>
      </c>
      <c r="F40" s="190">
        <v>0.9231680000000001</v>
      </c>
    </row>
    <row r="41" spans="1:7" ht="45">
      <c r="A41" s="245" t="s">
        <v>889</v>
      </c>
      <c r="B41" s="190">
        <v>1.81</v>
      </c>
      <c r="C41" s="190"/>
      <c r="D41" s="187">
        <v>1</v>
      </c>
      <c r="E41" s="187">
        <v>6423.2850000000008</v>
      </c>
      <c r="F41" s="190">
        <v>1.9971319389513735</v>
      </c>
    </row>
    <row r="42" spans="1:7" ht="30">
      <c r="A42" s="245" t="s">
        <v>887</v>
      </c>
      <c r="B42" s="190">
        <v>0.8</v>
      </c>
      <c r="C42" s="190"/>
      <c r="D42" s="187">
        <v>1</v>
      </c>
      <c r="E42" s="187">
        <v>2795.1</v>
      </c>
      <c r="F42" s="190">
        <v>0.89562015153673147</v>
      </c>
    </row>
    <row r="43" spans="1:7" ht="30">
      <c r="A43" s="245" t="s">
        <v>927</v>
      </c>
      <c r="B43" s="190">
        <v>1.1399999999999999</v>
      </c>
      <c r="C43" s="190">
        <v>0.85000000000000009</v>
      </c>
      <c r="D43" s="187">
        <v>1</v>
      </c>
      <c r="E43" s="187">
        <v>12460</v>
      </c>
      <c r="F43" s="190">
        <v>0.92592989999999997</v>
      </c>
    </row>
    <row r="44" spans="1:7">
      <c r="A44" s="189" t="s">
        <v>132</v>
      </c>
      <c r="B44" s="190">
        <v>31.761959999999995</v>
      </c>
      <c r="C44" s="190">
        <v>55.429040000000001</v>
      </c>
      <c r="D44" s="187">
        <v>5</v>
      </c>
      <c r="E44" s="187">
        <v>472698.32000000007</v>
      </c>
      <c r="F44" s="190">
        <v>14.959702977956997</v>
      </c>
    </row>
    <row r="45" spans="1:7">
      <c r="A45" s="245" t="s">
        <v>311</v>
      </c>
      <c r="B45" s="190">
        <v>5.6520000000000001</v>
      </c>
      <c r="C45" s="190">
        <v>9.0659999999999989</v>
      </c>
      <c r="D45" s="187">
        <v>1</v>
      </c>
      <c r="E45" s="187">
        <v>74139.12</v>
      </c>
      <c r="F45" s="190">
        <v>2.977203344462922</v>
      </c>
    </row>
    <row r="46" spans="1:7">
      <c r="A46" s="245" t="s">
        <v>312</v>
      </c>
      <c r="B46" s="190">
        <v>3.77</v>
      </c>
      <c r="C46" s="190">
        <v>1.2200000000000002</v>
      </c>
      <c r="D46" s="187">
        <v>1</v>
      </c>
      <c r="E46" s="187">
        <v>40772.160000000003</v>
      </c>
      <c r="F46" s="190">
        <v>1.9686807</v>
      </c>
    </row>
    <row r="47" spans="1:7">
      <c r="A47" s="245" t="s">
        <v>313</v>
      </c>
      <c r="B47" s="190">
        <v>11.85</v>
      </c>
      <c r="C47" s="190">
        <v>10.302999999999999</v>
      </c>
      <c r="D47" s="187">
        <v>1</v>
      </c>
      <c r="E47" s="187">
        <v>290966</v>
      </c>
      <c r="F47" s="190">
        <v>6.2369281799999996</v>
      </c>
    </row>
    <row r="48" spans="1:7" ht="30">
      <c r="A48" s="245" t="s">
        <v>310</v>
      </c>
      <c r="B48" s="190">
        <v>6.4489999999999998</v>
      </c>
      <c r="C48" s="190">
        <v>6.0809999999999995</v>
      </c>
      <c r="D48" s="187">
        <v>1</v>
      </c>
      <c r="E48" s="187">
        <v>28009.08</v>
      </c>
      <c r="F48" s="190">
        <v>0.38548612193972009</v>
      </c>
    </row>
    <row r="49" spans="1:6" ht="45">
      <c r="A49" s="245" t="s">
        <v>575</v>
      </c>
      <c r="B49" s="190">
        <v>4.0409600000000001</v>
      </c>
      <c r="C49" s="190">
        <v>28.759039999999999</v>
      </c>
      <c r="D49" s="187">
        <v>1</v>
      </c>
      <c r="E49" s="187">
        <v>38811.96</v>
      </c>
      <c r="F49" s="190">
        <v>3.3914046315543542</v>
      </c>
    </row>
    <row r="50" spans="1:6">
      <c r="A50" s="189" t="s">
        <v>347</v>
      </c>
      <c r="B50" s="190">
        <v>59.000959999999999</v>
      </c>
      <c r="C50" s="190">
        <v>72.579039999999992</v>
      </c>
      <c r="D50" s="187">
        <v>16</v>
      </c>
      <c r="E50" s="187">
        <v>688474.98499999999</v>
      </c>
      <c r="F50" s="190">
        <v>33.047550023875083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8C78FF-4C10-4BBF-8385-0B4B1BF7730C}">
  <dimension ref="A1:Y48"/>
  <sheetViews>
    <sheetView topLeftCell="A21" workbookViewId="0">
      <selection activeCell="A32" sqref="A32"/>
    </sheetView>
  </sheetViews>
  <sheetFormatPr defaultRowHeight="15"/>
  <cols>
    <col min="1" max="1" width="22.7109375" bestFit="1" customWidth="1"/>
    <col min="2" max="2" width="17.85546875" bestFit="1" customWidth="1"/>
    <col min="3" max="3" width="11.7109375" bestFit="1" customWidth="1"/>
    <col min="4" max="4" width="7.42578125" bestFit="1" customWidth="1"/>
    <col min="5" max="5" width="10.5703125" bestFit="1" customWidth="1"/>
    <col min="6" max="6" width="7.140625" bestFit="1" customWidth="1"/>
    <col min="7" max="7" width="11.42578125" bestFit="1" customWidth="1"/>
    <col min="8" max="8" width="16.7109375" customWidth="1"/>
    <col min="9" max="9" width="14.140625" customWidth="1"/>
    <col min="10" max="10" width="13.28515625" customWidth="1"/>
    <col min="11" max="11" width="29.140625" bestFit="1" customWidth="1"/>
    <col min="12" max="12" width="20.42578125" bestFit="1" customWidth="1"/>
    <col min="13" max="13" width="8.7109375" bestFit="1" customWidth="1"/>
    <col min="14" max="14" width="7.42578125" bestFit="1" customWidth="1"/>
    <col min="15" max="15" width="9.5703125" bestFit="1" customWidth="1"/>
    <col min="16" max="16" width="7.140625" bestFit="1" customWidth="1"/>
    <col min="20" max="20" width="22.7109375" bestFit="1" customWidth="1"/>
    <col min="21" max="21" width="17.7109375" bestFit="1" customWidth="1"/>
    <col min="22" max="22" width="7.85546875" bestFit="1" customWidth="1"/>
    <col min="23" max="23" width="7.42578125" bestFit="1" customWidth="1"/>
    <col min="24" max="24" width="9.5703125" bestFit="1" customWidth="1"/>
    <col min="25" max="25" width="7.140625" bestFit="1" customWidth="1"/>
  </cols>
  <sheetData>
    <row r="1" spans="1:25" ht="30">
      <c r="A1" s="194" t="s">
        <v>786</v>
      </c>
      <c r="B1" s="187"/>
      <c r="C1" s="187"/>
      <c r="D1" s="187"/>
      <c r="E1" s="187"/>
      <c r="K1" s="194" t="s">
        <v>920</v>
      </c>
      <c r="T1" s="194" t="s">
        <v>921</v>
      </c>
      <c r="U1" s="187"/>
      <c r="V1" s="187"/>
      <c r="W1" s="187"/>
      <c r="X1" s="187"/>
      <c r="Y1" s="187"/>
    </row>
    <row r="2" spans="1:25" ht="30">
      <c r="A2" s="188" t="s">
        <v>51</v>
      </c>
      <c r="B2" s="187" t="s">
        <v>10</v>
      </c>
      <c r="C2" s="187"/>
      <c r="D2" s="187"/>
      <c r="E2" s="187"/>
      <c r="K2" s="188" t="s">
        <v>51</v>
      </c>
      <c r="L2" s="187" t="s">
        <v>10</v>
      </c>
      <c r="M2" s="187"/>
      <c r="N2" s="187"/>
      <c r="O2" s="187"/>
      <c r="T2" s="188" t="s">
        <v>51</v>
      </c>
      <c r="U2" s="187" t="s">
        <v>9</v>
      </c>
      <c r="V2" s="187"/>
      <c r="W2" s="187"/>
      <c r="X2" s="187"/>
      <c r="Y2" s="187"/>
    </row>
    <row r="3" spans="1:25" ht="30">
      <c r="A3" s="188" t="s">
        <v>182</v>
      </c>
      <c r="B3" s="187" t="s">
        <v>66</v>
      </c>
      <c r="C3" s="187"/>
      <c r="D3" s="187"/>
      <c r="E3" s="187"/>
      <c r="K3" s="188" t="s">
        <v>182</v>
      </c>
      <c r="L3" s="187" t="s">
        <v>66</v>
      </c>
      <c r="M3" s="187"/>
      <c r="N3" s="187"/>
      <c r="O3" s="187"/>
      <c r="T3" s="188" t="s">
        <v>182</v>
      </c>
      <c r="U3" s="187" t="s">
        <v>66</v>
      </c>
      <c r="V3" s="187"/>
      <c r="W3" s="187"/>
      <c r="X3" s="187"/>
      <c r="Y3" s="187"/>
    </row>
    <row r="4" spans="1:25">
      <c r="A4" s="188" t="s">
        <v>176</v>
      </c>
      <c r="B4" s="187" t="s">
        <v>579</v>
      </c>
      <c r="C4" s="187"/>
      <c r="D4" s="187"/>
      <c r="E4" s="187"/>
      <c r="K4" s="188" t="s">
        <v>176</v>
      </c>
      <c r="L4" s="187" t="s">
        <v>49</v>
      </c>
      <c r="M4" s="187"/>
      <c r="N4" s="187"/>
      <c r="O4" s="187"/>
      <c r="T4" s="188" t="s">
        <v>176</v>
      </c>
      <c r="U4" s="187" t="s">
        <v>49</v>
      </c>
      <c r="V4" s="187"/>
      <c r="W4" s="187"/>
      <c r="X4" s="187"/>
      <c r="Y4" s="187"/>
    </row>
    <row r="5" spans="1:25">
      <c r="A5" s="187"/>
      <c r="B5" s="187"/>
      <c r="C5" s="187"/>
      <c r="D5" s="187"/>
      <c r="E5" s="187"/>
      <c r="K5" s="187"/>
      <c r="L5" s="187"/>
      <c r="M5" s="187"/>
      <c r="N5" s="187"/>
      <c r="O5" s="187"/>
      <c r="T5" s="187"/>
      <c r="U5" s="187"/>
      <c r="V5" s="187"/>
      <c r="W5" s="187"/>
      <c r="X5" s="187"/>
      <c r="Y5" s="187"/>
    </row>
    <row r="6" spans="1:25" ht="75">
      <c r="A6" s="188" t="s">
        <v>346</v>
      </c>
      <c r="B6" s="187" t="s">
        <v>348</v>
      </c>
      <c r="C6" s="187" t="s">
        <v>349</v>
      </c>
      <c r="D6" s="187" t="s">
        <v>351</v>
      </c>
      <c r="E6" s="187" t="s">
        <v>792</v>
      </c>
      <c r="F6" s="187" t="s">
        <v>350</v>
      </c>
      <c r="H6" s="187"/>
      <c r="I6" s="187"/>
      <c r="K6" s="188" t="s">
        <v>346</v>
      </c>
      <c r="L6" s="187" t="s">
        <v>348</v>
      </c>
      <c r="M6" s="187" t="s">
        <v>349</v>
      </c>
      <c r="N6" s="187" t="s">
        <v>351</v>
      </c>
      <c r="O6" s="187" t="s">
        <v>792</v>
      </c>
      <c r="P6" s="187" t="s">
        <v>350</v>
      </c>
      <c r="T6" s="188" t="s">
        <v>346</v>
      </c>
      <c r="U6" s="187" t="s">
        <v>348</v>
      </c>
      <c r="V6" s="187" t="s">
        <v>349</v>
      </c>
      <c r="W6" s="187" t="s">
        <v>351</v>
      </c>
      <c r="X6" s="187" t="s">
        <v>792</v>
      </c>
      <c r="Y6" s="187" t="s">
        <v>350</v>
      </c>
    </row>
    <row r="7" spans="1:25">
      <c r="A7" s="189" t="s">
        <v>129</v>
      </c>
      <c r="B7" s="190">
        <v>11.71</v>
      </c>
      <c r="C7" s="190">
        <v>20.88</v>
      </c>
      <c r="D7" s="187">
        <v>1</v>
      </c>
      <c r="E7" s="187">
        <v>14244</v>
      </c>
      <c r="F7" s="190">
        <v>11.840355156235091</v>
      </c>
      <c r="I7" s="178"/>
      <c r="K7" s="189" t="s">
        <v>129</v>
      </c>
      <c r="L7" s="190">
        <v>19.800000000000004</v>
      </c>
      <c r="M7" s="190"/>
      <c r="N7" s="187">
        <v>38</v>
      </c>
      <c r="O7" s="187">
        <v>71403.914999999979</v>
      </c>
      <c r="P7" s="190">
        <v>22.172565571158685</v>
      </c>
      <c r="T7" s="189" t="s">
        <v>129</v>
      </c>
      <c r="U7" s="190">
        <v>28.444620799999999</v>
      </c>
      <c r="V7" s="190">
        <v>55.412500000000001</v>
      </c>
      <c r="W7" s="187">
        <v>18</v>
      </c>
      <c r="X7" s="187">
        <v>92505.39499999999</v>
      </c>
      <c r="Y7" s="190">
        <v>29.419270587407155</v>
      </c>
    </row>
    <row r="8" spans="1:25" ht="45">
      <c r="A8" s="245" t="s">
        <v>886</v>
      </c>
      <c r="B8" s="190">
        <v>11.71</v>
      </c>
      <c r="C8" s="190">
        <v>20.88</v>
      </c>
      <c r="D8" s="187">
        <v>1</v>
      </c>
      <c r="E8" s="187">
        <v>14244</v>
      </c>
      <c r="F8" s="190">
        <v>11.840355156235091</v>
      </c>
      <c r="I8" s="178"/>
      <c r="K8" s="245" t="s">
        <v>690</v>
      </c>
      <c r="L8" s="190">
        <v>0.41000000000000003</v>
      </c>
      <c r="M8" s="190"/>
      <c r="N8" s="187">
        <v>1</v>
      </c>
      <c r="O8" s="187">
        <v>1471.9650000000001</v>
      </c>
      <c r="P8" s="190">
        <v>0.46362117167883565</v>
      </c>
      <c r="T8" s="245" t="s">
        <v>860</v>
      </c>
      <c r="U8" s="190">
        <v>1.18</v>
      </c>
      <c r="V8" s="190"/>
      <c r="W8" s="187">
        <v>1</v>
      </c>
      <c r="X8" s="187">
        <v>4550.204999999999</v>
      </c>
      <c r="Y8" s="190">
        <v>1.3431699958091412</v>
      </c>
    </row>
    <row r="9" spans="1:25" ht="60">
      <c r="A9" s="189" t="s">
        <v>132</v>
      </c>
      <c r="B9" s="190">
        <v>25.060592</v>
      </c>
      <c r="C9" s="190">
        <v>51.793408000000007</v>
      </c>
      <c r="D9" s="187">
        <v>3</v>
      </c>
      <c r="E9" s="187">
        <v>168272.28</v>
      </c>
      <c r="F9" s="190">
        <v>5.0216517521781956</v>
      </c>
      <c r="K9" s="245" t="s">
        <v>694</v>
      </c>
      <c r="L9" s="190">
        <v>0.43</v>
      </c>
      <c r="M9" s="190"/>
      <c r="N9" s="187">
        <v>1</v>
      </c>
      <c r="O9" s="187">
        <v>1586.31</v>
      </c>
      <c r="P9" s="190">
        <v>0.48371000000000003</v>
      </c>
      <c r="T9" s="245" t="s">
        <v>864</v>
      </c>
      <c r="U9" s="190">
        <v>1.02</v>
      </c>
      <c r="V9" s="190"/>
      <c r="W9" s="187">
        <v>1</v>
      </c>
      <c r="X9" s="187">
        <v>4078.3049999999998</v>
      </c>
      <c r="Y9" s="190">
        <v>1.3520037683038411</v>
      </c>
    </row>
    <row r="10" spans="1:25" ht="60">
      <c r="A10" s="245" t="s">
        <v>770</v>
      </c>
      <c r="B10" s="190">
        <v>14.400327000000001</v>
      </c>
      <c r="C10" s="190">
        <v>33.809673000000004</v>
      </c>
      <c r="D10" s="187">
        <v>1</v>
      </c>
      <c r="E10" s="187">
        <v>161433.35999999999</v>
      </c>
      <c r="F10" s="190">
        <v>1.6068957522383909</v>
      </c>
      <c r="K10" s="245" t="s">
        <v>695</v>
      </c>
      <c r="L10" s="190">
        <v>0.14000000000000001</v>
      </c>
      <c r="M10" s="190"/>
      <c r="N10" s="187">
        <v>1</v>
      </c>
      <c r="O10" s="187">
        <v>638.88</v>
      </c>
      <c r="P10" s="190">
        <v>0.15978000000000003</v>
      </c>
      <c r="T10" s="245" t="s">
        <v>797</v>
      </c>
      <c r="U10" s="190">
        <v>2.5499999999999998</v>
      </c>
      <c r="V10" s="190">
        <v>7.3125</v>
      </c>
      <c r="W10" s="187">
        <v>1</v>
      </c>
      <c r="X10" s="187">
        <v>20100</v>
      </c>
      <c r="Y10" s="190">
        <v>2.8082355092795863</v>
      </c>
    </row>
    <row r="11" spans="1:25" ht="60">
      <c r="A11" s="245" t="s">
        <v>317</v>
      </c>
      <c r="B11" s="190">
        <v>1.946</v>
      </c>
      <c r="C11" s="190">
        <v>3.3040000000000003</v>
      </c>
      <c r="D11" s="187">
        <v>1</v>
      </c>
      <c r="E11" s="187">
        <v>4791.6000000000004</v>
      </c>
      <c r="F11" s="190">
        <v>1.1194650342885906</v>
      </c>
      <c r="K11" s="245" t="s">
        <v>696</v>
      </c>
      <c r="L11" s="190">
        <v>0.11000000000000001</v>
      </c>
      <c r="M11" s="190"/>
      <c r="N11" s="187">
        <v>1</v>
      </c>
      <c r="O11" s="187">
        <v>540.87</v>
      </c>
      <c r="P11" s="190">
        <v>0.12566231927029289</v>
      </c>
      <c r="T11" s="245" t="s">
        <v>856</v>
      </c>
      <c r="U11" s="190">
        <v>6.6596207999999999</v>
      </c>
      <c r="V11" s="190">
        <v>11.5</v>
      </c>
      <c r="W11" s="187">
        <v>1</v>
      </c>
      <c r="X11" s="187">
        <v>18774.36</v>
      </c>
      <c r="Y11" s="190">
        <v>4.4419407078621349</v>
      </c>
    </row>
    <row r="12" spans="1:25" ht="30">
      <c r="A12" s="245" t="s">
        <v>291</v>
      </c>
      <c r="B12" s="190">
        <v>8.7142649999999993</v>
      </c>
      <c r="C12" s="190">
        <v>14.679734999999999</v>
      </c>
      <c r="D12" s="187">
        <v>1</v>
      </c>
      <c r="E12" s="187">
        <v>2047.32</v>
      </c>
      <c r="F12" s="190">
        <v>2.2952909656512142</v>
      </c>
      <c r="K12" s="245" t="s">
        <v>697</v>
      </c>
      <c r="L12" s="190">
        <v>0.19</v>
      </c>
      <c r="M12" s="190"/>
      <c r="N12" s="187">
        <v>1</v>
      </c>
      <c r="O12" s="187">
        <v>802.2299999999999</v>
      </c>
      <c r="P12" s="190">
        <v>0.21278285650155404</v>
      </c>
      <c r="T12" s="245" t="s">
        <v>704</v>
      </c>
      <c r="U12" s="190">
        <v>0.87</v>
      </c>
      <c r="V12" s="190"/>
      <c r="W12" s="187">
        <v>1</v>
      </c>
      <c r="X12" s="187">
        <v>3023.79</v>
      </c>
      <c r="Y12" s="190">
        <v>1.0161404939467718</v>
      </c>
    </row>
    <row r="13" spans="1:25" ht="30">
      <c r="A13" s="189" t="s">
        <v>347</v>
      </c>
      <c r="B13" s="190">
        <v>36.770592000000001</v>
      </c>
      <c r="C13" s="190">
        <v>72.673407999999995</v>
      </c>
      <c r="D13" s="187">
        <v>4</v>
      </c>
      <c r="E13" s="187">
        <v>182516.28</v>
      </c>
      <c r="F13" s="190">
        <v>16.862006908413289</v>
      </c>
      <c r="K13" s="245" t="s">
        <v>698</v>
      </c>
      <c r="L13" s="190">
        <v>0.22999999999999998</v>
      </c>
      <c r="M13" s="190"/>
      <c r="N13" s="187">
        <v>1</v>
      </c>
      <c r="O13" s="187">
        <v>932.90999999999985</v>
      </c>
      <c r="P13" s="190">
        <v>0.2558659439793996</v>
      </c>
      <c r="T13" s="245" t="s">
        <v>709</v>
      </c>
      <c r="U13" s="190">
        <v>0.23500000000000001</v>
      </c>
      <c r="V13" s="190"/>
      <c r="W13" s="187">
        <v>1</v>
      </c>
      <c r="X13" s="187">
        <v>949.245</v>
      </c>
      <c r="Y13" s="190">
        <v>0.36159624086697617</v>
      </c>
    </row>
    <row r="14" spans="1:25" ht="30">
      <c r="A14" s="189"/>
      <c r="B14" s="190"/>
      <c r="C14" s="190"/>
      <c r="D14" s="187"/>
      <c r="E14" s="187"/>
      <c r="F14" s="190"/>
      <c r="K14" s="245" t="s">
        <v>699</v>
      </c>
      <c r="L14" s="190">
        <v>0.19</v>
      </c>
      <c r="M14" s="190"/>
      <c r="N14" s="187">
        <v>1</v>
      </c>
      <c r="O14" s="187">
        <v>802.23</v>
      </c>
      <c r="P14" s="190">
        <v>0.2131442776928669</v>
      </c>
      <c r="T14" s="245" t="s">
        <v>708</v>
      </c>
      <c r="U14" s="190">
        <v>0.22999999999999998</v>
      </c>
      <c r="V14" s="190"/>
      <c r="W14" s="187">
        <v>1</v>
      </c>
      <c r="X14" s="187">
        <v>932.90999999999985</v>
      </c>
      <c r="Y14" s="190">
        <v>0.33533401682298458</v>
      </c>
    </row>
    <row r="15" spans="1:25" ht="30">
      <c r="A15" s="189"/>
      <c r="B15" s="190"/>
      <c r="C15" s="190"/>
      <c r="D15" s="187"/>
      <c r="E15" s="187"/>
      <c r="F15" s="190"/>
      <c r="K15" s="245" t="s">
        <v>668</v>
      </c>
      <c r="L15" s="190">
        <v>0.32</v>
      </c>
      <c r="M15" s="190"/>
      <c r="N15" s="187">
        <v>1</v>
      </c>
      <c r="O15" s="187">
        <v>1159.7850000000001</v>
      </c>
      <c r="P15" s="190">
        <v>0.3553404299600289</v>
      </c>
      <c r="T15" s="245" t="s">
        <v>710</v>
      </c>
      <c r="U15" s="190">
        <v>1.3399999999999999</v>
      </c>
      <c r="V15" s="190"/>
      <c r="W15" s="187">
        <v>1</v>
      </c>
      <c r="X15" s="187">
        <v>4559.2799999999988</v>
      </c>
      <c r="Y15" s="190">
        <v>1.5371817566129014</v>
      </c>
    </row>
    <row r="16" spans="1:25" ht="30">
      <c r="A16" s="189"/>
      <c r="B16" s="190"/>
      <c r="C16" s="190"/>
      <c r="D16" s="187"/>
      <c r="E16" s="187"/>
      <c r="F16" s="190"/>
      <c r="K16" s="245" t="s">
        <v>667</v>
      </c>
      <c r="L16" s="190">
        <v>0.16</v>
      </c>
      <c r="M16" s="190"/>
      <c r="N16" s="187">
        <v>1</v>
      </c>
      <c r="O16" s="187">
        <v>622.54499999999996</v>
      </c>
      <c r="P16" s="190">
        <v>0.1827891029091242</v>
      </c>
      <c r="T16" s="245" t="s">
        <v>702</v>
      </c>
      <c r="U16" s="190">
        <v>0.65</v>
      </c>
      <c r="V16" s="190"/>
      <c r="W16" s="187">
        <v>1</v>
      </c>
      <c r="X16" s="187">
        <v>2305.0500000000002</v>
      </c>
      <c r="Y16" s="190">
        <v>0.75689054516436971</v>
      </c>
    </row>
    <row r="17" spans="1:25" ht="45">
      <c r="A17" s="189"/>
      <c r="B17" s="190"/>
      <c r="C17" s="190"/>
      <c r="D17" s="187"/>
      <c r="E17" s="187"/>
      <c r="F17" s="190"/>
      <c r="K17" s="245" t="s">
        <v>666</v>
      </c>
      <c r="L17" s="190">
        <v>1.33</v>
      </c>
      <c r="M17" s="190"/>
      <c r="N17" s="187">
        <v>1</v>
      </c>
      <c r="O17" s="187">
        <v>4628.25</v>
      </c>
      <c r="P17" s="190">
        <v>1.4867893822839093</v>
      </c>
      <c r="T17" s="245" t="s">
        <v>701</v>
      </c>
      <c r="U17" s="190">
        <v>0.77</v>
      </c>
      <c r="V17" s="190"/>
      <c r="W17" s="187">
        <v>1</v>
      </c>
      <c r="X17" s="187">
        <v>2697.09</v>
      </c>
      <c r="Y17" s="190">
        <v>0.88944122056712482</v>
      </c>
    </row>
    <row r="18" spans="1:25" ht="45">
      <c r="A18" s="187"/>
      <c r="B18" s="187"/>
      <c r="C18" s="187"/>
      <c r="D18" s="187"/>
      <c r="E18" s="187"/>
      <c r="F18" s="187"/>
      <c r="K18" s="245" t="s">
        <v>754</v>
      </c>
      <c r="L18" s="190">
        <v>0.51</v>
      </c>
      <c r="M18" s="190"/>
      <c r="N18" s="187">
        <v>1</v>
      </c>
      <c r="O18" s="187">
        <v>1807.74</v>
      </c>
      <c r="P18" s="190">
        <v>0.57398418733208922</v>
      </c>
      <c r="T18" s="245" t="s">
        <v>717</v>
      </c>
      <c r="U18" s="190">
        <v>0.71</v>
      </c>
      <c r="V18" s="190"/>
      <c r="W18" s="187">
        <v>1</v>
      </c>
      <c r="X18" s="187">
        <v>2501.0700000000002</v>
      </c>
      <c r="Y18" s="190">
        <v>0.81043158596196752</v>
      </c>
    </row>
    <row r="19" spans="1:25" s="193" customFormat="1" ht="5.25" customHeight="1">
      <c r="A19" s="192"/>
      <c r="B19" s="192"/>
      <c r="C19" s="192"/>
      <c r="D19" s="192"/>
      <c r="E19" s="192"/>
      <c r="F19" s="192"/>
      <c r="K19" s="245" t="s">
        <v>669</v>
      </c>
      <c r="L19" s="190">
        <v>0.18</v>
      </c>
      <c r="M19" s="190"/>
      <c r="N19" s="187">
        <v>1</v>
      </c>
      <c r="O19" s="187">
        <v>675.18</v>
      </c>
      <c r="P19" s="190">
        <v>0.20262530146565982</v>
      </c>
      <c r="T19" s="245" t="s">
        <v>716</v>
      </c>
      <c r="U19" s="190">
        <v>0.44000000000000006</v>
      </c>
      <c r="V19" s="190"/>
      <c r="W19" s="187">
        <v>1</v>
      </c>
      <c r="X19" s="187">
        <v>1618.98</v>
      </c>
      <c r="Y19" s="190">
        <v>0.50620718392219322</v>
      </c>
    </row>
    <row r="20" spans="1:25" ht="30">
      <c r="A20" s="194" t="s">
        <v>787</v>
      </c>
      <c r="B20" s="187"/>
      <c r="C20" s="187"/>
      <c r="D20" s="187"/>
      <c r="E20" s="187"/>
      <c r="F20" s="187"/>
      <c r="K20" s="245" t="s">
        <v>675</v>
      </c>
      <c r="L20" s="190">
        <v>0.15</v>
      </c>
      <c r="M20" s="190"/>
      <c r="N20" s="187">
        <v>1</v>
      </c>
      <c r="O20" s="187">
        <v>555.39</v>
      </c>
      <c r="P20" s="190">
        <v>0.16798182327088126</v>
      </c>
      <c r="T20" s="245" t="s">
        <v>715</v>
      </c>
      <c r="U20" s="190">
        <v>0.29000000000000004</v>
      </c>
      <c r="V20" s="190"/>
      <c r="W20" s="187">
        <v>1</v>
      </c>
      <c r="X20" s="187">
        <v>1128.93</v>
      </c>
      <c r="Y20" s="190">
        <v>0.33187326993853128</v>
      </c>
    </row>
    <row r="21" spans="1:25" ht="30">
      <c r="A21" s="188" t="s">
        <v>51</v>
      </c>
      <c r="B21" s="187" t="s">
        <v>9</v>
      </c>
      <c r="C21" s="187"/>
      <c r="D21" s="187"/>
      <c r="E21" s="187"/>
      <c r="F21" s="187"/>
      <c r="K21" s="245" t="s">
        <v>672</v>
      </c>
      <c r="L21" s="190">
        <v>0.14000000000000001</v>
      </c>
      <c r="M21" s="190"/>
      <c r="N21" s="187">
        <v>1</v>
      </c>
      <c r="O21" s="187">
        <v>506.38499999999993</v>
      </c>
      <c r="P21" s="190">
        <v>0.15533801270314618</v>
      </c>
      <c r="T21" s="245" t="s">
        <v>703</v>
      </c>
      <c r="U21" s="190">
        <v>0.77</v>
      </c>
      <c r="V21" s="190"/>
      <c r="W21" s="187">
        <v>1</v>
      </c>
      <c r="X21" s="187">
        <v>2697.09</v>
      </c>
      <c r="Y21" s="190">
        <v>0.88122290436325146</v>
      </c>
    </row>
    <row r="22" spans="1:25" ht="45">
      <c r="A22" s="188" t="s">
        <v>182</v>
      </c>
      <c r="B22" s="187" t="s">
        <v>66</v>
      </c>
      <c r="C22" s="187"/>
      <c r="D22" s="187"/>
      <c r="E22" s="187"/>
      <c r="F22" s="187"/>
      <c r="K22" s="245" t="s">
        <v>670</v>
      </c>
      <c r="L22" s="190">
        <v>0.68</v>
      </c>
      <c r="M22" s="190"/>
      <c r="N22" s="187">
        <v>1</v>
      </c>
      <c r="O22" s="187">
        <v>2461.14</v>
      </c>
      <c r="P22" s="190">
        <v>0.7546870225607305</v>
      </c>
      <c r="T22" s="245" t="s">
        <v>705</v>
      </c>
      <c r="U22" s="190">
        <v>1.0899999999999999</v>
      </c>
      <c r="V22" s="190"/>
      <c r="W22" s="187">
        <v>1</v>
      </c>
      <c r="X22" s="187">
        <v>3742.5299999999993</v>
      </c>
      <c r="Y22" s="190">
        <v>1.739829976292558</v>
      </c>
    </row>
    <row r="23" spans="1:25" ht="30">
      <c r="A23" s="188" t="s">
        <v>176</v>
      </c>
      <c r="B23" s="187" t="s">
        <v>579</v>
      </c>
      <c r="C23" s="187"/>
      <c r="D23" s="187"/>
      <c r="E23" s="187"/>
      <c r="F23" s="187"/>
      <c r="K23" s="245" t="s">
        <v>684</v>
      </c>
      <c r="L23" s="190">
        <v>0.49</v>
      </c>
      <c r="M23" s="190"/>
      <c r="N23" s="187">
        <v>1</v>
      </c>
      <c r="O23" s="187">
        <v>1776.8849999999998</v>
      </c>
      <c r="P23" s="190">
        <v>0.55615008550512879</v>
      </c>
      <c r="T23" s="245" t="s">
        <v>660</v>
      </c>
      <c r="U23" s="190">
        <v>4.18</v>
      </c>
      <c r="V23" s="190">
        <v>33.6</v>
      </c>
      <c r="W23" s="187">
        <v>1</v>
      </c>
      <c r="X23" s="187">
        <v>13837.559999999998</v>
      </c>
      <c r="Y23" s="190">
        <v>4.8087821843475096</v>
      </c>
    </row>
    <row r="24" spans="1:25" ht="30">
      <c r="A24" s="187"/>
      <c r="B24" s="187"/>
      <c r="C24" s="187"/>
      <c r="D24" s="187"/>
      <c r="E24" s="187"/>
      <c r="F24" s="187"/>
      <c r="K24" s="245" t="s">
        <v>673</v>
      </c>
      <c r="L24" s="190">
        <v>0.15</v>
      </c>
      <c r="M24" s="190"/>
      <c r="N24" s="187">
        <v>1</v>
      </c>
      <c r="O24" s="187">
        <v>555.39</v>
      </c>
      <c r="P24" s="190">
        <v>0.16798182327088126</v>
      </c>
      <c r="T24" s="245" t="s">
        <v>321</v>
      </c>
      <c r="U24" s="190">
        <v>5.18</v>
      </c>
      <c r="V24" s="190">
        <v>3</v>
      </c>
      <c r="W24" s="187">
        <v>1</v>
      </c>
      <c r="X24" s="187">
        <v>5009</v>
      </c>
      <c r="Y24" s="190">
        <v>5.1989892273453071</v>
      </c>
    </row>
    <row r="25" spans="1:25" ht="60">
      <c r="A25" s="188" t="s">
        <v>346</v>
      </c>
      <c r="B25" s="187" t="s">
        <v>348</v>
      </c>
      <c r="C25" s="187" t="s">
        <v>349</v>
      </c>
      <c r="D25" s="187" t="s">
        <v>351</v>
      </c>
      <c r="E25" s="187" t="s">
        <v>792</v>
      </c>
      <c r="F25" s="187" t="s">
        <v>350</v>
      </c>
      <c r="K25" s="245" t="s">
        <v>674</v>
      </c>
      <c r="L25" s="190">
        <v>0.25</v>
      </c>
      <c r="M25" s="190"/>
      <c r="N25" s="187">
        <v>1</v>
      </c>
      <c r="O25" s="187">
        <v>1001.8799999999999</v>
      </c>
      <c r="P25" s="190">
        <v>0.28888399986471863</v>
      </c>
      <c r="T25" s="245" t="s">
        <v>711</v>
      </c>
      <c r="U25" s="190">
        <v>0.28000000000000003</v>
      </c>
      <c r="V25" s="190">
        <v>0</v>
      </c>
      <c r="W25" s="187">
        <v>1</v>
      </c>
      <c r="X25" s="187"/>
      <c r="Y25" s="190">
        <v>0.3</v>
      </c>
    </row>
    <row r="26" spans="1:25" ht="30">
      <c r="A26" s="189" t="s">
        <v>129</v>
      </c>
      <c r="B26" s="190">
        <v>32.066000000000003</v>
      </c>
      <c r="C26" s="190">
        <v>42.527999999999999</v>
      </c>
      <c r="D26" s="187">
        <v>4</v>
      </c>
      <c r="E26" s="187">
        <v>119179.33099999999</v>
      </c>
      <c r="F26" s="190">
        <v>36.759488758615049</v>
      </c>
      <c r="H26" s="236"/>
      <c r="K26" s="245" t="s">
        <v>676</v>
      </c>
      <c r="L26" s="190">
        <v>0.23</v>
      </c>
      <c r="M26" s="190"/>
      <c r="N26" s="187">
        <v>1</v>
      </c>
      <c r="O26" s="187">
        <v>842.15999999999985</v>
      </c>
      <c r="P26" s="190">
        <v>0.25643503275669782</v>
      </c>
      <c r="T26" s="189" t="s">
        <v>347</v>
      </c>
      <c r="U26" s="190">
        <v>28.444620799999999</v>
      </c>
      <c r="V26" s="190">
        <v>55.412500000000001</v>
      </c>
      <c r="W26" s="187">
        <v>18</v>
      </c>
      <c r="X26" s="187">
        <v>92505.39499999999</v>
      </c>
      <c r="Y26" s="190">
        <v>29.419270587407155</v>
      </c>
    </row>
    <row r="27" spans="1:25" ht="45">
      <c r="A27" s="245" t="s">
        <v>860</v>
      </c>
      <c r="B27" s="190">
        <v>3.9420000000000002</v>
      </c>
      <c r="C27" s="190">
        <v>7.2610000000000001</v>
      </c>
      <c r="D27" s="187">
        <v>1</v>
      </c>
      <c r="E27" s="187">
        <v>12763.06</v>
      </c>
      <c r="F27" s="190">
        <v>4.5153817229511697</v>
      </c>
      <c r="H27" s="236"/>
      <c r="K27" s="245" t="s">
        <v>681</v>
      </c>
      <c r="L27" s="190">
        <v>0.19</v>
      </c>
      <c r="M27" s="190"/>
      <c r="N27" s="187">
        <v>1</v>
      </c>
      <c r="O27" s="187">
        <v>731.44499999999982</v>
      </c>
      <c r="P27" s="190">
        <v>0.21612800931158441</v>
      </c>
    </row>
    <row r="28" spans="1:25" ht="30">
      <c r="A28" s="245" t="s">
        <v>322</v>
      </c>
      <c r="B28" s="190">
        <v>15.96</v>
      </c>
      <c r="C28" s="190">
        <v>16.25</v>
      </c>
      <c r="D28" s="187">
        <v>1</v>
      </c>
      <c r="E28" s="187">
        <v>61028</v>
      </c>
      <c r="F28" s="190">
        <v>20.820564142273287</v>
      </c>
      <c r="K28" s="245" t="s">
        <v>691</v>
      </c>
      <c r="L28" s="190">
        <v>0.31</v>
      </c>
      <c r="M28" s="190"/>
      <c r="N28" s="187">
        <v>1</v>
      </c>
      <c r="O28" s="187">
        <v>1194.2700000000002</v>
      </c>
      <c r="P28" s="190">
        <v>0.35507</v>
      </c>
    </row>
    <row r="29" spans="1:25" ht="45">
      <c r="A29" s="245" t="s">
        <v>918</v>
      </c>
      <c r="B29" s="190">
        <v>8.7279999999999998</v>
      </c>
      <c r="C29" s="190">
        <v>16.866999999999997</v>
      </c>
      <c r="D29" s="187">
        <v>1</v>
      </c>
      <c r="E29" s="187">
        <v>33149</v>
      </c>
      <c r="F29" s="190">
        <v>7.5494443445214765</v>
      </c>
      <c r="K29" s="245" t="s">
        <v>679</v>
      </c>
      <c r="L29" s="190">
        <v>0.26</v>
      </c>
      <c r="M29" s="190"/>
      <c r="N29" s="187">
        <v>1</v>
      </c>
      <c r="O29" s="187">
        <v>925.65000000000009</v>
      </c>
      <c r="P29" s="190">
        <v>0.28669482227259691</v>
      </c>
    </row>
    <row r="30" spans="1:25" ht="30">
      <c r="A30" s="245" t="s">
        <v>320</v>
      </c>
      <c r="B30" s="190">
        <v>3.4359999999999999</v>
      </c>
      <c r="C30" s="190">
        <v>2.15</v>
      </c>
      <c r="D30" s="187">
        <v>1</v>
      </c>
      <c r="E30" s="187">
        <v>12239.270999999999</v>
      </c>
      <c r="F30" s="190">
        <v>3.8740985488691142</v>
      </c>
      <c r="K30" s="245" t="s">
        <v>680</v>
      </c>
      <c r="L30" s="190">
        <v>0.2</v>
      </c>
      <c r="M30" s="190"/>
      <c r="N30" s="187">
        <v>1</v>
      </c>
      <c r="O30" s="187">
        <v>707.85</v>
      </c>
      <c r="P30" s="190">
        <v>0.22002600418693549</v>
      </c>
    </row>
    <row r="31" spans="1:25">
      <c r="A31" s="189" t="s">
        <v>132</v>
      </c>
      <c r="B31" s="190">
        <v>4.8540000000000001</v>
      </c>
      <c r="C31" s="190">
        <v>3.0629999999999997</v>
      </c>
      <c r="D31" s="187">
        <v>2</v>
      </c>
      <c r="E31" s="187">
        <v>24131.78</v>
      </c>
      <c r="F31" s="190">
        <v>3.3693399449379124</v>
      </c>
      <c r="K31" s="245" t="s">
        <v>678</v>
      </c>
      <c r="L31" s="190">
        <v>0.05</v>
      </c>
      <c r="M31" s="190"/>
      <c r="N31" s="187">
        <v>1</v>
      </c>
      <c r="O31" s="187">
        <v>208.72499999999999</v>
      </c>
      <c r="P31" s="190">
        <v>5.8712510300386399E-2</v>
      </c>
    </row>
    <row r="32" spans="1:25" ht="30">
      <c r="A32" s="245" t="s">
        <v>919</v>
      </c>
      <c r="B32" s="190">
        <v>3.024</v>
      </c>
      <c r="C32" s="190">
        <v>2.3929999999999998</v>
      </c>
      <c r="D32" s="187">
        <v>1</v>
      </c>
      <c r="E32" s="187">
        <v>10846</v>
      </c>
      <c r="F32" s="190">
        <v>2.4580000000000002</v>
      </c>
      <c r="K32" s="245" t="s">
        <v>677</v>
      </c>
      <c r="L32" s="190">
        <v>0.09</v>
      </c>
      <c r="M32" s="190"/>
      <c r="N32" s="187">
        <v>1</v>
      </c>
      <c r="O32" s="187">
        <v>339.40499999999997</v>
      </c>
      <c r="P32" s="190">
        <v>0.10153040974880101</v>
      </c>
    </row>
    <row r="33" spans="1:16" ht="45">
      <c r="A33" s="245" t="s">
        <v>784</v>
      </c>
      <c r="B33" s="190">
        <v>1.83</v>
      </c>
      <c r="C33" s="190">
        <v>0.67</v>
      </c>
      <c r="D33" s="187">
        <v>1</v>
      </c>
      <c r="E33" s="187">
        <v>13285.78</v>
      </c>
      <c r="F33" s="190">
        <v>0.91133994493791215</v>
      </c>
      <c r="K33" s="245" t="s">
        <v>671</v>
      </c>
      <c r="L33" s="190">
        <v>0.33</v>
      </c>
      <c r="M33" s="190"/>
      <c r="N33" s="187">
        <v>1</v>
      </c>
      <c r="O33" s="187">
        <v>1185.1949999999999</v>
      </c>
      <c r="P33" s="190">
        <v>0.3651341743777638</v>
      </c>
    </row>
    <row r="34" spans="1:16" ht="30">
      <c r="A34" s="189" t="s">
        <v>347</v>
      </c>
      <c r="B34" s="190">
        <v>36.92</v>
      </c>
      <c r="C34" s="190">
        <v>45.591000000000001</v>
      </c>
      <c r="D34" s="187">
        <v>6</v>
      </c>
      <c r="E34" s="187">
        <v>143311.111</v>
      </c>
      <c r="F34" s="190">
        <v>40.128828703552962</v>
      </c>
      <c r="K34" s="245" t="s">
        <v>692</v>
      </c>
      <c r="L34" s="190">
        <v>0.91</v>
      </c>
      <c r="M34" s="190"/>
      <c r="N34" s="187">
        <v>1</v>
      </c>
      <c r="O34" s="187">
        <v>3154.4700000000003</v>
      </c>
      <c r="P34" s="190">
        <v>1.0319888905960373</v>
      </c>
    </row>
    <row r="35" spans="1:16" ht="30">
      <c r="K35" s="245" t="s">
        <v>700</v>
      </c>
      <c r="L35" s="190">
        <v>0.13</v>
      </c>
      <c r="M35" s="190"/>
      <c r="N35" s="187">
        <v>1</v>
      </c>
      <c r="O35" s="187">
        <v>606.20999999999992</v>
      </c>
      <c r="P35" s="190">
        <v>0.14571766442955564</v>
      </c>
    </row>
    <row r="36" spans="1:16" ht="30">
      <c r="K36" s="245" t="s">
        <v>683</v>
      </c>
      <c r="L36" s="190">
        <v>0.23</v>
      </c>
      <c r="M36" s="190"/>
      <c r="N36" s="187">
        <v>1</v>
      </c>
      <c r="O36" s="187">
        <v>836.71499999999992</v>
      </c>
      <c r="P36" s="190">
        <v>0.26136102173232645</v>
      </c>
    </row>
    <row r="37" spans="1:16">
      <c r="K37" s="245" t="s">
        <v>682</v>
      </c>
      <c r="L37" s="190">
        <v>0.23</v>
      </c>
      <c r="M37" s="190"/>
      <c r="N37" s="187">
        <v>1</v>
      </c>
      <c r="O37" s="187">
        <v>836.71499999999992</v>
      </c>
      <c r="P37" s="190">
        <v>0.26136102173232645</v>
      </c>
    </row>
    <row r="38" spans="1:16" ht="30">
      <c r="K38" s="245" t="s">
        <v>688</v>
      </c>
      <c r="L38" s="190">
        <v>0.21000000000000002</v>
      </c>
      <c r="M38" s="190"/>
      <c r="N38" s="187">
        <v>1</v>
      </c>
      <c r="O38" s="187">
        <v>860.31000000000006</v>
      </c>
      <c r="P38" s="190">
        <v>0.24957000000000001</v>
      </c>
    </row>
    <row r="39" spans="1:16">
      <c r="K39" s="245" t="s">
        <v>685</v>
      </c>
      <c r="L39" s="190">
        <v>0.81</v>
      </c>
      <c r="M39" s="190"/>
      <c r="N39" s="187">
        <v>1</v>
      </c>
      <c r="O39" s="187">
        <v>2953.0050000000001</v>
      </c>
      <c r="P39" s="190">
        <v>0.92118126866424621</v>
      </c>
    </row>
    <row r="40" spans="1:16">
      <c r="K40" s="245" t="s">
        <v>687</v>
      </c>
      <c r="L40" s="190">
        <v>0.43000000000000005</v>
      </c>
      <c r="M40" s="190"/>
      <c r="N40" s="187">
        <v>1</v>
      </c>
      <c r="O40" s="187">
        <v>1613.5350000000001</v>
      </c>
      <c r="P40" s="190">
        <v>0.49436307633423443</v>
      </c>
    </row>
    <row r="41" spans="1:16">
      <c r="K41" s="245" t="s">
        <v>686</v>
      </c>
      <c r="L41" s="190">
        <v>0.43</v>
      </c>
      <c r="M41" s="190"/>
      <c r="N41" s="187">
        <v>1</v>
      </c>
      <c r="O41" s="187">
        <v>1644.3899999999999</v>
      </c>
      <c r="P41" s="190">
        <v>0.49794548606042977</v>
      </c>
    </row>
    <row r="42" spans="1:16" ht="30">
      <c r="K42" s="245" t="s">
        <v>693</v>
      </c>
      <c r="L42" s="190">
        <v>0.05</v>
      </c>
      <c r="M42" s="190"/>
      <c r="N42" s="187">
        <v>1</v>
      </c>
      <c r="O42" s="187"/>
      <c r="P42" s="190">
        <v>0.06</v>
      </c>
    </row>
    <row r="43" spans="1:16" ht="30">
      <c r="K43" s="245" t="s">
        <v>689</v>
      </c>
      <c r="L43" s="190">
        <v>0.19</v>
      </c>
      <c r="M43" s="190"/>
      <c r="N43" s="187">
        <v>1</v>
      </c>
      <c r="O43" s="187"/>
      <c r="P43" s="190">
        <v>0.21</v>
      </c>
    </row>
    <row r="44" spans="1:16" ht="30">
      <c r="K44" s="245" t="s">
        <v>654</v>
      </c>
      <c r="L44" s="190">
        <v>0.6</v>
      </c>
      <c r="M44" s="190"/>
      <c r="N44" s="187">
        <v>1</v>
      </c>
      <c r="O44" s="187">
        <v>2141.6999999999998</v>
      </c>
      <c r="P44" s="190">
        <v>0.49857058495268358</v>
      </c>
    </row>
    <row r="45" spans="1:16" ht="60">
      <c r="K45" s="245" t="s">
        <v>665</v>
      </c>
      <c r="L45" s="190">
        <v>7.86</v>
      </c>
      <c r="M45" s="190"/>
      <c r="N45" s="187">
        <v>1</v>
      </c>
      <c r="O45" s="187">
        <v>28096.199999999997</v>
      </c>
      <c r="P45" s="190">
        <v>8.8736578534528245</v>
      </c>
    </row>
    <row r="46" spans="1:16">
      <c r="K46" s="189" t="s">
        <v>132</v>
      </c>
      <c r="L46" s="190">
        <v>0.17</v>
      </c>
      <c r="M46" s="190">
        <v>0</v>
      </c>
      <c r="N46" s="187">
        <v>1</v>
      </c>
      <c r="O46" s="187"/>
      <c r="P46" s="190">
        <v>0.14000000000000001</v>
      </c>
    </row>
    <row r="47" spans="1:16" ht="30">
      <c r="K47" s="245" t="s">
        <v>650</v>
      </c>
      <c r="L47" s="190">
        <v>0.17</v>
      </c>
      <c r="M47" s="190">
        <v>0</v>
      </c>
      <c r="N47" s="187">
        <v>1</v>
      </c>
      <c r="O47" s="187"/>
      <c r="P47" s="190">
        <v>0.14000000000000001</v>
      </c>
    </row>
    <row r="48" spans="1:16">
      <c r="K48" s="189" t="s">
        <v>347</v>
      </c>
      <c r="L48" s="190">
        <v>19.970000000000006</v>
      </c>
      <c r="M48" s="190">
        <v>0</v>
      </c>
      <c r="N48" s="187">
        <v>39</v>
      </c>
      <c r="O48" s="187">
        <v>71403.914999999979</v>
      </c>
      <c r="P48" s="190">
        <v>22.312565571158686</v>
      </c>
    </row>
  </sheetData>
  <pageMargins left="0.7" right="0.7" top="0.75" bottom="0.75" header="0.3" footer="0.3"/>
  <pageSetup orientation="portrait" r:id="rId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0B350F-8E05-4671-90B2-ED885367D4BD}">
  <dimension ref="A1:I28"/>
  <sheetViews>
    <sheetView zoomScaleNormal="100" workbookViewId="0">
      <selection activeCell="B31" sqref="B31"/>
    </sheetView>
  </sheetViews>
  <sheetFormatPr defaultColWidth="9.140625" defaultRowHeight="12.75"/>
  <cols>
    <col min="1" max="1" width="27.85546875" style="17" customWidth="1"/>
    <col min="2" max="2" width="15.85546875" style="17" customWidth="1"/>
    <col min="3" max="3" width="12.5703125" style="17" bestFit="1" customWidth="1"/>
    <col min="4" max="4" width="15.5703125" style="17" customWidth="1"/>
    <col min="5" max="5" width="16.42578125" style="17" bestFit="1" customWidth="1"/>
    <col min="6" max="6" width="9.7109375" style="17" bestFit="1" customWidth="1"/>
    <col min="7" max="7" width="15" style="17" bestFit="1" customWidth="1"/>
    <col min="8" max="8" width="10.42578125" style="17" customWidth="1"/>
    <col min="9" max="16384" width="9.140625" style="17"/>
  </cols>
  <sheetData>
    <row r="1" spans="1:9">
      <c r="A1" s="17" t="s">
        <v>599</v>
      </c>
    </row>
    <row r="2" spans="1:9">
      <c r="A2" s="195" t="s">
        <v>884</v>
      </c>
    </row>
    <row r="3" spans="1:9">
      <c r="A3" s="257" t="s">
        <v>928</v>
      </c>
    </row>
    <row r="4" spans="1:9" ht="25.9" customHeight="1">
      <c r="A4" s="200" t="s">
        <v>896</v>
      </c>
      <c r="B4" s="200" t="s">
        <v>897</v>
      </c>
      <c r="C4" s="200" t="s">
        <v>123</v>
      </c>
      <c r="D4" s="200" t="s">
        <v>898</v>
      </c>
      <c r="E4" s="200" t="s">
        <v>899</v>
      </c>
      <c r="F4" s="200" t="s">
        <v>900</v>
      </c>
      <c r="G4" s="200" t="s">
        <v>901</v>
      </c>
      <c r="H4" s="200" t="s">
        <v>902</v>
      </c>
      <c r="I4" s="200" t="s">
        <v>903</v>
      </c>
    </row>
    <row r="5" spans="1:9" ht="48">
      <c r="A5" s="246" t="str">
        <f>'Completed Pivot Summaries'!A8</f>
        <v>Acorn Circle cul-de-sac retrofit - impervious removal</v>
      </c>
      <c r="B5" s="246" t="s">
        <v>567</v>
      </c>
      <c r="C5" s="202" t="s">
        <v>129</v>
      </c>
      <c r="D5" s="246" t="s">
        <v>905</v>
      </c>
      <c r="E5" s="248">
        <f>-0.06</f>
        <v>-0.06</v>
      </c>
      <c r="F5" s="248">
        <v>0.06</v>
      </c>
      <c r="G5" s="249">
        <f>GETPIVOTDATA("Sum of Storage volume (ft3)",'Completed Pivot Summaries'!$A$2,"Project Name","Acorn Circle cul-de-sac retrofit - impervious removal")</f>
        <v>0</v>
      </c>
      <c r="H5" s="248">
        <f>GETPIVOTDATA("Sum of * P Credit (kg/yr)",'Completed Pivot Summaries'!$A$2,"Project Name","Acorn Circle cul-de-sac retrofit - impervious removal")</f>
        <v>0.03</v>
      </c>
      <c r="I5" s="252">
        <f>H5/'Total Pivot Summaries'!$F$4</f>
        <v>1.3276740941788449E-3</v>
      </c>
    </row>
    <row r="6" spans="1:9" ht="36">
      <c r="A6" s="246" t="str">
        <f>'Completed Pivot Summaries'!A9</f>
        <v>Acorn Circle cul-de-sac retrofit - media filter with specialized media</v>
      </c>
      <c r="B6" s="246" t="s">
        <v>563</v>
      </c>
      <c r="C6" s="202" t="s">
        <v>129</v>
      </c>
      <c r="D6" s="246" t="s">
        <v>906</v>
      </c>
      <c r="E6" s="248">
        <f>GETPIVOTDATA("Sum of Impervious area  (acres)",'Completed Pivot Summaries'!$A$2,"Project Name","Acorn Circle cul-de-sac retrofit - media filter with specialized media")</f>
        <v>0.70399999999999996</v>
      </c>
      <c r="F6" s="202">
        <f>GETPIVOTDATA("Sum of Total Pervious area (acres) ",'Completed Pivot Summaries'!$A$2,"Project Name","Acorn Circle cul-de-sac retrofit - media filter with specialized media")</f>
        <v>1.1020000000000001</v>
      </c>
      <c r="G6" s="249">
        <f>GETPIVOTDATA("Sum of Storage volume (ft3)",'Completed Pivot Summaries'!$A$2,"Project Name","Acorn Circle cul-de-sac retrofit - media filter with specialized media")</f>
        <v>3613</v>
      </c>
      <c r="H6" s="248">
        <f>GETPIVOTDATA("Sum of * P Credit (kg/yr)",'Completed Pivot Summaries'!$A$2,"Project Name","Acorn Circle cul-de-sac retrofit - media filter with specialized media")</f>
        <v>0.93683699999999992</v>
      </c>
      <c r="I6" s="253">
        <f>H6/'Total Pivot Summaries'!$F$4</f>
        <v>4.1460473845607547E-2</v>
      </c>
    </row>
    <row r="7" spans="1:9">
      <c r="A7" s="202" t="str">
        <f>'Completed Pivot Summaries'!A10</f>
        <v>Village Walk POI 1</v>
      </c>
      <c r="B7" s="202" t="s">
        <v>638</v>
      </c>
      <c r="C7" s="202" t="s">
        <v>129</v>
      </c>
      <c r="D7" s="202" t="s">
        <v>212</v>
      </c>
      <c r="E7" s="202">
        <f>GETPIVOTDATA("Sum of Impervious area  (acres)",'Completed Pivot Summaries'!$A$2,"Project Name","Village Walk POI 1")</f>
        <v>3.32</v>
      </c>
      <c r="F7" s="202">
        <f>GETPIVOTDATA("Sum of Total Pervious area (acres) ",'Completed Pivot Summaries'!$A$2,"Project Name","Village Walk POI 1")</f>
        <v>6.2199999999999989</v>
      </c>
      <c r="G7" s="249">
        <f>GETPIVOTDATA("Sum of Storage volume (ft3)",'Completed Pivot Summaries'!$A$2,"Project Name","Village Walk POI 1")</f>
        <v>26586</v>
      </c>
      <c r="H7" s="248">
        <f>GETPIVOTDATA("Sum of * P Credit (kg/yr)",'Completed Pivot Summaries'!$A$2,"Project Name","Village Walk POI 1")</f>
        <v>5.1060824986970692</v>
      </c>
      <c r="I7" s="254">
        <f>H7/'Total Pivot Summaries'!$F$4</f>
        <v>0.22597378187533612</v>
      </c>
    </row>
    <row r="8" spans="1:9">
      <c r="A8" s="202" t="str">
        <f>'Completed Pivot Summaries'!A11</f>
        <v>Village Walk POI 2</v>
      </c>
      <c r="B8" s="202" t="s">
        <v>638</v>
      </c>
      <c r="C8" s="202" t="s">
        <v>129</v>
      </c>
      <c r="D8" s="202" t="s">
        <v>212</v>
      </c>
      <c r="E8" s="248">
        <f>GETPIVOTDATA("Sum of Impervious area  (acres)",'Completed Pivot Summaries'!$A$2,"Project Name","Village Walk POI 2")</f>
        <v>0.63</v>
      </c>
      <c r="F8" s="202">
        <f>GETPIVOTDATA("Sum of Total Pervious area (acres) ",'Completed Pivot Summaries'!$A$2,"Project Name","Village Walk POI 2")</f>
        <v>1.23</v>
      </c>
      <c r="G8" s="249">
        <f>GETPIVOTDATA("Sum of Storage volume (ft3)",'Completed Pivot Summaries'!$A$2,"Project Name","Village Walk POI 2")</f>
        <v>12803</v>
      </c>
      <c r="H8" s="248">
        <f>GETPIVOTDATA("Sum of * P Credit (kg/yr)",'Completed Pivot Summaries'!$A$2,"Project Name","Village Walk POI 2")</f>
        <v>0.98783999999999994</v>
      </c>
      <c r="I8" s="253">
        <f>H8/'Total Pivot Summaries'!$F$4</f>
        <v>4.3717652573120998E-2</v>
      </c>
    </row>
    <row r="9" spans="1:9" ht="14.45" customHeight="1">
      <c r="A9" s="202" t="str">
        <f>'Completed Pivot Summaries'!A12</f>
        <v>Village Walk POI 3</v>
      </c>
      <c r="B9" s="202" t="s">
        <v>638</v>
      </c>
      <c r="C9" s="202" t="s">
        <v>129</v>
      </c>
      <c r="D9" s="202" t="s">
        <v>212</v>
      </c>
      <c r="E9" s="248">
        <f>GETPIVOTDATA("Sum of Impervious area  (acres)",'Completed Pivot Summaries'!$A$2,"Project Name","Village Walk POI 3")</f>
        <v>0.32</v>
      </c>
      <c r="F9" s="202">
        <f>GETPIVOTDATA("Sum of Total Pervious area (acres) ",'Completed Pivot Summaries'!$A$2,"Project Name","Village Walk POI 3")</f>
        <v>0.96</v>
      </c>
      <c r="G9" s="249">
        <f>GETPIVOTDATA("Sum of Storage volume (ft3)",'Completed Pivot Summaries'!$A$2,"Project Name","Village Walk POI 3")</f>
        <v>6849</v>
      </c>
      <c r="H9" s="248">
        <f>GETPIVOTDATA("Sum of * P Credit (kg/yr)",'Completed Pivot Summaries'!$A$2,"Project Name","Village Walk POI 3")</f>
        <v>0.57919999999999994</v>
      </c>
      <c r="I9" s="253">
        <f>H9/'Total Pivot Summaries'!$F$4</f>
        <v>2.563296117827956E-2</v>
      </c>
    </row>
    <row r="10" spans="1:9">
      <c r="A10" s="202"/>
      <c r="B10" s="202"/>
      <c r="C10" s="247" t="s">
        <v>904</v>
      </c>
      <c r="D10" s="202"/>
      <c r="E10" s="247">
        <f>SUM(E5:E9)</f>
        <v>4.9139999999999997</v>
      </c>
      <c r="F10" s="247">
        <f>SUM(F5:F9)</f>
        <v>9.5719999999999992</v>
      </c>
      <c r="G10" s="251">
        <f t="shared" ref="G10:H10" si="0">SUM(G5:G9)</f>
        <v>49851</v>
      </c>
      <c r="H10" s="247">
        <f t="shared" si="0"/>
        <v>7.6399594986970696</v>
      </c>
      <c r="I10" s="255">
        <f>H10/'Total Pivot Summaries'!$F$4</f>
        <v>0.33811254356652309</v>
      </c>
    </row>
    <row r="11" spans="1:9" ht="24">
      <c r="A11" s="202" t="str">
        <f>'Completed Pivot Summaries'!A14</f>
        <v>5 Corners North</v>
      </c>
      <c r="B11" s="202" t="s">
        <v>353</v>
      </c>
      <c r="C11" s="202" t="s">
        <v>132</v>
      </c>
      <c r="D11" s="246" t="s">
        <v>794</v>
      </c>
      <c r="E11" s="248">
        <f>GETPIVOTDATA("Sum of Impervious area  (acres)",'Completed Pivot Summaries'!$A$2,"Project Name","5 Corners North")</f>
        <v>13.891233</v>
      </c>
      <c r="F11" s="202">
        <f>GETPIVOTDATA("Sum of Total Pervious area (acres) ",'Completed Pivot Summaries'!$A$2,"Project Name","5 Corners North")</f>
        <v>16.998767000000001</v>
      </c>
      <c r="G11" s="249">
        <f>GETPIVOTDATA("Sum of Storage volume (ft3)",'Completed Pivot Summaries'!$A$2,"Project Name","5 Corners North")</f>
        <v>11891.880000000001</v>
      </c>
      <c r="H11" s="248">
        <f>GETPIVOTDATA("Sum of * P Credit (kg/yr)",'Completed Pivot Summaries'!$A$2,"Project Name","5 Corners North")</f>
        <v>0.72119677396846216</v>
      </c>
      <c r="I11" s="253">
        <f>H11/'Total Pivot Summaries'!$F$3</f>
        <v>7.900744817856338E-2</v>
      </c>
    </row>
    <row r="12" spans="1:9">
      <c r="A12" s="202" t="str">
        <f>'Completed Pivot Summaries'!A15</f>
        <v>Fairview Drive/Main St Gravel Wetland</v>
      </c>
      <c r="B12" s="202" t="s">
        <v>907</v>
      </c>
      <c r="C12" s="202" t="s">
        <v>132</v>
      </c>
      <c r="D12" s="202" t="s">
        <v>46</v>
      </c>
      <c r="E12" s="248">
        <f>GETPIVOTDATA("Sum of Impervious area  (acres)",'Completed Pivot Summaries'!$A$2,"Project Name","Fairview Drive/Main St Gravel Wetland")</f>
        <v>3.75</v>
      </c>
      <c r="F12" s="202">
        <f>GETPIVOTDATA("Sum of Total Pervious area (acres) ",'Completed Pivot Summaries'!$A$2,"Project Name","Fairview Drive/Main St Gravel Wetland")</f>
        <v>18.77</v>
      </c>
      <c r="G12" s="249">
        <f>GETPIVOTDATA("Sum of Storage volume (ft3)",'Completed Pivot Summaries'!$A$2,"Project Name","Fairview Drive/Main St Gravel Wetland")</f>
        <v>40800</v>
      </c>
      <c r="H12" s="248">
        <f>GETPIVOTDATA("Sum of * P Credit (kg/yr)",'Completed Pivot Summaries'!$A$2,"Project Name","Fairview Drive/Main St Gravel Wetland")</f>
        <v>2.0642029681890994</v>
      </c>
      <c r="I12" s="254">
        <f>H12/'Total Pivot Summaries'!$F$3</f>
        <v>0.22613441286187558</v>
      </c>
    </row>
    <row r="13" spans="1:9">
      <c r="A13" s="202" t="str">
        <f>'Completed Pivot Summaries'!A16</f>
        <v>Mansfield Brickyard Gravel Wetland</v>
      </c>
      <c r="B13" s="202" t="s">
        <v>771</v>
      </c>
      <c r="C13" s="202" t="s">
        <v>132</v>
      </c>
      <c r="D13" s="202" t="s">
        <v>46</v>
      </c>
      <c r="E13" s="248">
        <f>GETPIVOTDATA("Sum of Impervious area  (acres)",'Completed Pivot Summaries'!$A$2,"Project Name","Mansfield Brickyard Gravel Wetland")</f>
        <v>11.39</v>
      </c>
      <c r="F13" s="202">
        <f>GETPIVOTDATA("Sum of Total Pervious area (acres) ",'Completed Pivot Summaries'!$A$2,"Project Name","Mansfield Brickyard Gravel Wetland")</f>
        <v>6.28</v>
      </c>
      <c r="G13" s="249">
        <f>GETPIVOTDATA("Sum of Storage volume (ft3)",'Completed Pivot Summaries'!$A$2,"Project Name","Mansfield Brickyard Gravel Wetland")</f>
        <v>70153</v>
      </c>
      <c r="H13" s="248">
        <f>GETPIVOTDATA("Sum of * P Credit (kg/yr)",'Completed Pivot Summaries'!$A$2,"Project Name","Mansfield Brickyard Gravel Wetland")</f>
        <v>6.0787528322238584</v>
      </c>
      <c r="I13" s="254">
        <f>H13/'Total Pivot Summaries'!$F$3</f>
        <v>0.66593025193319</v>
      </c>
    </row>
    <row r="14" spans="1:9" ht="24">
      <c r="A14" s="202" t="str">
        <f>'Completed Pivot Summaries'!A17</f>
        <v>Taft Street S/N 001</v>
      </c>
      <c r="B14" s="202" t="s">
        <v>635</v>
      </c>
      <c r="C14" s="202" t="s">
        <v>132</v>
      </c>
      <c r="D14" s="246" t="s">
        <v>908</v>
      </c>
      <c r="E14" s="248">
        <f>GETPIVOTDATA("Sum of Impervious area  (acres)",'Completed Pivot Summaries'!$A$2,"Project Name","Taft Street S/N 001")</f>
        <v>0.48</v>
      </c>
      <c r="F14" s="202">
        <f>GETPIVOTDATA("Sum of Total Pervious area (acres) ",'Completed Pivot Summaries'!$A$2,"Project Name","Taft Street S/N 001")</f>
        <v>1.02</v>
      </c>
      <c r="G14" s="249">
        <f>GETPIVOTDATA("Sum of Storage volume (ft3)",'Completed Pivot Summaries'!$A$2,"Project Name","Taft Street S/N 001")</f>
        <v>3528</v>
      </c>
      <c r="H14" s="248">
        <f>GETPIVOTDATA("Sum of * P Credit (kg/yr)",'Completed Pivot Summaries'!$A$2,"Project Name","Taft Street S/N 001")</f>
        <v>0.22402252344248819</v>
      </c>
      <c r="I14" s="253">
        <f>H14/'Total Pivot Summaries'!$F$3</f>
        <v>2.4541773549984543E-2</v>
      </c>
    </row>
    <row r="15" spans="1:9" ht="24">
      <c r="A15" s="202" t="str">
        <f>'Completed Pivot Summaries'!A18</f>
        <v>Taft Street S/N 002</v>
      </c>
      <c r="B15" s="202" t="s">
        <v>635</v>
      </c>
      <c r="C15" s="202" t="s">
        <v>132</v>
      </c>
      <c r="D15" s="246" t="s">
        <v>908</v>
      </c>
      <c r="E15" s="248">
        <f>GETPIVOTDATA("Sum of Impervious area  (acres)",'Completed Pivot Summaries'!$A$2,"Project Name","Taft Street S/N 002")</f>
        <v>0.54</v>
      </c>
      <c r="F15" s="202">
        <f>GETPIVOTDATA("Sum of Total Pervious area (acres) ",'Completed Pivot Summaries'!$A$2,"Project Name","Taft Street S/N 002")</f>
        <v>0.96</v>
      </c>
      <c r="G15" s="249">
        <f>GETPIVOTDATA("Sum of Storage volume (ft3)",'Completed Pivot Summaries'!$A$2,"Project Name","Taft Street S/N 002")</f>
        <v>2090</v>
      </c>
      <c r="H15" s="248">
        <f>GETPIVOTDATA("Sum of * P Credit (kg/yr)",'Completed Pivot Summaries'!$A$2,"Project Name","Taft Street S/N 002")</f>
        <v>0.21657426927547577</v>
      </c>
      <c r="I15" s="253">
        <f>H15/'Total Pivot Summaries'!$F$3</f>
        <v>2.3725813778169569E-2</v>
      </c>
    </row>
    <row r="16" spans="1:9">
      <c r="A16" s="256"/>
      <c r="B16" s="256"/>
      <c r="C16" s="247" t="s">
        <v>909</v>
      </c>
      <c r="D16" s="202"/>
      <c r="E16" s="247">
        <f>SUM(E11:E15)</f>
        <v>30.051233</v>
      </c>
      <c r="F16" s="247">
        <f>SUM(F11:F15)</f>
        <v>44.028767000000002</v>
      </c>
      <c r="G16" s="251">
        <f t="shared" ref="G16" si="1">SUM(G11:G15)</f>
        <v>128462.88</v>
      </c>
      <c r="H16" s="247">
        <f t="shared" ref="H16" si="2">SUM(H11:H15)</f>
        <v>9.3047493670993831</v>
      </c>
      <c r="I16" s="255">
        <f>H16/'Total Pivot Summaries'!$F$3</f>
        <v>1.019339700301783</v>
      </c>
    </row>
    <row r="21" spans="1:9">
      <c r="A21" s="258" t="s">
        <v>929</v>
      </c>
      <c r="E21" s="250"/>
    </row>
    <row r="22" spans="1:9" ht="25.5">
      <c r="A22" s="200" t="s">
        <v>896</v>
      </c>
      <c r="B22" s="200" t="s">
        <v>897</v>
      </c>
      <c r="C22" s="200" t="s">
        <v>123</v>
      </c>
      <c r="D22" s="200" t="s">
        <v>898</v>
      </c>
      <c r="E22" s="200" t="s">
        <v>899</v>
      </c>
      <c r="F22" s="200" t="s">
        <v>900</v>
      </c>
      <c r="G22" s="200" t="s">
        <v>901</v>
      </c>
      <c r="H22" s="200" t="s">
        <v>902</v>
      </c>
      <c r="I22" s="200" t="s">
        <v>903</v>
      </c>
    </row>
    <row r="23" spans="1:9" ht="24">
      <c r="A23" s="246" t="str">
        <f>'Design Pivot Summaries'!A8</f>
        <v>Hiawatha Infiltration Gallery Retrofit</v>
      </c>
      <c r="B23" s="246"/>
      <c r="C23" s="202" t="s">
        <v>129</v>
      </c>
      <c r="D23" s="246" t="s">
        <v>164</v>
      </c>
      <c r="E23" s="202">
        <f>GETPIVOTDATA("Sum of Impervious area  (acres)",'Design Pivot Summaries'!A2,"Project Name","Hiawatha Infiltration Gallery Retrofit")</f>
        <v>11.71</v>
      </c>
      <c r="F23" s="202">
        <f>GETPIVOTDATA("Sum of Total Pervious area (acres) ",'Design Pivot Summaries'!$A$2,"Project Name","Hiawatha Infiltration Gallery Retrofit")</f>
        <v>20.88</v>
      </c>
      <c r="G23" s="249">
        <f>GETPIVOTDATA("Sum of Storage volume (ft3)",'Design Pivot Summaries'!$A$2,"Project Name","Hiawatha Infiltration Gallery Retrofit")</f>
        <v>14244</v>
      </c>
      <c r="H23" s="202">
        <f>GETPIVOTDATA("Sum of * P Credit (kg/yr)",'Design Pivot Summaries'!$A$2,"Project Name","Hiawatha Infiltration Gallery Retrofit")</f>
        <v>11.840355156235091</v>
      </c>
      <c r="I23" s="254">
        <f>H23/'Total Pivot Summaries'!$F$4</f>
        <v>0.52400442689367466</v>
      </c>
    </row>
    <row r="24" spans="1:9">
      <c r="A24" s="202"/>
      <c r="B24" s="202"/>
      <c r="C24" s="247" t="s">
        <v>904</v>
      </c>
      <c r="D24" s="202"/>
      <c r="E24" s="247">
        <f>SUM(E23:E23)</f>
        <v>11.71</v>
      </c>
      <c r="F24" s="247">
        <f>SUM(F23:F23)</f>
        <v>20.88</v>
      </c>
      <c r="G24" s="251">
        <f>SUM(G23:G23)</f>
        <v>14244</v>
      </c>
      <c r="H24" s="247">
        <f>SUM(H23:H23)</f>
        <v>11.840355156235091</v>
      </c>
      <c r="I24" s="255">
        <f>H24/'Total Pivot Summaries'!$F$4</f>
        <v>0.52400442689367466</v>
      </c>
    </row>
    <row r="25" spans="1:9" ht="36">
      <c r="A25" s="246" t="str">
        <f>'Design Pivot Summaries'!A10</f>
        <v>Countryside Cluster Homes A,B,C and Essex Parks East and West</v>
      </c>
      <c r="B25" s="202" t="s">
        <v>915</v>
      </c>
      <c r="C25" s="202" t="s">
        <v>132</v>
      </c>
      <c r="D25" s="246" t="s">
        <v>215</v>
      </c>
      <c r="E25" s="202">
        <f>GETPIVOTDATA("Sum of Impervious area  (acres)",'Completed Pivot Summaries'!$A$2,"Project Name","5 Corners North")</f>
        <v>13.891233</v>
      </c>
      <c r="F25" s="202">
        <f>GETPIVOTDATA("Sum of Total Pervious area (acres) ",'Completed Pivot Summaries'!$A$2,"Project Name","5 Corners North")</f>
        <v>16.998767000000001</v>
      </c>
      <c r="G25" s="249">
        <f>GETPIVOTDATA("Sum of Storage volume (ft3)",'Completed Pivot Summaries'!$A$2,"Project Name","5 Corners North")</f>
        <v>11891.880000000001</v>
      </c>
      <c r="H25" s="248">
        <f>GETPIVOTDATA("Sum of * P Credit (kg/yr)",'Completed Pivot Summaries'!$A$2,"Project Name","5 Corners North")</f>
        <v>0.72119677396846216</v>
      </c>
      <c r="I25" s="253">
        <f>H25/'Total Pivot Summaries'!$F$3</f>
        <v>7.900744817856338E-2</v>
      </c>
    </row>
    <row r="26" spans="1:9">
      <c r="A26" s="202" t="str">
        <f>'Design Pivot Summaries'!A11</f>
        <v>Countryside Dr Intersection</v>
      </c>
      <c r="B26" s="202" t="s">
        <v>916</v>
      </c>
      <c r="C26" s="202" t="s">
        <v>132</v>
      </c>
      <c r="D26" s="202" t="s">
        <v>164</v>
      </c>
      <c r="E26" s="248">
        <f>GETPIVOTDATA("Sum of Impervious area  (acres)",'Completed Pivot Summaries'!$A$2,"Project Name","Fairview Drive/Main St Gravel Wetland")</f>
        <v>3.75</v>
      </c>
      <c r="F26" s="202">
        <f>GETPIVOTDATA("Sum of Total Pervious area (acres) ",'Completed Pivot Summaries'!$A$2,"Project Name","Fairview Drive/Main St Gravel Wetland")</f>
        <v>18.77</v>
      </c>
      <c r="G26" s="249">
        <f>GETPIVOTDATA("Sum of Storage volume (ft3)",'Completed Pivot Summaries'!$A$2,"Project Name","Fairview Drive/Main St Gravel Wetland")</f>
        <v>40800</v>
      </c>
      <c r="H26" s="202">
        <f>GETPIVOTDATA("Sum of * P Credit (kg/yr)",'Completed Pivot Summaries'!$A$2,"Project Name","Fairview Drive/Main St Gravel Wetland")</f>
        <v>2.0642029681890994</v>
      </c>
      <c r="I26" s="254">
        <f>H26/'Total Pivot Summaries'!$F$3</f>
        <v>0.22613441286187558</v>
      </c>
    </row>
    <row r="27" spans="1:9">
      <c r="A27" s="202" t="str">
        <f>'Design Pivot Summaries'!A12</f>
        <v>Grove St.</v>
      </c>
      <c r="B27" s="202" t="s">
        <v>917</v>
      </c>
      <c r="C27" s="202" t="s">
        <v>132</v>
      </c>
      <c r="D27" s="202" t="s">
        <v>164</v>
      </c>
      <c r="E27" s="202">
        <f>GETPIVOTDATA("Sum of Impervious area  (acres)",'Design Pivot Summaries'!$A$6,"Project Name","Grove St.","LC TMDL Lake Segment","Malletts Bay")</f>
        <v>8.7142649999999993</v>
      </c>
      <c r="F27" s="248">
        <f>GETPIVOTDATA("Sum of Total Pervious area (acres) ",'Design Pivot Summaries'!$A$6,"Project Name","Grove St.","LC TMDL Lake Segment","Malletts Bay")</f>
        <v>14.679734999999999</v>
      </c>
      <c r="G27" s="249">
        <f>GETPIVOTDATA("Sum of Storage volume (ft3)",'Design Pivot Summaries'!$A$6,"Project Name","Grove St.","LC TMDL Lake Segment","Malletts Bay")</f>
        <v>2047.32</v>
      </c>
      <c r="H27" s="202">
        <f>GETPIVOTDATA("Sum of * P Credit (kg/yr)",'Design Pivot Summaries'!$A$6,"Project Name","Grove St.","LC TMDL Lake Segment","Malletts Bay")</f>
        <v>2.2952909656512142</v>
      </c>
      <c r="I27" s="254">
        <f>H27/'Total Pivot Summaries'!$F$3</f>
        <v>0.25145021243722759</v>
      </c>
    </row>
    <row r="28" spans="1:9">
      <c r="A28" s="256"/>
      <c r="B28" s="256"/>
      <c r="C28" s="247" t="s">
        <v>909</v>
      </c>
      <c r="D28" s="202"/>
      <c r="E28" s="247">
        <f>SUM(E25:E27)</f>
        <v>26.355497999999997</v>
      </c>
      <c r="F28" s="247">
        <f>SUM(F25:F27)</f>
        <v>50.448501999999998</v>
      </c>
      <c r="G28" s="251">
        <f>SUM(G25:G27)</f>
        <v>54739.200000000004</v>
      </c>
      <c r="H28" s="247">
        <f>SUM(H25:H27)</f>
        <v>5.0806907078087757</v>
      </c>
      <c r="I28" s="255">
        <f>H28/'Total Pivot Summaries'!$F$3</f>
        <v>0.55659207347766648</v>
      </c>
    </row>
  </sheetData>
  <phoneticPr fontId="14"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8D983C-97D0-4F88-9393-886DE13FFC7F}">
  <dimension ref="A1:I35"/>
  <sheetViews>
    <sheetView topLeftCell="A8" zoomScaleNormal="100" workbookViewId="0">
      <selection activeCell="H29" sqref="H29"/>
    </sheetView>
  </sheetViews>
  <sheetFormatPr defaultColWidth="9.140625" defaultRowHeight="12.75"/>
  <cols>
    <col min="1" max="1" width="27.85546875" style="17" customWidth="1"/>
    <col min="2" max="2" width="15" style="17" customWidth="1"/>
    <col min="3" max="3" width="12.5703125" style="17" bestFit="1" customWidth="1"/>
    <col min="4" max="4" width="18" style="17" customWidth="1"/>
    <col min="5" max="5" width="16.42578125" style="17" bestFit="1" customWidth="1"/>
    <col min="6" max="6" width="9.7109375" style="17" bestFit="1" customWidth="1"/>
    <col min="7" max="7" width="15" style="17" bestFit="1" customWidth="1"/>
    <col min="8" max="8" width="10.42578125" style="17" customWidth="1"/>
    <col min="9" max="16384" width="9.140625" style="17"/>
  </cols>
  <sheetData>
    <row r="1" spans="1:9">
      <c r="A1" s="17" t="s">
        <v>599</v>
      </c>
    </row>
    <row r="2" spans="1:9">
      <c r="A2" s="195" t="s">
        <v>884</v>
      </c>
    </row>
    <row r="3" spans="1:9">
      <c r="A3" s="257" t="s">
        <v>933</v>
      </c>
    </row>
    <row r="4" spans="1:9" ht="25.9" customHeight="1">
      <c r="A4" s="200" t="s">
        <v>896</v>
      </c>
      <c r="B4" s="200" t="s">
        <v>897</v>
      </c>
      <c r="C4" s="200" t="s">
        <v>123</v>
      </c>
      <c r="D4" s="200" t="s">
        <v>898</v>
      </c>
      <c r="E4" s="200" t="s">
        <v>899</v>
      </c>
      <c r="F4" s="200" t="s">
        <v>900</v>
      </c>
      <c r="G4" s="200" t="s">
        <v>901</v>
      </c>
      <c r="H4" s="200" t="s">
        <v>902</v>
      </c>
      <c r="I4" s="200" t="s">
        <v>903</v>
      </c>
    </row>
    <row r="5" spans="1:9" ht="25.15" customHeight="1">
      <c r="A5" s="246" t="str">
        <f>A6</f>
        <v>Sage Circle cul-de-sac retrofit - infiltration trenches</v>
      </c>
      <c r="B5" s="246" t="s">
        <v>652</v>
      </c>
      <c r="C5" s="202" t="s">
        <v>129</v>
      </c>
      <c r="D5" s="246" t="s">
        <v>162</v>
      </c>
      <c r="E5" s="202">
        <v>1.1399999999999999</v>
      </c>
      <c r="F5" s="202">
        <v>2.5</v>
      </c>
      <c r="G5" s="249">
        <v>3554</v>
      </c>
      <c r="H5" s="248">
        <v>0.82</v>
      </c>
      <c r="I5" s="253">
        <f>H5/'Total Pivot Summaries'!$F$22</f>
        <v>1.8807006976663782E-2</v>
      </c>
    </row>
    <row r="6" spans="1:9" ht="14.45" customHeight="1">
      <c r="A6" s="246" t="str">
        <f>'Completed Pivot Summaries'!A40</f>
        <v>Sage Circle cul-de-sac retrofit - infiltration trenches</v>
      </c>
      <c r="B6" s="246" t="s">
        <v>652</v>
      </c>
      <c r="C6" s="202" t="s">
        <v>129</v>
      </c>
      <c r="D6" s="246" t="s">
        <v>232</v>
      </c>
      <c r="E6" s="202">
        <v>1.1399999999999999</v>
      </c>
      <c r="F6" s="202">
        <v>2.5</v>
      </c>
      <c r="G6" s="249">
        <v>978</v>
      </c>
      <c r="H6" s="248">
        <v>0.1</v>
      </c>
      <c r="I6" s="252">
        <f>H6/'Total Pivot Summaries'!$F$22</f>
        <v>2.2935374361785104E-3</v>
      </c>
    </row>
    <row r="7" spans="1:9" ht="24">
      <c r="A7" s="246" t="str">
        <f>'Completed Pivot Summaries'!A41</f>
        <v>Tanglewood Drive infiltration - Birchwood Manor</v>
      </c>
      <c r="B7" s="246" t="s">
        <v>510</v>
      </c>
      <c r="C7" s="202" t="s">
        <v>129</v>
      </c>
      <c r="D7" s="246" t="s">
        <v>906</v>
      </c>
      <c r="E7" s="248">
        <f>GETPIVOTDATA("Sum of Impervious area  (acres)",'Completed Pivot Summaries'!$A$28,"Project Name","Kellogg Rd Detention Pond")</f>
        <v>9.5</v>
      </c>
      <c r="F7" s="202">
        <f>GETPIVOTDATA("Sum of Total Pervious area (acres) ",'Completed Pivot Summaries'!$A$28,"Project Name","Kellogg Rd Detention Pond")</f>
        <v>4</v>
      </c>
      <c r="G7" s="249">
        <f>GETPIVOTDATA("Sum of Storage volume (ft3)",'Completed Pivot Summaries'!$A$28,"Project Name","Kellogg Rd Detention Pond")</f>
        <v>170450.28</v>
      </c>
      <c r="H7" s="248">
        <f>GETPIVOTDATA("Sum of * P Credit (kg/yr)",'Completed Pivot Summaries'!$A$28,"Project Name","Kellogg Rd Detention Pond")</f>
        <v>7.267364999999999</v>
      </c>
      <c r="I7" s="254">
        <f>H7/'Total Pivot Summaries'!$F$22</f>
        <v>0.16667973689873436</v>
      </c>
    </row>
    <row r="8" spans="1:9">
      <c r="A8" s="246" t="str">
        <f>'Completed Pivot Summaries'!A42</f>
        <v>Thompson Drive infiltration</v>
      </c>
      <c r="B8" s="246"/>
      <c r="C8" s="202" t="s">
        <v>129</v>
      </c>
      <c r="D8" s="202" t="s">
        <v>905</v>
      </c>
      <c r="E8" s="202">
        <f>-0.1</f>
        <v>-0.1</v>
      </c>
      <c r="F8" s="202">
        <v>0.1</v>
      </c>
      <c r="G8" s="249">
        <f>GETPIVOTDATA("Sum of Storage volume (ft3)",'Completed Pivot Summaries'!$A$28,"Project Name","Oakwood Drive cul-de-sac retrofit - impervious removal")</f>
        <v>0</v>
      </c>
      <c r="H8" s="248">
        <f>GETPIVOTDATA("Sum of * P Credit (kg/yr)",'Completed Pivot Summaries'!$A$28,"Project Name","Oakwood Drive cul-de-sac retrofit - impervious removal")</f>
        <v>0.14000000000000001</v>
      </c>
      <c r="I8" s="252">
        <f>H8/'Total Pivot Summaries'!$F$22</f>
        <v>3.2109524106499147E-3</v>
      </c>
    </row>
    <row r="9" spans="1:9" ht="24">
      <c r="A9" s="246" t="str">
        <f>'Completed Pivot Summaries'!A43</f>
        <v>Saxon Hill ROW S/N 001 (Industrial Park)</v>
      </c>
      <c r="B9" s="246"/>
      <c r="C9" s="202" t="s">
        <v>129</v>
      </c>
      <c r="D9" s="246" t="s">
        <v>906</v>
      </c>
      <c r="E9" s="248">
        <f>GETPIVOTDATA("Sum of Impervious area  (acres)",'Completed Pivot Summaries'!$A$28,"Project Name","Oakwood Drive cul-de-sac retrofit - media filter with specialized media")</f>
        <v>2.133</v>
      </c>
      <c r="F9" s="202">
        <f>GETPIVOTDATA("Sum of Total Pervious area (acres) ",'Completed Pivot Summaries'!$A$28,"Project Name","Oakwood Drive cul-de-sac retrofit - media filter with specialized media")</f>
        <v>0</v>
      </c>
      <c r="G9" s="249">
        <f>GETPIVOTDATA("Sum of Storage volume (ft3)",'Completed Pivot Summaries'!$A$28,"Project Name","Oakwood Drive cul-de-sac retrofit - media filter with specialized media")</f>
        <v>11500</v>
      </c>
      <c r="H9" s="248">
        <f>GETPIVOTDATA("Sum of * P Credit (kg/yr)",'Completed Pivot Summaries'!$A$28,"Project Name","Oakwood Drive cul-de-sac retrofit - media filter with specialized media")</f>
        <v>3.0851685</v>
      </c>
      <c r="I9" s="253">
        <f>H9/'Total Pivot Summaries'!$F$22</f>
        <v>7.0759494516687005E-2</v>
      </c>
    </row>
    <row r="10" spans="1:9" ht="14.45" customHeight="1">
      <c r="A10" s="246" t="str">
        <f>'Completed Pivot Summaries'!A44</f>
        <v>Malletts Bay</v>
      </c>
      <c r="B10" s="202" t="s">
        <v>381</v>
      </c>
      <c r="C10" s="202" t="s">
        <v>129</v>
      </c>
      <c r="D10" s="202" t="s">
        <v>212</v>
      </c>
      <c r="E10" s="248">
        <f>GETPIVOTDATA("Sum of Impervious area  (acres)",'Completed Pivot Summaries'!$A$28,"Project Name","Perkins Bend 002")</f>
        <v>6</v>
      </c>
      <c r="F10" s="202">
        <f>GETPIVOTDATA("Sum of Total Pervious area (acres) ",'Completed Pivot Summaries'!$A$28,"Project Name","Perkins Bend 002")</f>
        <v>7.3</v>
      </c>
      <c r="G10" s="249">
        <f>GETPIVOTDATA("Sum of Storage volume (ft3)",'Completed Pivot Summaries'!$A$28,"Project Name","Perkins Bend 002")</f>
        <v>1520</v>
      </c>
      <c r="H10" s="248">
        <f>GETPIVOTDATA("Sum of * P Credit (kg/yr)",'Completed Pivot Summaries'!$A$28,"Project Name","Perkins Bend 002")</f>
        <v>1.8763461550768115</v>
      </c>
      <c r="I10" s="253">
        <f>H10/'Total Pivot Summaries'!$F$22</f>
        <v>4.3034701498982759E-2</v>
      </c>
    </row>
    <row r="11" spans="1:9">
      <c r="A11" s="246" t="str">
        <f>'Completed Pivot Summaries'!A45</f>
        <v>Essex Outlets Pond A</v>
      </c>
      <c r="B11" s="246"/>
      <c r="C11" s="202" t="s">
        <v>129</v>
      </c>
      <c r="D11" s="202" t="s">
        <v>905</v>
      </c>
      <c r="E11" s="259">
        <f>-0.065</f>
        <v>-6.5000000000000002E-2</v>
      </c>
      <c r="F11" s="248">
        <v>0.65</v>
      </c>
      <c r="G11" s="249">
        <f>GETPIVOTDATA("Sum of Storage volume (ft3)",'Completed Pivot Summaries'!$A$28,"Project Name","Sage Circle cul-de-sac retrofit - impervious removal")</f>
        <v>0</v>
      </c>
      <c r="H11" s="248">
        <f>GETPIVOTDATA("Sum of * P Credit (kg/yr)",'Completed Pivot Summaries'!$A$28,"Project Name","Sage Circle cul-de-sac retrofit - impervious removal")</f>
        <v>0.06</v>
      </c>
      <c r="I11" s="252">
        <f>H11/'Total Pivot Summaries'!$F$22</f>
        <v>1.3761224617071062E-3</v>
      </c>
    </row>
    <row r="12" spans="1:9">
      <c r="A12" s="246" t="str">
        <f>'Completed Pivot Summaries'!A46</f>
        <v>Essex Outlets Pond B</v>
      </c>
      <c r="B12" s="202"/>
      <c r="C12" s="202" t="s">
        <v>129</v>
      </c>
      <c r="D12" s="202" t="s">
        <v>47</v>
      </c>
      <c r="E12" s="248">
        <f>GETPIVOTDATA("Sum of Impervious area  (acres)",'Completed Pivot Summaries'!$A$28,"Project Name","Sage Circle cul-de-sac retrofit - infiltration trenches")</f>
        <v>0.80400000000000005</v>
      </c>
      <c r="F12" s="202">
        <f>GETPIVOTDATA("Sum of Total Pervious area (acres) ",'Completed Pivot Summaries'!$A$28,"Project Name","Sage Circle cul-de-sac retrofit - infiltration trenches")</f>
        <v>0</v>
      </c>
      <c r="G12" s="249">
        <f>GETPIVOTDATA("Sum of Storage volume (ft3)",'Completed Pivot Summaries'!$A$28,"Project Name","Sage Circle cul-de-sac retrofit - infiltration trenches")</f>
        <v>6096</v>
      </c>
      <c r="H12" s="248">
        <f>GETPIVOTDATA("Sum of * P Credit (kg/yr)",'Completed Pivot Summaries'!$A$28,"Project Name","Sage Circle cul-de-sac retrofit - infiltration trenches")</f>
        <v>0.9231680000000001</v>
      </c>
      <c r="I12" s="253">
        <f>H12/'Total Pivot Summaries'!$F$22</f>
        <v>2.1173203678820432E-2</v>
      </c>
    </row>
    <row r="13" spans="1:9" ht="24">
      <c r="A13" s="246" t="str">
        <f>'Completed Pivot Summaries'!A49</f>
        <v>Sydney Drive - Woodlands II‐ Lang Farm Parcel</v>
      </c>
      <c r="B13" s="202" t="s">
        <v>890</v>
      </c>
      <c r="C13" s="202" t="s">
        <v>129</v>
      </c>
      <c r="D13" s="202" t="s">
        <v>165</v>
      </c>
      <c r="E13" s="248">
        <f>GETPIVOTDATA("Sum of Impervious area  (acres)",'Completed Pivot Summaries'!$A$28,"Project Name","Saxon Hill ROW S/N 001 (Industrial Park)")</f>
        <v>1.1399999999999999</v>
      </c>
      <c r="F13" s="202">
        <f>GETPIVOTDATA("Sum of Total Pervious area (acres) ",'Completed Pivot Summaries'!$A$28,"Project Name","Saxon Hill ROW S/N 001 (Industrial Park)")</f>
        <v>0.85000000000000009</v>
      </c>
      <c r="G13" s="249">
        <f>GETPIVOTDATA("Sum of Storage volume (ft3)",'Completed Pivot Summaries'!$A$28,"Project Name","Saxon Hill ROW S/N 001 (Industrial Park)")</f>
        <v>12460</v>
      </c>
      <c r="H13" s="248">
        <f>GETPIVOTDATA("Sum of * P Credit (kg/yr)",'Completed Pivot Summaries'!$A$28,"Project Name","Saxon Hill ROW S/N 001 (Industrial Park)")</f>
        <v>0.92592989999999997</v>
      </c>
      <c r="I13" s="253">
        <f>H13/'Total Pivot Summaries'!$F$22</f>
        <v>2.1236548889270245E-2</v>
      </c>
    </row>
    <row r="14" spans="1:9">
      <c r="A14" s="246" t="str">
        <f>'Completed Pivot Summaries'!A47</f>
        <v>Essex Outlets Pond C</v>
      </c>
      <c r="B14" s="202" t="s">
        <v>911</v>
      </c>
      <c r="C14" s="202" t="s">
        <v>129</v>
      </c>
      <c r="D14" s="202" t="s">
        <v>161</v>
      </c>
      <c r="E14" s="248">
        <f>GETPIVOTDATA("Sum of Impervious area  (acres)",'Completed Pivot Summaries'!$A$28,"Project Name","Tanglewood Drive infiltration - Birchwood Manor")</f>
        <v>1.81</v>
      </c>
      <c r="F14" s="202">
        <f>GETPIVOTDATA("Sum of Total Pervious area (acres) ",'Completed Pivot Summaries'!$A$28,"Project Name","Tanglewood Drive infiltration - Birchwood Manor")</f>
        <v>0</v>
      </c>
      <c r="G14" s="249">
        <f>GETPIVOTDATA("Sum of Storage volume (ft3)",'Completed Pivot Summaries'!$A$28,"Project Name","Tanglewood Drive infiltration - Birchwood Manor")</f>
        <v>6423.2850000000008</v>
      </c>
      <c r="H14" s="248">
        <f>GETPIVOTDATA("Sum of * P Credit (kg/yr)",'Completed Pivot Summaries'!$A$28,"Project Name","Tanglewood Drive infiltration - Birchwood Manor")</f>
        <v>1.9971319389513735</v>
      </c>
      <c r="I14" s="253">
        <f>H14/'Total Pivot Summaries'!$F$22</f>
        <v>4.5804968669727504E-2</v>
      </c>
    </row>
    <row r="15" spans="1:9" ht="14.45" customHeight="1">
      <c r="A15" s="246" t="str">
        <f>'Completed Pivot Summaries'!A48</f>
        <v>Essex Town Center‐ Essex Outlets</v>
      </c>
      <c r="B15" s="202" t="s">
        <v>910</v>
      </c>
      <c r="C15" s="202" t="s">
        <v>129</v>
      </c>
      <c r="D15" s="202" t="s">
        <v>47</v>
      </c>
      <c r="E15" s="248">
        <f>GETPIVOTDATA("Sum of Impervious area  (acres)",'Completed Pivot Summaries'!$A$28,"Project Name","Thompson Drive infiltration")</f>
        <v>0.8</v>
      </c>
      <c r="F15" s="202">
        <f>GETPIVOTDATA("Sum of Total Pervious area (acres) ",'Completed Pivot Summaries'!$A$28,"Project Name","Thompson Drive infiltration")</f>
        <v>0</v>
      </c>
      <c r="G15" s="249">
        <f>GETPIVOTDATA("Sum of Storage volume (ft3)",'Completed Pivot Summaries'!$A$28,"Project Name","Thompson Drive infiltration")</f>
        <v>2795.1</v>
      </c>
      <c r="H15" s="248">
        <f>GETPIVOTDATA("Sum of * P Credit (kg/yr)",'Completed Pivot Summaries'!$A$28,"Project Name","Thompson Drive infiltration")</f>
        <v>0.89562015153673147</v>
      </c>
      <c r="I15" s="253">
        <f>H15/'Total Pivot Summaries'!$F$22</f>
        <v>2.0541383461453639E-2</v>
      </c>
    </row>
    <row r="16" spans="1:9" ht="14.45" customHeight="1">
      <c r="A16" s="268" t="s">
        <v>904</v>
      </c>
      <c r="B16" s="268"/>
      <c r="C16" s="268"/>
      <c r="D16" s="268"/>
      <c r="E16" s="247">
        <f>SUM(E5:E15)</f>
        <v>24.301999999999996</v>
      </c>
      <c r="F16" s="247">
        <f>SUM(F5:F15)</f>
        <v>17.899999999999999</v>
      </c>
      <c r="G16" s="251">
        <f>SUM(G5:G15)</f>
        <v>215776.66500000001</v>
      </c>
      <c r="H16" s="247">
        <f>SUM(H5:H15)</f>
        <v>18.09072964556492</v>
      </c>
      <c r="I16" s="255">
        <f>H16/'Total Pivot Summaries'!$F$4</f>
        <v>0.80061976984032601</v>
      </c>
    </row>
    <row r="17" spans="1:9" ht="24">
      <c r="A17" s="246" t="str">
        <f>'Completed Pivot Summaries'!A34</f>
        <v>Essex Police Station</v>
      </c>
      <c r="B17" s="202" t="s">
        <v>913</v>
      </c>
      <c r="C17" s="202" t="s">
        <v>132</v>
      </c>
      <c r="D17" s="246" t="s">
        <v>794</v>
      </c>
      <c r="E17" s="248">
        <f>GETPIVOTDATA("Sum of Impervious area  (acres)",'Completed Pivot Summaries'!$A$28,"Project Name","Essex Outlets Pond A")</f>
        <v>5.6520000000000001</v>
      </c>
      <c r="F17" s="202">
        <f>GETPIVOTDATA("Sum of Total Pervious area (acres) ",'Completed Pivot Summaries'!$A$28,"Project Name","Essex Outlets Pond A")</f>
        <v>9.0659999999999989</v>
      </c>
      <c r="G17" s="249">
        <f>GETPIVOTDATA("Sum of Storage volume (ft3)",'Completed Pivot Summaries'!$A$28,"Project Name","Essex Outlets Pond A")</f>
        <v>74139.12</v>
      </c>
      <c r="H17" s="248">
        <f>GETPIVOTDATA("Sum of * P Credit (kg/yr)",'Completed Pivot Summaries'!$A$28,"Project Name","Essex Outlets Pond A")</f>
        <v>2.977203344462922</v>
      </c>
      <c r="I17" s="254">
        <f>H17/('Total Pivot Summaries'!$F$20+'Total Pivot Summaries'!$F$21)</f>
        <v>9.606247058789881E-2</v>
      </c>
    </row>
    <row r="18" spans="1:9">
      <c r="A18" s="246" t="str">
        <f>'Completed Pivot Summaries'!A35</f>
        <v>Kellogg Rd Detention Pond</v>
      </c>
      <c r="B18" s="202" t="s">
        <v>913</v>
      </c>
      <c r="C18" s="202" t="s">
        <v>132</v>
      </c>
      <c r="D18" s="202" t="s">
        <v>46</v>
      </c>
      <c r="E18" s="248">
        <f>GETPIVOTDATA("Sum of Impervious area  (acres)",'Completed Pivot Summaries'!$A$28,"Project Name","Essex Outlets Pond B")</f>
        <v>3.77</v>
      </c>
      <c r="F18" s="202">
        <f>GETPIVOTDATA("Sum of Total Pervious area (acres) ",'Completed Pivot Summaries'!$A$28,"Project Name","Essex Outlets Pond B")</f>
        <v>1.2200000000000002</v>
      </c>
      <c r="G18" s="249">
        <f>GETPIVOTDATA("Sum of Storage volume (ft3)",'Completed Pivot Summaries'!$A$28,"Project Name","Essex Outlets Pond B")</f>
        <v>40772.160000000003</v>
      </c>
      <c r="H18" s="248">
        <f>GETPIVOTDATA("Sum of * P Credit (kg/yr)",'Completed Pivot Summaries'!$A$28,"Project Name","Essex Outlets Pond B")</f>
        <v>1.9686807</v>
      </c>
      <c r="I18" s="254">
        <f>H18/('Total Pivot Summaries'!$F$20+'Total Pivot Summaries'!$F$21)</f>
        <v>6.3521469634392758E-2</v>
      </c>
    </row>
    <row r="19" spans="1:9" ht="24">
      <c r="A19" s="246" t="str">
        <f>'Completed Pivot Summaries'!A36</f>
        <v>Oakwood Drive cul-de-sac retrofit - impervious removal</v>
      </c>
      <c r="B19" s="202" t="s">
        <v>913</v>
      </c>
      <c r="C19" s="202" t="s">
        <v>132</v>
      </c>
      <c r="D19" s="202" t="s">
        <v>46</v>
      </c>
      <c r="E19" s="248">
        <f>GETPIVOTDATA("Sum of Impervious area  (acres)",'Completed Pivot Summaries'!$A$28,"Project Name","Essex Outlets Pond C")</f>
        <v>11.85</v>
      </c>
      <c r="F19" s="202">
        <f>GETPIVOTDATA("Sum of Total Pervious area (acres) ",'Completed Pivot Summaries'!$A$28,"Project Name","Essex Outlets Pond C")</f>
        <v>10.302999999999999</v>
      </c>
      <c r="G19" s="249">
        <f>GETPIVOTDATA("Sum of Storage volume (ft3)",'Completed Pivot Summaries'!$A$28,"Project Name","Essex Outlets Pond C")</f>
        <v>290966</v>
      </c>
      <c r="H19" s="248">
        <f>GETPIVOTDATA("Sum of * P Credit (kg/yr)",'Completed Pivot Summaries'!$A$28,"Project Name","Essex Outlets Pond C")</f>
        <v>6.2369281799999996</v>
      </c>
      <c r="I19" s="254">
        <f>H19/('Total Pivot Summaries'!$F$20+'Total Pivot Summaries'!$F$21)</f>
        <v>0.2012407822140779</v>
      </c>
    </row>
    <row r="20" spans="1:9" ht="36">
      <c r="A20" s="246" t="str">
        <f>'Completed Pivot Summaries'!A37</f>
        <v>Oakwood Drive cul-de-sac retrofit - media filter with specialized media</v>
      </c>
      <c r="B20" s="202" t="s">
        <v>912</v>
      </c>
      <c r="C20" s="202" t="s">
        <v>132</v>
      </c>
      <c r="D20" s="246" t="s">
        <v>908</v>
      </c>
      <c r="E20" s="248">
        <f>GETPIVOTDATA("Sum of Impervious area  (acres)",'Completed Pivot Summaries'!$A$28,"Project Name","Essex Town Center‐ Essex Outlets")</f>
        <v>6.4489999999999998</v>
      </c>
      <c r="F20" s="202">
        <f>GETPIVOTDATA("Sum of Total Pervious area (acres) ",'Completed Pivot Summaries'!$A$28,"Project Name","Essex Town Center‐ Essex Outlets")</f>
        <v>6.0809999999999995</v>
      </c>
      <c r="G20" s="249">
        <f>GETPIVOTDATA("Sum of Storage volume (ft3)",'Completed Pivot Summaries'!$A$28,"Project Name","Essex Town Center‐ Essex Outlets")</f>
        <v>28009.08</v>
      </c>
      <c r="H20" s="248">
        <f>GETPIVOTDATA("Sum of * P Credit (kg/yr)",'Completed Pivot Summaries'!$A$28,"Project Name","Essex Town Center‐ Essex Outlets")</f>
        <v>0.38548612193972009</v>
      </c>
      <c r="I20" s="254">
        <f>H20/('Total Pivot Summaries'!$F$20+'Total Pivot Summaries'!$F$21)</f>
        <v>1.2438098768009333E-2</v>
      </c>
    </row>
    <row r="21" spans="1:9">
      <c r="A21" s="246" t="str">
        <f>'Completed Pivot Summaries'!A38</f>
        <v>Perkins Bend 002</v>
      </c>
      <c r="B21" s="202" t="s">
        <v>450</v>
      </c>
      <c r="C21" s="202" t="s">
        <v>132</v>
      </c>
      <c r="D21" s="246" t="s">
        <v>164</v>
      </c>
      <c r="E21" s="248">
        <f>GETPIVOTDATA("Sum of Impervious area  (acres)",'Completed Pivot Summaries'!$A$28,"Project Name","Sydney Drive - Woodlands II‐ Lang Farm Parcel")</f>
        <v>4.0409600000000001</v>
      </c>
      <c r="F21" s="202">
        <f>GETPIVOTDATA("Sum of Total Pervious area (acres) ",'Completed Pivot Summaries'!$A$28,"Project Name","Sydney Drive - Woodlands II‐ Lang Farm Parcel")</f>
        <v>28.759039999999999</v>
      </c>
      <c r="G21" s="249">
        <f>GETPIVOTDATA("Sum of Storage volume (ft3)",'Completed Pivot Summaries'!$A$28,"Project Name","Sydney Drive - Woodlands II‐ Lang Farm Parcel")</f>
        <v>38811.96</v>
      </c>
      <c r="H21" s="248">
        <f>GETPIVOTDATA("Sum of * P Credit (kg/yr)",'Completed Pivot Summaries'!$A$28,"Project Name","Sydney Drive - Woodlands II‐ Lang Farm Parcel")</f>
        <v>3.3914046315543542</v>
      </c>
      <c r="I21" s="254">
        <f>H21/('Total Pivot Summaries'!$F$20+'Total Pivot Summaries'!$F$21)</f>
        <v>0.10942709313969444</v>
      </c>
    </row>
    <row r="22" spans="1:9" ht="14.45" customHeight="1">
      <c r="A22" s="268" t="s">
        <v>909</v>
      </c>
      <c r="B22" s="268"/>
      <c r="C22" s="268"/>
      <c r="D22" s="268"/>
      <c r="E22" s="247">
        <f>SUM(E17:E21)</f>
        <v>31.761959999999995</v>
      </c>
      <c r="F22" s="247">
        <f>SUM(F17:F21)</f>
        <v>55.429040000000001</v>
      </c>
      <c r="G22" s="251">
        <f>SUM(G17:G21)</f>
        <v>472698.32000000007</v>
      </c>
      <c r="H22" s="247">
        <f>SUM(H17:H21)</f>
        <v>14.959702977956997</v>
      </c>
      <c r="I22" s="255">
        <f>H22/('Total Pivot Summaries'!$F$20+'Total Pivot Summaries'!$F$21)</f>
        <v>0.48268991434407327</v>
      </c>
    </row>
    <row r="25" spans="1:9">
      <c r="A25" s="258" t="s">
        <v>934</v>
      </c>
      <c r="E25" s="250"/>
    </row>
    <row r="26" spans="1:9" ht="25.5">
      <c r="A26" s="200" t="s">
        <v>896</v>
      </c>
      <c r="B26" s="200" t="s">
        <v>897</v>
      </c>
      <c r="C26" s="200" t="s">
        <v>123</v>
      </c>
      <c r="D26" s="200" t="s">
        <v>898</v>
      </c>
      <c r="E26" s="200" t="s">
        <v>899</v>
      </c>
      <c r="F26" s="200" t="s">
        <v>900</v>
      </c>
      <c r="G26" s="200" t="s">
        <v>901</v>
      </c>
      <c r="H26" s="200" t="s">
        <v>902</v>
      </c>
      <c r="I26" s="200" t="s">
        <v>903</v>
      </c>
    </row>
    <row r="27" spans="1:9" ht="24">
      <c r="A27" s="246" t="str">
        <f>'Design Pivot Summaries'!A27</f>
        <v>2OLET120 Logwood Circle stormline and catchbasin retrofits</v>
      </c>
      <c r="B27" s="246"/>
      <c r="C27" s="202" t="s">
        <v>129</v>
      </c>
      <c r="D27" s="246" t="s">
        <v>164</v>
      </c>
      <c r="E27" s="202">
        <f>GETPIVOTDATA("Sum of Impervious area  (acres)",'Design Pivot Summaries'!$A$28,"Project Name","2OLET120 Logwood Circle stormline and catchbasin retrofits")</f>
        <v>3.9420000000000002</v>
      </c>
      <c r="F27" s="202">
        <f>GETPIVOTDATA("Sum of Total Pervious area (acres) ",'Design Pivot Summaries'!$A$28,"Project Name","2OLET120 Logwood Circle stormline and catchbasin retrofits")</f>
        <v>7.2610000000000001</v>
      </c>
      <c r="G27" s="249">
        <f>GETPIVOTDATA("Sum of Storage volume (ft3)",'Design Pivot Summaries'!$A$28,"Project Name","2OLET120 Logwood Circle stormline and catchbasin retrofits")</f>
        <v>12763.06</v>
      </c>
      <c r="H27" s="202">
        <f>GETPIVOTDATA("Sum of * P Credit (kg/yr)",'Design Pivot Summaries'!$A$28,"Project Name","2OLET120 Logwood Circle stormline and catchbasin retrofits")</f>
        <v>4.5153817229511697</v>
      </c>
      <c r="I27" s="254">
        <f>H27/'Total Pivot Summaries'!$F$22</f>
        <v>0.10356197020224731</v>
      </c>
    </row>
    <row r="28" spans="1:9" ht="36">
      <c r="A28" s="246" t="str">
        <f>'Design Pivot Summaries'!A28</f>
        <v>David Dr. Outfall</v>
      </c>
      <c r="B28" s="246" t="s">
        <v>309</v>
      </c>
      <c r="C28" s="202" t="s">
        <v>129</v>
      </c>
      <c r="D28" s="246" t="s">
        <v>164</v>
      </c>
      <c r="E28" s="202">
        <f>GETPIVOTDATA("Sum of Impervious area  (acres)",'Design Pivot Summaries'!$A$28,"Project Name","David Dr. Outfall")</f>
        <v>15.96</v>
      </c>
      <c r="F28" s="202">
        <f>GETPIVOTDATA("Sum of Total Pervious area (acres) ",'Design Pivot Summaries'!$A$28,"Project Name","David Dr. Outfall")</f>
        <v>16.25</v>
      </c>
      <c r="G28" s="249">
        <f>GETPIVOTDATA("Sum of Storage volume (ft3)",'Design Pivot Summaries'!$A$28,"Project Name","David Dr. Outfall")</f>
        <v>61028</v>
      </c>
      <c r="H28" s="202">
        <f>GETPIVOTDATA("Sum of * P Credit (kg/yr)",'Design Pivot Summaries'!$A$28,"Project Name","David Dr. Outfall")</f>
        <v>20.820564142273287</v>
      </c>
      <c r="I28" s="254">
        <f>H28/'Total Pivot Summaries'!$F$22</f>
        <v>0.477527433026597</v>
      </c>
    </row>
    <row r="29" spans="1:9" ht="24">
      <c r="A29" s="246" t="str">
        <f>'Design Pivot Summaries'!A29</f>
        <v>Meadows Edge/Steeplebush retrofit</v>
      </c>
      <c r="B29" s="246"/>
      <c r="C29" s="202" t="s">
        <v>129</v>
      </c>
      <c r="D29" s="246" t="s">
        <v>46</v>
      </c>
      <c r="E29" s="202">
        <f>GETPIVOTDATA("Sum of Impervious area  (acres)",'Design Pivot Summaries'!$A$28,"Project Name","Meadows Edge/Steeplebush RETROFIT")</f>
        <v>8.7279999999999998</v>
      </c>
      <c r="F29" s="202">
        <f>GETPIVOTDATA("Sum of Total Pervious area (acres) ",'Design Pivot Summaries'!$A$28,"Project Name","Meadows Edge/Steeplebush RETROFIT")</f>
        <v>16.866999999999997</v>
      </c>
      <c r="G29" s="249">
        <f>GETPIVOTDATA("Sum of Storage volume (ft3)",'Design Pivot Summaries'!$A$28,"Project Name","Meadows Edge/Steeplebush RETROFIT")</f>
        <v>33149</v>
      </c>
      <c r="H29" s="202">
        <f>GETPIVOTDATA("Sum of * P Credit (kg/yr)",'Design Pivot Summaries'!$A$28,"Project Name","Meadows Edge/Steeplebush RETROFIT")</f>
        <v>7.5494443445214765</v>
      </c>
      <c r="I29" s="254">
        <f>H29/'Total Pivot Summaries'!$F$22</f>
        <v>0.17314933226506141</v>
      </c>
    </row>
    <row r="30" spans="1:9" ht="24">
      <c r="A30" s="246" t="str">
        <f>'Design Pivot Summaries'!A30</f>
        <v>Outfall 126: Fort Ethan Allen (Ryan St.)</v>
      </c>
      <c r="B30" s="246"/>
      <c r="C30" s="202" t="s">
        <v>129</v>
      </c>
      <c r="D30" s="246" t="s">
        <v>164</v>
      </c>
      <c r="E30" s="202">
        <f>GETPIVOTDATA("Sum of Impervious area  (acres)",'Design Pivot Summaries'!$A$28,"Project Name","Outfall 126: Fort Ethan Allen (Ryan St.)")</f>
        <v>3.4359999999999999</v>
      </c>
      <c r="F30" s="202">
        <f>GETPIVOTDATA("Sum of Total Pervious area (acres) ",'Design Pivot Summaries'!$A$28,"Project Name","Outfall 126: Fort Ethan Allen (Ryan St.)")</f>
        <v>2.15</v>
      </c>
      <c r="G30" s="249">
        <f>GETPIVOTDATA("Sum of Storage volume (ft3)",'Design Pivot Summaries'!$A$28,"Project Name","Outfall 126: Fort Ethan Allen (Ryan St.)")</f>
        <v>12239.270999999999</v>
      </c>
      <c r="H30" s="202">
        <f>GETPIVOTDATA("Sum of * P Credit (kg/yr)",'Design Pivot Summaries'!$A$28,"Project Name","Outfall 126: Fort Ethan Allen (Ryan St.)")</f>
        <v>3.8740985488691142</v>
      </c>
      <c r="I30" s="254">
        <f>H30/'Total Pivot Summaries'!$F$22</f>
        <v>8.8853900532761557E-2</v>
      </c>
    </row>
    <row r="31" spans="1:9">
      <c r="A31" s="202"/>
      <c r="B31" s="202"/>
      <c r="C31" s="247" t="s">
        <v>904</v>
      </c>
      <c r="D31" s="202"/>
      <c r="E31" s="247">
        <f>SUM(E27:E30)</f>
        <v>32.066000000000003</v>
      </c>
      <c r="F31" s="247">
        <f>SUM(F27:F30)</f>
        <v>42.527999999999999</v>
      </c>
      <c r="G31" s="251">
        <f>SUM(G27:G30)</f>
        <v>119179.33099999999</v>
      </c>
      <c r="H31" s="251">
        <f>SUM(H27:H30)</f>
        <v>36.759488758615049</v>
      </c>
      <c r="I31" s="255">
        <f>H31/'Total Pivot Summaries'!$F$22</f>
        <v>0.84309263602666729</v>
      </c>
    </row>
    <row r="32" spans="1:9">
      <c r="A32" s="202" t="str">
        <f>'Design Pivot Summaries'!A32</f>
        <v>Autumn Knoll S/N 001 retrofit</v>
      </c>
      <c r="B32" s="202"/>
      <c r="C32" s="202" t="s">
        <v>132</v>
      </c>
      <c r="D32" s="202" t="s">
        <v>46</v>
      </c>
      <c r="E32" s="248">
        <f>GETPIVOTDATA("Sum of Impervious area  (acres)",'Design Pivot Summaries'!$A$28,"Project Name","Autumn Knoll S/N 001 retrofit")</f>
        <v>3.024</v>
      </c>
      <c r="F32" s="202">
        <f>GETPIVOTDATA("Sum of Total Pervious area (acres) ",'Design Pivot Summaries'!$A$28,"Project Name","Autumn Knoll S/N 001 retrofit")</f>
        <v>2.3929999999999998</v>
      </c>
      <c r="G32" s="249">
        <f>GETPIVOTDATA("Sum of Storage volume (ft3)",'Design Pivot Summaries'!$A$28,"Project Name","Autumn Knoll S/N 001 retrofit")</f>
        <v>10846</v>
      </c>
      <c r="H32" s="202">
        <f>GETPIVOTDATA("Sum of * P Credit (kg/yr)",'Design Pivot Summaries'!$A$28,"Project Name","Autumn Knoll S/N 001 retrofit")</f>
        <v>2.4580000000000002</v>
      </c>
      <c r="I32" s="254">
        <f>H32/('Total Pivot Summaries'!$F$20+'Total Pivot Summaries'!$F$21)</f>
        <v>7.9309850683931329E-2</v>
      </c>
    </row>
    <row r="33" spans="1:9" ht="24">
      <c r="A33" s="246" t="str">
        <f>'Design Pivot Summaries'!A33</f>
        <v>Church of Jesus Christ of Latter Day Saints, South Vault</v>
      </c>
      <c r="B33" s="202" t="s">
        <v>460</v>
      </c>
      <c r="C33" s="202" t="s">
        <v>132</v>
      </c>
      <c r="D33" s="246" t="s">
        <v>906</v>
      </c>
      <c r="E33" s="248">
        <f>GETPIVOTDATA("Sum of Impervious area  (acres)",'Design Pivot Summaries'!$A$28,"Project Name","Church of Jesus Christ of Latter Day Saints, South Vault")</f>
        <v>1.83</v>
      </c>
      <c r="F33" s="202">
        <f>GETPIVOTDATA("Sum of Total Pervious area (acres) ",'Design Pivot Summaries'!$A$28,"Project Name","Church of Jesus Christ of Latter Day Saints, South Vault")</f>
        <v>0.67</v>
      </c>
      <c r="G33" s="249">
        <f>GETPIVOTDATA("Sum of Storage volume (ft3)",'Design Pivot Summaries'!$A$28,"Project Name","Church of Jesus Christ of Latter Day Saints, South Vault")</f>
        <v>13285.78</v>
      </c>
      <c r="H33" s="202">
        <f>GETPIVOTDATA("Sum of * P Credit (kg/yr)",'Design Pivot Summaries'!$A$28,"Project Name","Church of Jesus Christ of Latter Day Saints, South Vault")</f>
        <v>0.91133994493791215</v>
      </c>
      <c r="I33" s="254">
        <f>H33/('Total Pivot Summaries'!$F$20+'Total Pivot Summaries'!$F$21)</f>
        <v>2.9405303073770546E-2</v>
      </c>
    </row>
    <row r="34" spans="1:9" ht="24">
      <c r="A34" s="246" t="s">
        <v>785</v>
      </c>
      <c r="B34" s="202" t="s">
        <v>460</v>
      </c>
      <c r="C34" s="202" t="s">
        <v>132</v>
      </c>
      <c r="D34" s="246" t="s">
        <v>922</v>
      </c>
      <c r="E34" s="261" t="s">
        <v>923</v>
      </c>
      <c r="F34" s="260" t="s">
        <v>923</v>
      </c>
      <c r="G34" s="262" t="s">
        <v>923</v>
      </c>
      <c r="H34" s="260" t="s">
        <v>923</v>
      </c>
      <c r="I34" s="254">
        <v>0</v>
      </c>
    </row>
    <row r="35" spans="1:9">
      <c r="A35" s="256"/>
      <c r="B35" s="256"/>
      <c r="C35" s="247" t="s">
        <v>909</v>
      </c>
      <c r="D35" s="202"/>
      <c r="E35" s="247">
        <f>SUM(E32:E33)</f>
        <v>4.8540000000000001</v>
      </c>
      <c r="F35" s="247">
        <f>SUM(F32:F33)</f>
        <v>3.0629999999999997</v>
      </c>
      <c r="G35" s="251">
        <f>SUM(G32:G33)</f>
        <v>24131.78</v>
      </c>
      <c r="H35" s="247">
        <f>SUM(H32:H33)</f>
        <v>3.3693399449379124</v>
      </c>
      <c r="I35" s="255">
        <f>H35/('Total Pivot Summaries'!$F$20+'Total Pivot Summaries'!$F$21)</f>
        <v>0.10871515375770187</v>
      </c>
    </row>
  </sheetData>
  <mergeCells count="2">
    <mergeCell ref="A16:D16"/>
    <mergeCell ref="A22:D2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7038BC-72FA-440D-9D95-EB9C00851FB7}">
  <dimension ref="A1:H13"/>
  <sheetViews>
    <sheetView zoomScaleNormal="100" workbookViewId="0">
      <selection activeCell="D12" sqref="D12"/>
    </sheetView>
  </sheetViews>
  <sheetFormatPr defaultColWidth="9.140625" defaultRowHeight="12.75"/>
  <cols>
    <col min="1" max="1" width="12" style="17" customWidth="1"/>
    <col min="2" max="2" width="15" style="17" bestFit="1" customWidth="1"/>
    <col min="3" max="3" width="12.5703125" style="17" bestFit="1" customWidth="1"/>
    <col min="4" max="4" width="12.85546875" style="17" bestFit="1" customWidth="1"/>
    <col min="5" max="5" width="16.42578125" style="17" bestFit="1" customWidth="1"/>
    <col min="6" max="6" width="9.7109375" style="17" bestFit="1" customWidth="1"/>
    <col min="7" max="7" width="15" style="17" bestFit="1" customWidth="1"/>
    <col min="8" max="8" width="10.42578125" style="17" customWidth="1"/>
    <col min="9" max="16384" width="9.140625" style="17"/>
  </cols>
  <sheetData>
    <row r="1" spans="1:8">
      <c r="A1" s="17" t="s">
        <v>599</v>
      </c>
    </row>
    <row r="2" spans="1:8">
      <c r="A2" s="195" t="s">
        <v>884</v>
      </c>
    </row>
    <row r="4" spans="1:8" ht="25.9" customHeight="1">
      <c r="A4" s="200" t="s">
        <v>123</v>
      </c>
      <c r="B4" s="200" t="s">
        <v>788</v>
      </c>
      <c r="C4" s="200" t="s">
        <v>789</v>
      </c>
      <c r="D4" s="200" t="s">
        <v>883</v>
      </c>
      <c r="E4" s="200" t="s">
        <v>586</v>
      </c>
      <c r="F4" s="200" t="s">
        <v>587</v>
      </c>
      <c r="G4" s="200" t="s">
        <v>647</v>
      </c>
      <c r="H4" s="201"/>
    </row>
    <row r="5" spans="1:8" ht="14.45" customHeight="1">
      <c r="A5" s="242" t="s">
        <v>581</v>
      </c>
      <c r="B5" s="234"/>
      <c r="C5" s="234"/>
      <c r="D5" s="234"/>
      <c r="E5" s="234"/>
      <c r="F5" s="234"/>
      <c r="G5" s="234"/>
      <c r="H5" s="201"/>
    </row>
    <row r="6" spans="1:8">
      <c r="A6" s="202" t="s">
        <v>129</v>
      </c>
      <c r="B6" s="202">
        <f>IFERROR(GETPIVOTDATA("Sum of * P Credit (kg/yr)",'Completed Pivot Summaries'!$A$6,"LC TMDL Lake Segment","Main Lake"),0)</f>
        <v>7.6399594986970696</v>
      </c>
      <c r="C6" s="202">
        <f>GETPIVOTDATA("Sum of * P Credit (kg/yr)",'Design Pivot Summaries'!$A$6,"LC TMDL Lake Segment","Main Lake")</f>
        <v>11.840355156235091</v>
      </c>
      <c r="D6" s="202">
        <v>0</v>
      </c>
      <c r="E6" s="202">
        <f>SUM(B6:D6)</f>
        <v>19.480314654932162</v>
      </c>
      <c r="F6" s="202">
        <f>'Total Pivot Summaries'!F4</f>
        <v>22.595906730073501</v>
      </c>
      <c r="G6" s="203">
        <f>E6/F6</f>
        <v>0.86211697046019786</v>
      </c>
      <c r="H6" s="201"/>
    </row>
    <row r="7" spans="1:8">
      <c r="A7" s="202" t="s">
        <v>132</v>
      </c>
      <c r="B7" s="202">
        <f>GETPIVOTDATA("Sum of * P Credit (kg/yr)",'Completed Pivot Summaries'!$A$6,"LC TMDL Lake Segment","Malletts Bay")</f>
        <v>9.3047493670993831</v>
      </c>
      <c r="C7" s="202">
        <f>GETPIVOTDATA("Sum of * P Credit (kg/yr)",'Design Pivot Summaries'!$A$6,"LC TMDL Lake Segment","Malletts Bay")</f>
        <v>5.0216517521781956</v>
      </c>
      <c r="D7" s="202">
        <v>0</v>
      </c>
      <c r="E7" s="202">
        <f>SUM(B7:D7)</f>
        <v>14.326401119277579</v>
      </c>
      <c r="F7" s="202">
        <f>'Total Pivot Summaries'!F3</f>
        <v>9.1282124735695511</v>
      </c>
      <c r="G7" s="203">
        <f>E7/F7</f>
        <v>1.5694640282266892</v>
      </c>
      <c r="H7" s="201"/>
    </row>
    <row r="8" spans="1:8">
      <c r="A8" s="204" t="s">
        <v>583</v>
      </c>
      <c r="B8" s="204">
        <f>SUM(B6:B7)</f>
        <v>16.944708865796454</v>
      </c>
      <c r="C8" s="204">
        <f t="shared" ref="C8" si="0">SUM(C6:C7)</f>
        <v>16.862006908413285</v>
      </c>
      <c r="D8" s="204">
        <f t="shared" ref="D8:F8" si="1">SUM(D6:D7)</f>
        <v>0</v>
      </c>
      <c r="E8" s="204">
        <f t="shared" si="1"/>
        <v>33.806715774209742</v>
      </c>
      <c r="F8" s="204">
        <f t="shared" si="1"/>
        <v>31.724119203643053</v>
      </c>
      <c r="G8" s="205"/>
      <c r="H8" s="201"/>
    </row>
    <row r="9" spans="1:8" ht="14.45" customHeight="1">
      <c r="A9" s="243" t="s">
        <v>582</v>
      </c>
      <c r="B9" s="235"/>
      <c r="C9" s="235"/>
      <c r="D9" s="235"/>
      <c r="E9" s="235"/>
      <c r="F9" s="235"/>
      <c r="G9" s="235"/>
      <c r="H9" s="201"/>
    </row>
    <row r="10" spans="1:8">
      <c r="A10" s="202" t="s">
        <v>129</v>
      </c>
      <c r="B10" s="202">
        <f>GETPIVOTDATA("Sum of * P Credit (kg/yr)",'Completed Pivot Summaries'!$A$32,"LC TMDL Lake Segment","Main Lake")</f>
        <v>18.087847045918089</v>
      </c>
      <c r="C10" s="202">
        <f>GETPIVOTDATA("Sum of * P Credit (kg/yr)",'Design Pivot Summaries'!$A$25,"LC TMDL Lake Segment","Main Lake")</f>
        <v>36.759488758615049</v>
      </c>
      <c r="D10" s="202">
        <v>37.200000000000003</v>
      </c>
      <c r="E10" s="202">
        <f>SUM(B10:D10)</f>
        <v>92.047335804533134</v>
      </c>
      <c r="F10" s="202">
        <f>'Total Pivot Summaries'!F22</f>
        <v>43.600770766846473</v>
      </c>
      <c r="G10" s="203">
        <f>E10/F10</f>
        <v>2.1111401056819132</v>
      </c>
      <c r="H10" s="201"/>
    </row>
    <row r="11" spans="1:8">
      <c r="A11" s="202" t="s">
        <v>132</v>
      </c>
      <c r="B11" s="202">
        <f>GETPIVOTDATA("Sum of * P Credit (kg/yr)",'Completed Pivot Summaries'!$A$32,"LC TMDL Lake Segment","Malletts Bay")</f>
        <v>14.959702977956997</v>
      </c>
      <c r="C11" s="202">
        <f>GETPIVOTDATA("Sum of * P Credit (kg/yr)",'Design Pivot Summaries'!$A$25,"LC TMDL Lake Segment","Malletts Bay")</f>
        <v>3.3693399449379124</v>
      </c>
      <c r="D11" s="202">
        <v>0</v>
      </c>
      <c r="E11" s="202">
        <f>SUM(B11:D11)</f>
        <v>18.32904292289491</v>
      </c>
      <c r="F11" s="202">
        <f>SUM('Total Pivot Summaries'!F20:F21)</f>
        <v>30.99236701120163</v>
      </c>
      <c r="G11" s="203">
        <f>E11/F11</f>
        <v>0.59140506810177518</v>
      </c>
      <c r="H11" s="201"/>
    </row>
    <row r="12" spans="1:8">
      <c r="A12" s="204" t="s">
        <v>583</v>
      </c>
      <c r="B12" s="204">
        <f>SUM(B10:B11)</f>
        <v>33.04755002387509</v>
      </c>
      <c r="C12" s="204">
        <f t="shared" ref="C12" si="2">SUM(C10:C11)</f>
        <v>40.128828703552962</v>
      </c>
      <c r="D12" s="204">
        <f t="shared" ref="D12:F12" si="3">SUM(D10:D11)</f>
        <v>37.200000000000003</v>
      </c>
      <c r="E12" s="204">
        <f t="shared" si="3"/>
        <v>110.37637872742805</v>
      </c>
      <c r="F12" s="204">
        <f t="shared" si="3"/>
        <v>74.593137778048103</v>
      </c>
      <c r="G12" s="205"/>
      <c r="H12" s="201"/>
    </row>
    <row r="13" spans="1:8">
      <c r="A13" s="201"/>
      <c r="B13" s="201"/>
      <c r="C13" s="201"/>
      <c r="D13" s="201"/>
      <c r="E13" s="201"/>
      <c r="F13" s="201"/>
      <c r="G13" s="201"/>
    </row>
  </sheetData>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04BC20D9EFA5F4388BD9FF2C3857123" ma:contentTypeVersion="15" ma:contentTypeDescription="Create a new document." ma:contentTypeScope="" ma:versionID="0c3dfe04bbbdc3cd99ffbd7adfbb9107">
  <xsd:schema xmlns:xsd="http://www.w3.org/2001/XMLSchema" xmlns:xs="http://www.w3.org/2001/XMLSchema" xmlns:p="http://schemas.microsoft.com/office/2006/metadata/properties" xmlns:ns1="http://schemas.microsoft.com/sharepoint/v3" xmlns:ns3="594998f4-185d-4a06-b07b-5cf9993cf315" xmlns:ns4="767f7548-f749-4b8e-aae1-d779f0aab7ba" targetNamespace="http://schemas.microsoft.com/office/2006/metadata/properties" ma:root="true" ma:fieldsID="08e25973508ac8409c67b5b5c1dc0882" ns1:_="" ns3:_="" ns4:_="">
    <xsd:import namespace="http://schemas.microsoft.com/sharepoint/v3"/>
    <xsd:import namespace="594998f4-185d-4a06-b07b-5cf9993cf315"/>
    <xsd:import namespace="767f7548-f749-4b8e-aae1-d779f0aab7ba"/>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1:_ip_UnifiedCompliancePolicyProperties" minOccurs="0"/>
                <xsd:element ref="ns1:_ip_UnifiedCompliancePolicyUIAction" minOccurs="0"/>
                <xsd:element ref="ns4:MediaServiceAutoKeyPoints" minOccurs="0"/>
                <xsd:element ref="ns4:MediaServiceKeyPoints" minOccurs="0"/>
                <xsd:element ref="ns4:MediaServiceGenerationTime" minOccurs="0"/>
                <xsd:element ref="ns4: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Unified Compliance Policy Properties" ma:hidden="true" ma:internalName="_ip_UnifiedCompliancePolicyProperties">
      <xsd:simpleType>
        <xsd:restriction base="dms:Note"/>
      </xsd:simpleType>
    </xsd:element>
    <xsd:element name="_ip_UnifiedCompliancePolicyUIAction" ma:index="1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94998f4-185d-4a06-b07b-5cf9993cf31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67f7548-f749-4b8e-aae1-d779f0aab7ba"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MediaServiceAutoTags" ma:internalName="MediaServiceAutoTags"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element name="MediaServiceLocation" ma:index="16" nillable="true" ma:displayName="MediaServic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46FFD664-140C-44FF-BE4F-E1156A33A009}">
  <ds:schemaRefs>
    <ds:schemaRef ds:uri="http://schemas.microsoft.com/sharepoint/v3/contenttype/forms"/>
  </ds:schemaRefs>
</ds:datastoreItem>
</file>

<file path=customXml/itemProps2.xml><?xml version="1.0" encoding="utf-8"?>
<ds:datastoreItem xmlns:ds="http://schemas.openxmlformats.org/officeDocument/2006/customXml" ds:itemID="{DCB5D3B2-2FD4-4AFD-A7A2-8EC7F4CA5C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94998f4-185d-4a06-b07b-5cf9993cf315"/>
    <ds:schemaRef ds:uri="767f7548-f749-4b8e-aae1-d779f0aab7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91B831F-CC2A-4282-90C6-890A55134824}">
  <ds:schemaRefs>
    <ds:schemaRef ds:uri="http://purl.org/dc/terms/"/>
    <ds:schemaRef ds:uri="594998f4-185d-4a06-b07b-5cf9993cf315"/>
    <ds:schemaRef ds:uri="http://schemas.microsoft.com/office/infopath/2007/PartnerControls"/>
    <ds:schemaRef ds:uri="http://schemas.microsoft.com/office/2006/documentManagement/types"/>
    <ds:schemaRef ds:uri="http://schemas.microsoft.com/office/2006/metadata/properties"/>
    <ds:schemaRef ds:uri="http://purl.org/dc/elements/1.1/"/>
    <ds:schemaRef ds:uri="http://schemas.microsoft.com/sharepoint/v3"/>
    <ds:schemaRef ds:uri="http://schemas.openxmlformats.org/package/2006/metadata/core-properties"/>
    <ds:schemaRef ds:uri="767f7548-f749-4b8e-aae1-d779f0aab7ba"/>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Instructions</vt:lpstr>
      <vt:lpstr>BMP P Tracking Table</vt:lpstr>
      <vt:lpstr>Planned_STPs_for_summary_sheets</vt:lpstr>
      <vt:lpstr>Total Pivot Summaries</vt:lpstr>
      <vt:lpstr>Completed Pivot Summaries</vt:lpstr>
      <vt:lpstr>Design Pivot Summaries</vt:lpstr>
      <vt:lpstr>PCP Summary Table Village</vt:lpstr>
      <vt:lpstr>PCP Summary Table Town</vt:lpstr>
      <vt:lpstr>PCP Summary Table</vt:lpstr>
      <vt:lpstr>PCP Summary Chart</vt:lpstr>
      <vt:lpstr>Maintenance Only - 2023</vt:lpstr>
      <vt:lpstr>Town incorp detail</vt:lpstr>
      <vt:lpstr>Performance Curves</vt:lpstr>
      <vt:lpstr>Loading Rates</vt:lpstr>
      <vt:lpstr>BMP Definitions</vt:lpstr>
      <vt:lpstr>Dropdowns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VTDEC</dc:creator>
  <cp:lastModifiedBy>Ann Costandi</cp:lastModifiedBy>
  <cp:lastPrinted>2020-02-05T20:44:50Z</cp:lastPrinted>
  <dcterms:created xsi:type="dcterms:W3CDTF">2017-05-17T15:08:11Z</dcterms:created>
  <dcterms:modified xsi:type="dcterms:W3CDTF">2025-03-31T12:56:58Z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0x010100E04BC20D9EFA5F4388BD9FF2C3857123</vt:lpwstr>
  </property>
</Properties>
</file>